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theme/themeOverride1.xml" ContentType="application/vnd.openxmlformats-officedocument.themeOverrid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harts/chart3.xml" ContentType="application/vnd.openxmlformats-officedocument.drawingml.chart+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mc:AlternateContent xmlns:mc="http://schemas.openxmlformats.org/markup-compatibility/2006">
    <mc:Choice Requires="x15">
      <x15ac:absPath xmlns:x15ac="http://schemas.microsoft.com/office/spreadsheetml/2010/11/ac" url="/Users/phlindert/Desktop/Lindert PP≠ xl files for gpih/"/>
    </mc:Choice>
  </mc:AlternateContent>
  <bookViews>
    <workbookView xWindow="1140" yWindow="980" windowWidth="24460" windowHeight="14660" tabRatio="767" activeTab="2"/>
  </bookViews>
  <sheets>
    <sheet name="Notes and sources" sheetId="2" r:id="rId1"/>
    <sheet name="Real wages" sheetId="31" r:id="rId2"/>
    <sheet name="CPI1 vs Britain ••" sheetId="30" r:id="rId3"/>
    <sheet name="CPI2" sheetId="29" r:id="rId4"/>
    <sheet name="Wheat" sheetId="15" r:id="rId5"/>
    <sheet name="Beans" sheetId="21" r:id="rId6"/>
    <sheet name="Meat" sheetId="22" r:id="rId7"/>
    <sheet name="Butter" sheetId="23" r:id="rId8"/>
    <sheet name="Soap" sheetId="24" r:id="rId9"/>
    <sheet name="Cotton (piece, sq m)" sheetId="25" r:id="rId10"/>
    <sheet name="Candles" sheetId="26" r:id="rId11"/>
    <sheet name="Lamp oil" sheetId="27" r:id="rId12"/>
    <sheet name="Firewood" sheetId="28" r:id="rId13"/>
    <sheet name="Cape Archives (Various)" sheetId="4" state="hidden" r:id="rId14"/>
    <sheet name="VOC (various)" sheetId="16" state="hidden" r:id="rId15"/>
    <sheet name="Theal Pounds" sheetId="14" state="hidden" r:id="rId16"/>
    <sheet name="Theal Rds" sheetId="13" state="hidden" r:id="rId17"/>
    <sheet name="MOOC" sheetId="17" state="hidden" r:id="rId18"/>
    <sheet name="Blue Books (extra)" sheetId="10" state="hidden" r:id="rId19"/>
    <sheet name="Neumark" sheetId="7" state="hidden" r:id="rId20"/>
    <sheet name="Exchange rates" sheetId="8" r:id="rId21"/>
    <sheet name="VOC Rendement (textile)" sheetId="18" state="hidden" r:id="rId22"/>
    <sheet name="VOC Rendement (soap)" sheetId="19" state="hidden" r:id="rId23"/>
    <sheet name="Cape Archives RDG211(2)" sheetId="20" state="hidden" r:id="rId24"/>
    <sheet name="Cape Archives (RDG211)" sheetId="5" state="hidden" r:id="rId25"/>
  </sheet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I275" i="30" l="1"/>
  <c r="AJ275" i="30"/>
  <c r="AK275" i="30"/>
  <c r="AL275" i="30"/>
  <c r="AS275" i="30"/>
  <c r="AI274" i="30"/>
  <c r="AJ274" i="30"/>
  <c r="AK274" i="30"/>
  <c r="AL274" i="30"/>
  <c r="AS274" i="30"/>
  <c r="L275" i="30"/>
  <c r="M275" i="30"/>
  <c r="N275" i="30"/>
  <c r="O275" i="30"/>
  <c r="V275" i="30"/>
  <c r="L274" i="30"/>
  <c r="M274" i="30"/>
  <c r="N274" i="30"/>
  <c r="O274" i="30"/>
  <c r="V274" i="30"/>
  <c r="BD218" i="30"/>
  <c r="L215" i="30"/>
  <c r="M215" i="30"/>
  <c r="N215" i="30"/>
  <c r="O215" i="30"/>
  <c r="P215" i="30"/>
  <c r="Q215" i="30"/>
  <c r="H214" i="30"/>
  <c r="H215" i="30"/>
  <c r="R215" i="30"/>
  <c r="I214" i="30"/>
  <c r="I215" i="30"/>
  <c r="S215" i="30"/>
  <c r="T215" i="30"/>
  <c r="V215" i="30"/>
  <c r="W215" i="30"/>
  <c r="L216" i="30"/>
  <c r="M216" i="30"/>
  <c r="N216" i="30"/>
  <c r="O216" i="30"/>
  <c r="F216" i="30"/>
  <c r="P216" i="30"/>
  <c r="Q216" i="30"/>
  <c r="R216" i="30"/>
  <c r="S216" i="30"/>
  <c r="T216" i="30"/>
  <c r="V216" i="30"/>
  <c r="W216" i="30"/>
  <c r="L217" i="30"/>
  <c r="M217" i="30"/>
  <c r="N217" i="30"/>
  <c r="O217" i="30"/>
  <c r="P217" i="30"/>
  <c r="Q217" i="30"/>
  <c r="H217" i="30"/>
  <c r="R217" i="30"/>
  <c r="I217" i="30"/>
  <c r="S217" i="30"/>
  <c r="T217" i="30"/>
  <c r="V217" i="30"/>
  <c r="W217" i="30"/>
  <c r="L218" i="30"/>
  <c r="M218" i="30"/>
  <c r="N218" i="30"/>
  <c r="O218" i="30"/>
  <c r="P218" i="30"/>
  <c r="Q218" i="30"/>
  <c r="H218" i="30"/>
  <c r="R218" i="30"/>
  <c r="I218" i="30"/>
  <c r="S218" i="30"/>
  <c r="T218" i="30"/>
  <c r="V218" i="30"/>
  <c r="W218" i="30"/>
  <c r="L219" i="30"/>
  <c r="M219" i="30"/>
  <c r="N219" i="30"/>
  <c r="O219" i="30"/>
  <c r="P219" i="30"/>
  <c r="Q219" i="30"/>
  <c r="R219" i="30"/>
  <c r="S219" i="30"/>
  <c r="T219" i="30"/>
  <c r="V219" i="30"/>
  <c r="W219" i="30"/>
  <c r="X217" i="30"/>
  <c r="AZ217" i="30"/>
  <c r="AZ219" i="30"/>
  <c r="AI215" i="30"/>
  <c r="AJ215" i="30"/>
  <c r="AK215" i="30"/>
  <c r="AL215" i="30"/>
  <c r="AM215" i="30"/>
  <c r="AN215" i="30"/>
  <c r="AO215" i="30"/>
  <c r="AP215" i="30"/>
  <c r="AS215" i="30"/>
  <c r="AI216" i="30"/>
  <c r="AJ216" i="30"/>
  <c r="AK216" i="30"/>
  <c r="AL216" i="30"/>
  <c r="AM216" i="30"/>
  <c r="AN216" i="30"/>
  <c r="AO216" i="30"/>
  <c r="AP216" i="30"/>
  <c r="AS216" i="30"/>
  <c r="AI217" i="30"/>
  <c r="AJ217" i="30"/>
  <c r="AK217" i="30"/>
  <c r="AL217" i="30"/>
  <c r="AM217" i="30"/>
  <c r="AN217" i="30"/>
  <c r="AO217" i="30"/>
  <c r="AP217" i="30"/>
  <c r="AS217" i="30"/>
  <c r="AI218" i="30"/>
  <c r="AJ218" i="30"/>
  <c r="AK218" i="30"/>
  <c r="AL218" i="30"/>
  <c r="AM218" i="30"/>
  <c r="AN218" i="30"/>
  <c r="AO218" i="30"/>
  <c r="AP218" i="30"/>
  <c r="AS218" i="30"/>
  <c r="AI219" i="30"/>
  <c r="AJ219" i="30"/>
  <c r="AK219" i="30"/>
  <c r="AL219" i="30"/>
  <c r="AM219" i="30"/>
  <c r="AN219" i="30"/>
  <c r="AO219" i="30"/>
  <c r="AP219" i="30"/>
  <c r="AS219" i="30"/>
  <c r="AR217" i="30"/>
  <c r="BA217" i="30"/>
  <c r="BA219" i="30"/>
  <c r="BD219" i="30"/>
  <c r="BD220" i="30"/>
  <c r="BD221" i="30"/>
  <c r="AZ222" i="30"/>
  <c r="BD222" i="30"/>
  <c r="AZ223" i="30"/>
  <c r="BA223" i="30"/>
  <c r="BD223" i="30"/>
  <c r="BD217" i="30"/>
  <c r="L237" i="30"/>
  <c r="M237" i="30"/>
  <c r="N237" i="30"/>
  <c r="O237" i="30"/>
  <c r="F226" i="30"/>
  <c r="F227" i="30"/>
  <c r="F228" i="30"/>
  <c r="F229" i="30"/>
  <c r="F230" i="30"/>
  <c r="F231" i="30"/>
  <c r="F232" i="30"/>
  <c r="F233" i="30"/>
  <c r="F234" i="30"/>
  <c r="F235" i="30"/>
  <c r="F236" i="30"/>
  <c r="F237" i="30"/>
  <c r="P237" i="30"/>
  <c r="Q237" i="30"/>
  <c r="R237" i="30"/>
  <c r="S237" i="30"/>
  <c r="T237" i="30"/>
  <c r="V237" i="30"/>
  <c r="W237" i="30"/>
  <c r="AI237" i="30"/>
  <c r="AJ237" i="30"/>
  <c r="AK237" i="30"/>
  <c r="AL237" i="30"/>
  <c r="AM237" i="30"/>
  <c r="AN237" i="30"/>
  <c r="AO237" i="30"/>
  <c r="AP237" i="30"/>
  <c r="AS237" i="30"/>
  <c r="AU237" i="30"/>
  <c r="L238" i="30"/>
  <c r="M238" i="30"/>
  <c r="N238" i="30"/>
  <c r="O238" i="30"/>
  <c r="P238" i="30"/>
  <c r="Q238" i="30"/>
  <c r="R238" i="30"/>
  <c r="S238" i="30"/>
  <c r="T238" i="30"/>
  <c r="V238" i="30"/>
  <c r="W238" i="30"/>
  <c r="AI238" i="30"/>
  <c r="AJ238" i="30"/>
  <c r="AK238" i="30"/>
  <c r="AL238" i="30"/>
  <c r="AM238" i="30"/>
  <c r="AN238" i="30"/>
  <c r="AO238" i="30"/>
  <c r="AP238" i="30"/>
  <c r="AS238" i="30"/>
  <c r="AU238" i="30"/>
  <c r="L239" i="30"/>
  <c r="M239" i="30"/>
  <c r="N239" i="30"/>
  <c r="O239" i="30"/>
  <c r="P239" i="30"/>
  <c r="Q239" i="30"/>
  <c r="R239" i="30"/>
  <c r="S239" i="30"/>
  <c r="T239" i="30"/>
  <c r="V239" i="30"/>
  <c r="W239" i="30"/>
  <c r="AI239" i="30"/>
  <c r="AJ239" i="30"/>
  <c r="AK239" i="30"/>
  <c r="AL239" i="30"/>
  <c r="AM239" i="30"/>
  <c r="AN239" i="30"/>
  <c r="AO239" i="30"/>
  <c r="AP239" i="30"/>
  <c r="AS239" i="30"/>
  <c r="AU239" i="30"/>
  <c r="L240" i="30"/>
  <c r="M240" i="30"/>
  <c r="N240" i="30"/>
  <c r="O240" i="30"/>
  <c r="P240" i="30"/>
  <c r="Q240" i="30"/>
  <c r="R240" i="30"/>
  <c r="S240" i="30"/>
  <c r="T240" i="30"/>
  <c r="V240" i="30"/>
  <c r="W240" i="30"/>
  <c r="AI240" i="30"/>
  <c r="AJ240" i="30"/>
  <c r="AK240" i="30"/>
  <c r="AL240" i="30"/>
  <c r="AM240" i="30"/>
  <c r="AN240" i="30"/>
  <c r="AO240" i="30"/>
  <c r="AP240" i="30"/>
  <c r="AS240" i="30"/>
  <c r="AU240" i="30"/>
  <c r="L241" i="30"/>
  <c r="M241" i="30"/>
  <c r="N241" i="30"/>
  <c r="O241" i="30"/>
  <c r="P241" i="30"/>
  <c r="Q241" i="30"/>
  <c r="R241" i="30"/>
  <c r="S241" i="30"/>
  <c r="T241" i="30"/>
  <c r="V241" i="30"/>
  <c r="W241" i="30"/>
  <c r="AI241" i="30"/>
  <c r="AJ241" i="30"/>
  <c r="AK241" i="30"/>
  <c r="AL241" i="30"/>
  <c r="AM241" i="30"/>
  <c r="AN241" i="30"/>
  <c r="AO241" i="30"/>
  <c r="AP241" i="30"/>
  <c r="AS241" i="30"/>
  <c r="AU241" i="30"/>
  <c r="AV239" i="30"/>
  <c r="L242" i="30"/>
  <c r="M242" i="30"/>
  <c r="N242" i="30"/>
  <c r="O242" i="30"/>
  <c r="P242" i="30"/>
  <c r="Q242" i="30"/>
  <c r="R242" i="30"/>
  <c r="S242" i="30"/>
  <c r="T242" i="30"/>
  <c r="V242" i="30"/>
  <c r="W242" i="30"/>
  <c r="AI242" i="30"/>
  <c r="AJ242" i="30"/>
  <c r="AK242" i="30"/>
  <c r="AL242" i="30"/>
  <c r="AM242" i="30"/>
  <c r="AN242" i="30"/>
  <c r="AO242" i="30"/>
  <c r="AP242" i="30"/>
  <c r="AS242" i="30"/>
  <c r="AU242" i="30"/>
  <c r="AV240" i="30"/>
  <c r="L243" i="30"/>
  <c r="M243" i="30"/>
  <c r="N243" i="30"/>
  <c r="O243" i="30"/>
  <c r="P243" i="30"/>
  <c r="Q243" i="30"/>
  <c r="R243" i="30"/>
  <c r="S243" i="30"/>
  <c r="T243" i="30"/>
  <c r="V243" i="30"/>
  <c r="W243" i="30"/>
  <c r="AI243" i="30"/>
  <c r="AJ243" i="30"/>
  <c r="AK243" i="30"/>
  <c r="AL243" i="30"/>
  <c r="AM243" i="30"/>
  <c r="AN243" i="30"/>
  <c r="AO243" i="30"/>
  <c r="AP243" i="30"/>
  <c r="AS243" i="30"/>
  <c r="AU243" i="30"/>
  <c r="AV241" i="30"/>
  <c r="L244" i="30"/>
  <c r="M244" i="30"/>
  <c r="N244" i="30"/>
  <c r="O244" i="30"/>
  <c r="P244" i="30"/>
  <c r="Q244" i="30"/>
  <c r="R244" i="30"/>
  <c r="S244" i="30"/>
  <c r="T244" i="30"/>
  <c r="V244" i="30"/>
  <c r="W244" i="30"/>
  <c r="AI244" i="30"/>
  <c r="AJ244" i="30"/>
  <c r="AK244" i="30"/>
  <c r="AL244" i="30"/>
  <c r="AM244" i="30"/>
  <c r="AN244" i="30"/>
  <c r="AO244" i="30"/>
  <c r="AP244" i="30"/>
  <c r="AS244" i="30"/>
  <c r="AU244" i="30"/>
  <c r="AV242" i="30"/>
  <c r="L245" i="30"/>
  <c r="M245" i="30"/>
  <c r="N245" i="30"/>
  <c r="O245" i="30"/>
  <c r="P245" i="30"/>
  <c r="Q245" i="30"/>
  <c r="R245" i="30"/>
  <c r="S245" i="30"/>
  <c r="T245" i="30"/>
  <c r="V245" i="30"/>
  <c r="W245" i="30"/>
  <c r="AI245" i="30"/>
  <c r="AJ245" i="30"/>
  <c r="AK245" i="30"/>
  <c r="AL245" i="30"/>
  <c r="AM245" i="30"/>
  <c r="AN245" i="30"/>
  <c r="AO245" i="30"/>
  <c r="AP245" i="30"/>
  <c r="AS245" i="30"/>
  <c r="AU245" i="30"/>
  <c r="AV243" i="30"/>
  <c r="L246" i="30"/>
  <c r="M246" i="30"/>
  <c r="N246" i="30"/>
  <c r="O246" i="30"/>
  <c r="P246" i="30"/>
  <c r="Q246" i="30"/>
  <c r="R246" i="30"/>
  <c r="S246" i="30"/>
  <c r="T246" i="30"/>
  <c r="V246" i="30"/>
  <c r="W246" i="30"/>
  <c r="AI246" i="30"/>
  <c r="AJ246" i="30"/>
  <c r="AK246" i="30"/>
  <c r="AL246" i="30"/>
  <c r="AM246" i="30"/>
  <c r="AN246" i="30"/>
  <c r="AO246" i="30"/>
  <c r="AP246" i="30"/>
  <c r="AS246" i="30"/>
  <c r="AU246" i="30"/>
  <c r="AV244" i="30"/>
  <c r="L247" i="30"/>
  <c r="M247" i="30"/>
  <c r="N247" i="30"/>
  <c r="O247" i="30"/>
  <c r="P247" i="30"/>
  <c r="Q247" i="30"/>
  <c r="R247" i="30"/>
  <c r="S247" i="30"/>
  <c r="T247" i="30"/>
  <c r="V247" i="30"/>
  <c r="W247" i="30"/>
  <c r="AI247" i="30"/>
  <c r="AJ247" i="30"/>
  <c r="AK247" i="30"/>
  <c r="AL247" i="30"/>
  <c r="AM247" i="30"/>
  <c r="AN247" i="30"/>
  <c r="AO247" i="30"/>
  <c r="AP247" i="30"/>
  <c r="AS247" i="30"/>
  <c r="AU247" i="30"/>
  <c r="AV245" i="30"/>
  <c r="L248" i="30"/>
  <c r="M248" i="30"/>
  <c r="N248" i="30"/>
  <c r="O248" i="30"/>
  <c r="P248" i="30"/>
  <c r="Q248" i="30"/>
  <c r="R248" i="30"/>
  <c r="S248" i="30"/>
  <c r="T248" i="30"/>
  <c r="V248" i="30"/>
  <c r="W248" i="30"/>
  <c r="AI248" i="30"/>
  <c r="AJ248" i="30"/>
  <c r="AK248" i="30"/>
  <c r="AL248" i="30"/>
  <c r="AM248" i="30"/>
  <c r="AN248" i="30"/>
  <c r="AO248" i="30"/>
  <c r="AP248" i="30"/>
  <c r="AS248" i="30"/>
  <c r="AU248" i="30"/>
  <c r="AV246" i="30"/>
  <c r="L249" i="30"/>
  <c r="M249" i="30"/>
  <c r="N249" i="30"/>
  <c r="O249" i="30"/>
  <c r="P249" i="30"/>
  <c r="Q249" i="30"/>
  <c r="R249" i="30"/>
  <c r="S249" i="30"/>
  <c r="T249" i="30"/>
  <c r="V249" i="30"/>
  <c r="W249" i="30"/>
  <c r="AI249" i="30"/>
  <c r="AJ249" i="30"/>
  <c r="AK249" i="30"/>
  <c r="AL249" i="30"/>
  <c r="AM249" i="30"/>
  <c r="AN249" i="30"/>
  <c r="AO249" i="30"/>
  <c r="AP249" i="30"/>
  <c r="AS249" i="30"/>
  <c r="AU249" i="30"/>
  <c r="AV247" i="30"/>
  <c r="L250" i="30"/>
  <c r="M250" i="30"/>
  <c r="N250" i="30"/>
  <c r="O250" i="30"/>
  <c r="P250" i="30"/>
  <c r="Q250" i="30"/>
  <c r="R250" i="30"/>
  <c r="S250" i="30"/>
  <c r="T250" i="30"/>
  <c r="V250" i="30"/>
  <c r="W250" i="30"/>
  <c r="AI250" i="30"/>
  <c r="AJ250" i="30"/>
  <c r="AK250" i="30"/>
  <c r="AL250" i="30"/>
  <c r="AM250" i="30"/>
  <c r="AN250" i="30"/>
  <c r="AO250" i="30"/>
  <c r="AP250" i="30"/>
  <c r="AS250" i="30"/>
  <c r="AU250" i="30"/>
  <c r="AV248" i="30"/>
  <c r="L251" i="30"/>
  <c r="M251" i="30"/>
  <c r="N251" i="30"/>
  <c r="O251" i="30"/>
  <c r="P251" i="30"/>
  <c r="G251" i="30"/>
  <c r="Q251" i="30"/>
  <c r="R251" i="30"/>
  <c r="S251" i="30"/>
  <c r="T251" i="30"/>
  <c r="V251" i="30"/>
  <c r="W251" i="30"/>
  <c r="AI251" i="30"/>
  <c r="AJ251" i="30"/>
  <c r="AK251" i="30"/>
  <c r="AL251" i="30"/>
  <c r="AM251" i="30"/>
  <c r="AN251" i="30"/>
  <c r="AO251" i="30"/>
  <c r="AP251" i="30"/>
  <c r="AS251" i="30"/>
  <c r="AU251" i="30"/>
  <c r="AV249" i="30"/>
  <c r="L252" i="30"/>
  <c r="M252" i="30"/>
  <c r="N252" i="30"/>
  <c r="O252" i="30"/>
  <c r="P252" i="30"/>
  <c r="Q252" i="30"/>
  <c r="R252" i="30"/>
  <c r="S252" i="30"/>
  <c r="T252" i="30"/>
  <c r="V252" i="30"/>
  <c r="W252" i="30"/>
  <c r="AI252" i="30"/>
  <c r="AJ252" i="30"/>
  <c r="AK252" i="30"/>
  <c r="AL252" i="30"/>
  <c r="AM252" i="30"/>
  <c r="AN252" i="30"/>
  <c r="AO252" i="30"/>
  <c r="AP252" i="30"/>
  <c r="AS252" i="30"/>
  <c r="AU252" i="30"/>
  <c r="AV250" i="30"/>
  <c r="L253" i="30"/>
  <c r="M253" i="30"/>
  <c r="N253" i="30"/>
  <c r="O253" i="30"/>
  <c r="P253" i="30"/>
  <c r="Q253" i="30"/>
  <c r="R253" i="30"/>
  <c r="S253" i="30"/>
  <c r="T253" i="30"/>
  <c r="V253" i="30"/>
  <c r="W253" i="30"/>
  <c r="AI253" i="30"/>
  <c r="AJ253" i="30"/>
  <c r="AK253" i="30"/>
  <c r="AL253" i="30"/>
  <c r="AM253" i="30"/>
  <c r="AN253" i="30"/>
  <c r="AO253" i="30"/>
  <c r="AP253" i="30"/>
  <c r="AS253" i="30"/>
  <c r="AU253" i="30"/>
  <c r="AV251" i="30"/>
  <c r="L254" i="30"/>
  <c r="M254" i="30"/>
  <c r="N254" i="30"/>
  <c r="O254" i="30"/>
  <c r="P254" i="30"/>
  <c r="Q254" i="30"/>
  <c r="R254" i="30"/>
  <c r="S254" i="30"/>
  <c r="T254" i="30"/>
  <c r="V254" i="30"/>
  <c r="W254" i="30"/>
  <c r="AI254" i="30"/>
  <c r="AJ254" i="30"/>
  <c r="AK254" i="30"/>
  <c r="AL254" i="30"/>
  <c r="AM254" i="30"/>
  <c r="AN254" i="30"/>
  <c r="AO254" i="30"/>
  <c r="AP254" i="30"/>
  <c r="AS254" i="30"/>
  <c r="AU254" i="30"/>
  <c r="AV252" i="30"/>
  <c r="L255" i="30"/>
  <c r="M255" i="30"/>
  <c r="N255" i="30"/>
  <c r="O255" i="30"/>
  <c r="P255" i="30"/>
  <c r="Q255" i="30"/>
  <c r="R255" i="30"/>
  <c r="S255" i="30"/>
  <c r="T255" i="30"/>
  <c r="V255" i="30"/>
  <c r="W255" i="30"/>
  <c r="AI255" i="30"/>
  <c r="AJ255" i="30"/>
  <c r="AK255" i="30"/>
  <c r="AL255" i="30"/>
  <c r="AM255" i="30"/>
  <c r="AN255" i="30"/>
  <c r="AO255" i="30"/>
  <c r="AP255" i="30"/>
  <c r="AS255" i="30"/>
  <c r="AU255" i="30"/>
  <c r="AV253" i="30"/>
  <c r="L256" i="30"/>
  <c r="M256" i="30"/>
  <c r="N256" i="30"/>
  <c r="O256" i="30"/>
  <c r="P256" i="30"/>
  <c r="Q256" i="30"/>
  <c r="R256" i="30"/>
  <c r="S256" i="30"/>
  <c r="T256" i="30"/>
  <c r="V256" i="30"/>
  <c r="W256" i="30"/>
  <c r="AI256" i="30"/>
  <c r="AJ256" i="30"/>
  <c r="AK256" i="30"/>
  <c r="AL256" i="30"/>
  <c r="AM256" i="30"/>
  <c r="AN256" i="30"/>
  <c r="AO256" i="30"/>
  <c r="AP256" i="30"/>
  <c r="AS256" i="30"/>
  <c r="AU256" i="30"/>
  <c r="AV254" i="30"/>
  <c r="L257" i="30"/>
  <c r="M257" i="30"/>
  <c r="N257" i="30"/>
  <c r="O257" i="30"/>
  <c r="P257" i="30"/>
  <c r="Q257" i="30"/>
  <c r="R257" i="30"/>
  <c r="S257" i="30"/>
  <c r="T257" i="30"/>
  <c r="V257" i="30"/>
  <c r="W257" i="30"/>
  <c r="AI257" i="30"/>
  <c r="AJ257" i="30"/>
  <c r="AK257" i="30"/>
  <c r="AL257" i="30"/>
  <c r="AM257" i="30"/>
  <c r="AN257" i="30"/>
  <c r="AO257" i="30"/>
  <c r="AP257" i="30"/>
  <c r="AS257" i="30"/>
  <c r="AU257" i="30"/>
  <c r="AV255" i="30"/>
  <c r="L258" i="30"/>
  <c r="M258" i="30"/>
  <c r="N258" i="30"/>
  <c r="O258" i="30"/>
  <c r="P258" i="30"/>
  <c r="Q258" i="30"/>
  <c r="R258" i="30"/>
  <c r="S258" i="30"/>
  <c r="T258" i="30"/>
  <c r="V258" i="30"/>
  <c r="W258" i="30"/>
  <c r="AI258" i="30"/>
  <c r="AJ258" i="30"/>
  <c r="AK258" i="30"/>
  <c r="AL258" i="30"/>
  <c r="AM258" i="30"/>
  <c r="AN258" i="30"/>
  <c r="AO258" i="30"/>
  <c r="AP258" i="30"/>
  <c r="AS258" i="30"/>
  <c r="AU258" i="30"/>
  <c r="AV256" i="30"/>
  <c r="L259" i="30"/>
  <c r="M259" i="30"/>
  <c r="N259" i="30"/>
  <c r="O259" i="30"/>
  <c r="F259" i="30"/>
  <c r="P259" i="30"/>
  <c r="Q259" i="30"/>
  <c r="R259" i="30"/>
  <c r="S259" i="30"/>
  <c r="J259" i="30"/>
  <c r="T259" i="30"/>
  <c r="V259" i="30"/>
  <c r="W259" i="30"/>
  <c r="AI259" i="30"/>
  <c r="AJ259" i="30"/>
  <c r="AK259" i="30"/>
  <c r="AL259" i="30"/>
  <c r="AM259" i="30"/>
  <c r="AN259" i="30"/>
  <c r="AO259" i="30"/>
  <c r="AP259" i="30"/>
  <c r="AS259" i="30"/>
  <c r="AU259" i="30"/>
  <c r="AV257" i="30"/>
  <c r="L260" i="30"/>
  <c r="M260" i="30"/>
  <c r="N260" i="30"/>
  <c r="O260" i="30"/>
  <c r="F260" i="30"/>
  <c r="P260" i="30"/>
  <c r="Q260" i="30"/>
  <c r="R260" i="30"/>
  <c r="S260" i="30"/>
  <c r="J260" i="30"/>
  <c r="T260" i="30"/>
  <c r="V260" i="30"/>
  <c r="W260" i="30"/>
  <c r="AI260" i="30"/>
  <c r="AJ260" i="30"/>
  <c r="AK260" i="30"/>
  <c r="AL260" i="30"/>
  <c r="AM260" i="30"/>
  <c r="AN260" i="30"/>
  <c r="AO260" i="30"/>
  <c r="AP260" i="30"/>
  <c r="AS260" i="30"/>
  <c r="AU260" i="30"/>
  <c r="AV258" i="30"/>
  <c r="L261" i="30"/>
  <c r="M261" i="30"/>
  <c r="N261" i="30"/>
  <c r="O261" i="30"/>
  <c r="P261" i="30"/>
  <c r="Q261" i="30"/>
  <c r="R261" i="30"/>
  <c r="S261" i="30"/>
  <c r="T261" i="30"/>
  <c r="V261" i="30"/>
  <c r="W261" i="30"/>
  <c r="AI261" i="30"/>
  <c r="AJ261" i="30"/>
  <c r="AK261" i="30"/>
  <c r="AL261" i="30"/>
  <c r="AM261" i="30"/>
  <c r="AN261" i="30"/>
  <c r="AO261" i="30"/>
  <c r="AP261" i="30"/>
  <c r="AS261" i="30"/>
  <c r="AU261" i="30"/>
  <c r="AV259" i="30"/>
  <c r="L262" i="30"/>
  <c r="M262" i="30"/>
  <c r="N262" i="30"/>
  <c r="O262" i="30"/>
  <c r="F262" i="30"/>
  <c r="P262" i="30"/>
  <c r="Q262" i="30"/>
  <c r="R262" i="30"/>
  <c r="S262" i="30"/>
  <c r="J262" i="30"/>
  <c r="T262" i="30"/>
  <c r="V262" i="30"/>
  <c r="W262" i="30"/>
  <c r="AI262" i="30"/>
  <c r="AJ262" i="30"/>
  <c r="AK262" i="30"/>
  <c r="AL262" i="30"/>
  <c r="AM262" i="30"/>
  <c r="AN262" i="30"/>
  <c r="AO262" i="30"/>
  <c r="AP262" i="30"/>
  <c r="AS262" i="30"/>
  <c r="AU262" i="30"/>
  <c r="AV260" i="30"/>
  <c r="L263" i="30"/>
  <c r="M263" i="30"/>
  <c r="N263" i="30"/>
  <c r="O263" i="30"/>
  <c r="F263" i="30"/>
  <c r="P263" i="30"/>
  <c r="Q263" i="30"/>
  <c r="R263" i="30"/>
  <c r="S263" i="30"/>
  <c r="J263" i="30"/>
  <c r="T263" i="30"/>
  <c r="V263" i="30"/>
  <c r="W263" i="30"/>
  <c r="AI263" i="30"/>
  <c r="AJ263" i="30"/>
  <c r="AK263" i="30"/>
  <c r="AL263" i="30"/>
  <c r="AM263" i="30"/>
  <c r="AN263" i="30"/>
  <c r="AO263" i="30"/>
  <c r="AP263" i="30"/>
  <c r="AS263" i="30"/>
  <c r="AU263" i="30"/>
  <c r="AV261" i="30"/>
  <c r="L264" i="30"/>
  <c r="M264" i="30"/>
  <c r="N264" i="30"/>
  <c r="O264" i="30"/>
  <c r="F264" i="30"/>
  <c r="P264" i="30"/>
  <c r="Q264" i="30"/>
  <c r="R264" i="30"/>
  <c r="S264" i="30"/>
  <c r="T264" i="30"/>
  <c r="V264" i="30"/>
  <c r="W264" i="30"/>
  <c r="AI264" i="30"/>
  <c r="AJ264" i="30"/>
  <c r="AK264" i="30"/>
  <c r="AL264" i="30"/>
  <c r="AM264" i="30"/>
  <c r="AN264" i="30"/>
  <c r="AO264" i="30"/>
  <c r="AP264" i="30"/>
  <c r="AS264" i="30"/>
  <c r="AU264" i="30"/>
  <c r="AV262" i="30"/>
  <c r="L265" i="30"/>
  <c r="M265" i="30"/>
  <c r="N265" i="30"/>
  <c r="O265" i="30"/>
  <c r="F265" i="30"/>
  <c r="P265" i="30"/>
  <c r="Q265" i="30"/>
  <c r="R265" i="30"/>
  <c r="S265" i="30"/>
  <c r="T265" i="30"/>
  <c r="V265" i="30"/>
  <c r="W265" i="30"/>
  <c r="AI265" i="30"/>
  <c r="AJ265" i="30"/>
  <c r="AK265" i="30"/>
  <c r="AL265" i="30"/>
  <c r="AM265" i="30"/>
  <c r="AN265" i="30"/>
  <c r="AO265" i="30"/>
  <c r="AP265" i="30"/>
  <c r="AS265" i="30"/>
  <c r="AU265" i="30"/>
  <c r="AV263" i="30"/>
  <c r="L266" i="30"/>
  <c r="M266" i="30"/>
  <c r="N266" i="30"/>
  <c r="O266" i="30"/>
  <c r="P266" i="30"/>
  <c r="Q266" i="30"/>
  <c r="R266" i="30"/>
  <c r="S266" i="30"/>
  <c r="T266" i="30"/>
  <c r="V266" i="30"/>
  <c r="W266" i="30"/>
  <c r="AI266" i="30"/>
  <c r="AJ266" i="30"/>
  <c r="AK266" i="30"/>
  <c r="AL266" i="30"/>
  <c r="AM266" i="30"/>
  <c r="AN266" i="30"/>
  <c r="AO266" i="30"/>
  <c r="AP266" i="30"/>
  <c r="AS266" i="30"/>
  <c r="AU266" i="30"/>
  <c r="AV264" i="30"/>
  <c r="L267" i="30"/>
  <c r="M267" i="30"/>
  <c r="N267" i="30"/>
  <c r="O267" i="30"/>
  <c r="P267" i="30"/>
  <c r="Q267" i="30"/>
  <c r="R267" i="30"/>
  <c r="S267" i="30"/>
  <c r="T267" i="30"/>
  <c r="V267" i="30"/>
  <c r="W267" i="30"/>
  <c r="AI267" i="30"/>
  <c r="AJ267" i="30"/>
  <c r="AK267" i="30"/>
  <c r="AL267" i="30"/>
  <c r="AM267" i="30"/>
  <c r="AN267" i="30"/>
  <c r="AO267" i="30"/>
  <c r="AP267" i="30"/>
  <c r="AS267" i="30"/>
  <c r="AU267" i="30"/>
  <c r="AV265" i="30"/>
  <c r="B268" i="30"/>
  <c r="L268" i="30"/>
  <c r="M268" i="30"/>
  <c r="N268" i="30"/>
  <c r="O268" i="30"/>
  <c r="P268" i="30"/>
  <c r="Q268" i="30"/>
  <c r="H268" i="30"/>
  <c r="R268" i="30"/>
  <c r="S268" i="30"/>
  <c r="T268" i="30"/>
  <c r="V268" i="30"/>
  <c r="W268" i="30"/>
  <c r="AI268" i="30"/>
  <c r="AJ268" i="30"/>
  <c r="AK268" i="30"/>
  <c r="AL268" i="30"/>
  <c r="AM268" i="30"/>
  <c r="AN268" i="30"/>
  <c r="AO268" i="30"/>
  <c r="AP268" i="30"/>
  <c r="AS268" i="30"/>
  <c r="AU268" i="30"/>
  <c r="AV266" i="30"/>
  <c r="L269" i="30"/>
  <c r="M269" i="30"/>
  <c r="N269" i="30"/>
  <c r="O269" i="30"/>
  <c r="P269" i="30"/>
  <c r="Q269" i="30"/>
  <c r="R269" i="30"/>
  <c r="S269" i="30"/>
  <c r="T269" i="30"/>
  <c r="V269" i="30"/>
  <c r="W269" i="30"/>
  <c r="AI269" i="30"/>
  <c r="AJ269" i="30"/>
  <c r="AK269" i="30"/>
  <c r="AL269" i="30"/>
  <c r="AM269" i="30"/>
  <c r="AN269" i="30"/>
  <c r="AO269" i="30"/>
  <c r="AP269" i="30"/>
  <c r="AS269" i="30"/>
  <c r="AU269" i="30"/>
  <c r="AV267" i="30"/>
  <c r="L119" i="30"/>
  <c r="M119" i="30"/>
  <c r="N119" i="30"/>
  <c r="O119" i="30"/>
  <c r="F119" i="30"/>
  <c r="P119" i="30"/>
  <c r="Q119" i="30"/>
  <c r="H116" i="30"/>
  <c r="H117" i="30"/>
  <c r="H118" i="30"/>
  <c r="H119" i="30"/>
  <c r="R119" i="30"/>
  <c r="I116" i="30"/>
  <c r="I117" i="30"/>
  <c r="I118" i="30"/>
  <c r="I119" i="30"/>
  <c r="S119" i="30"/>
  <c r="J86" i="30"/>
  <c r="J87" i="30"/>
  <c r="J88" i="30"/>
  <c r="J89" i="30"/>
  <c r="J90" i="30"/>
  <c r="J91" i="30"/>
  <c r="J92" i="30"/>
  <c r="J93" i="30"/>
  <c r="J94" i="30"/>
  <c r="J95" i="30"/>
  <c r="J96" i="30"/>
  <c r="J97" i="30"/>
  <c r="J98" i="30"/>
  <c r="J99" i="30"/>
  <c r="J100" i="30"/>
  <c r="J101" i="30"/>
  <c r="J102" i="30"/>
  <c r="J103" i="30"/>
  <c r="J104" i="30"/>
  <c r="J105" i="30"/>
  <c r="J106" i="30"/>
  <c r="J107" i="30"/>
  <c r="J108" i="30"/>
  <c r="J109" i="30"/>
  <c r="J110" i="30"/>
  <c r="J111" i="30"/>
  <c r="J112" i="30"/>
  <c r="J113" i="30"/>
  <c r="J114" i="30"/>
  <c r="J115" i="30"/>
  <c r="J116" i="30"/>
  <c r="J117" i="30"/>
  <c r="J118" i="30"/>
  <c r="J119" i="30"/>
  <c r="T119" i="30"/>
  <c r="V119" i="30"/>
  <c r="W119" i="30"/>
  <c r="AI119" i="30"/>
  <c r="AJ119" i="30"/>
  <c r="AK119" i="30"/>
  <c r="AL119" i="30"/>
  <c r="AM119" i="30"/>
  <c r="AN119" i="30"/>
  <c r="AO119" i="30"/>
  <c r="AP119" i="30"/>
  <c r="AS119" i="30"/>
  <c r="AU119" i="30"/>
  <c r="L120" i="30"/>
  <c r="M120" i="30"/>
  <c r="N120" i="30"/>
  <c r="O120" i="30"/>
  <c r="P120" i="30"/>
  <c r="Q120" i="30"/>
  <c r="R120" i="30"/>
  <c r="S120" i="30"/>
  <c r="J120" i="30"/>
  <c r="T120" i="30"/>
  <c r="V120" i="30"/>
  <c r="W120" i="30"/>
  <c r="AI120" i="30"/>
  <c r="AJ120" i="30"/>
  <c r="AK120" i="30"/>
  <c r="AL120" i="30"/>
  <c r="AM120" i="30"/>
  <c r="AN120" i="30"/>
  <c r="AO120" i="30"/>
  <c r="AP120" i="30"/>
  <c r="AS120" i="30"/>
  <c r="AU120" i="30"/>
  <c r="L121" i="30"/>
  <c r="M121" i="30"/>
  <c r="N121" i="30"/>
  <c r="O121" i="30"/>
  <c r="P121" i="30"/>
  <c r="Q121" i="30"/>
  <c r="H121" i="30"/>
  <c r="R121" i="30"/>
  <c r="I121" i="30"/>
  <c r="S121" i="30"/>
  <c r="J121" i="30"/>
  <c r="T121" i="30"/>
  <c r="V121" i="30"/>
  <c r="W121" i="30"/>
  <c r="AI121" i="30"/>
  <c r="AJ121" i="30"/>
  <c r="AK121" i="30"/>
  <c r="AL121" i="30"/>
  <c r="AM121" i="30"/>
  <c r="AN121" i="30"/>
  <c r="AO121" i="30"/>
  <c r="AP121" i="30"/>
  <c r="AS121" i="30"/>
  <c r="AU121" i="30"/>
  <c r="L122" i="30"/>
  <c r="M122" i="30"/>
  <c r="N122" i="30"/>
  <c r="O122" i="30"/>
  <c r="F122" i="30"/>
  <c r="P122" i="30"/>
  <c r="Q122" i="30"/>
  <c r="H122" i="30"/>
  <c r="R122" i="30"/>
  <c r="I122" i="30"/>
  <c r="S122" i="30"/>
  <c r="J122" i="30"/>
  <c r="T122" i="30"/>
  <c r="V122" i="30"/>
  <c r="W122" i="30"/>
  <c r="AI122" i="30"/>
  <c r="AJ122" i="30"/>
  <c r="AK122" i="30"/>
  <c r="AL122" i="30"/>
  <c r="AM122" i="30"/>
  <c r="AN122" i="30"/>
  <c r="AO122" i="30"/>
  <c r="AP122" i="30"/>
  <c r="AS122" i="30"/>
  <c r="AU122" i="30"/>
  <c r="L123" i="30"/>
  <c r="M123" i="30"/>
  <c r="N123" i="30"/>
  <c r="O123" i="30"/>
  <c r="P123" i="30"/>
  <c r="Q123" i="30"/>
  <c r="H123" i="30"/>
  <c r="R123" i="30"/>
  <c r="I123" i="30"/>
  <c r="S123" i="30"/>
  <c r="J123" i="30"/>
  <c r="T123" i="30"/>
  <c r="V123" i="30"/>
  <c r="W123" i="30"/>
  <c r="AI123" i="30"/>
  <c r="AJ123" i="30"/>
  <c r="AK123" i="30"/>
  <c r="AL123" i="30"/>
  <c r="AM123" i="30"/>
  <c r="AN123" i="30"/>
  <c r="AO123" i="30"/>
  <c r="AP123" i="30"/>
  <c r="AS123" i="30"/>
  <c r="AU123" i="30"/>
  <c r="AV121" i="30"/>
  <c r="L124" i="30"/>
  <c r="M124" i="30"/>
  <c r="N124" i="30"/>
  <c r="O124" i="30"/>
  <c r="P124" i="30"/>
  <c r="Q124" i="30"/>
  <c r="H124" i="30"/>
  <c r="R124" i="30"/>
  <c r="I124" i="30"/>
  <c r="S124" i="30"/>
  <c r="J124" i="30"/>
  <c r="T124" i="30"/>
  <c r="V124" i="30"/>
  <c r="W124" i="30"/>
  <c r="AI124" i="30"/>
  <c r="AJ124" i="30"/>
  <c r="AK124" i="30"/>
  <c r="AL124" i="30"/>
  <c r="AM124" i="30"/>
  <c r="AN124" i="30"/>
  <c r="AO124" i="30"/>
  <c r="AP124" i="30"/>
  <c r="AS124" i="30"/>
  <c r="AU124" i="30"/>
  <c r="AV122" i="30"/>
  <c r="L125" i="30"/>
  <c r="M125" i="30"/>
  <c r="N125" i="30"/>
  <c r="O125" i="30"/>
  <c r="F125" i="30"/>
  <c r="P125" i="30"/>
  <c r="G125" i="30"/>
  <c r="Q125" i="30"/>
  <c r="H125" i="30"/>
  <c r="R125" i="30"/>
  <c r="S125" i="30"/>
  <c r="J125" i="30"/>
  <c r="T125" i="30"/>
  <c r="V125" i="30"/>
  <c r="W125" i="30"/>
  <c r="AI125" i="30"/>
  <c r="AJ125" i="30"/>
  <c r="AK125" i="30"/>
  <c r="AL125" i="30"/>
  <c r="AM125" i="30"/>
  <c r="AN125" i="30"/>
  <c r="AO125" i="30"/>
  <c r="AP125" i="30"/>
  <c r="AS125" i="30"/>
  <c r="AU125" i="30"/>
  <c r="AV123" i="30"/>
  <c r="L126" i="30"/>
  <c r="M126" i="30"/>
  <c r="N126" i="30"/>
  <c r="E126" i="30"/>
  <c r="O126" i="30"/>
  <c r="P126" i="30"/>
  <c r="Q126" i="30"/>
  <c r="H126" i="30"/>
  <c r="R126" i="30"/>
  <c r="I126" i="30"/>
  <c r="S126" i="30"/>
  <c r="J126" i="30"/>
  <c r="T126" i="30"/>
  <c r="V126" i="30"/>
  <c r="W126" i="30"/>
  <c r="AI126" i="30"/>
  <c r="AJ126" i="30"/>
  <c r="AK126" i="30"/>
  <c r="AL126" i="30"/>
  <c r="AM126" i="30"/>
  <c r="AN126" i="30"/>
  <c r="AO126" i="30"/>
  <c r="AP126" i="30"/>
  <c r="AS126" i="30"/>
  <c r="AU126" i="30"/>
  <c r="AV124" i="30"/>
  <c r="L127" i="30"/>
  <c r="M127" i="30"/>
  <c r="N127" i="30"/>
  <c r="E127" i="30"/>
  <c r="O127" i="30"/>
  <c r="P127" i="30"/>
  <c r="Q127" i="30"/>
  <c r="H127" i="30"/>
  <c r="R127" i="30"/>
  <c r="I127" i="30"/>
  <c r="S127" i="30"/>
  <c r="J127" i="30"/>
  <c r="T127" i="30"/>
  <c r="V127" i="30"/>
  <c r="W127" i="30"/>
  <c r="AI127" i="30"/>
  <c r="AJ127" i="30"/>
  <c r="AK127" i="30"/>
  <c r="AL127" i="30"/>
  <c r="AM127" i="30"/>
  <c r="AN127" i="30"/>
  <c r="AO127" i="30"/>
  <c r="AP127" i="30"/>
  <c r="AS127" i="30"/>
  <c r="AU127" i="30"/>
  <c r="AV125" i="30"/>
  <c r="L128" i="30"/>
  <c r="M128" i="30"/>
  <c r="N128" i="30"/>
  <c r="E128" i="30"/>
  <c r="O128" i="30"/>
  <c r="F128" i="30"/>
  <c r="P128" i="30"/>
  <c r="Q128" i="30"/>
  <c r="R128" i="30"/>
  <c r="S128" i="30"/>
  <c r="J128" i="30"/>
  <c r="T128" i="30"/>
  <c r="V128" i="30"/>
  <c r="W128" i="30"/>
  <c r="AI128" i="30"/>
  <c r="AJ128" i="30"/>
  <c r="AK128" i="30"/>
  <c r="AL128" i="30"/>
  <c r="AM128" i="30"/>
  <c r="AN128" i="30"/>
  <c r="AO128" i="30"/>
  <c r="AP128" i="30"/>
  <c r="AS128" i="30"/>
  <c r="AU128" i="30"/>
  <c r="AV126" i="30"/>
  <c r="L129" i="30"/>
  <c r="M129" i="30"/>
  <c r="N129" i="30"/>
  <c r="E129" i="30"/>
  <c r="O129" i="30"/>
  <c r="P129" i="30"/>
  <c r="Q129" i="30"/>
  <c r="H129" i="30"/>
  <c r="R129" i="30"/>
  <c r="I129" i="30"/>
  <c r="S129" i="30"/>
  <c r="J129" i="30"/>
  <c r="T129" i="30"/>
  <c r="V129" i="30"/>
  <c r="W129" i="30"/>
  <c r="AI129" i="30"/>
  <c r="AJ129" i="30"/>
  <c r="AK129" i="30"/>
  <c r="AL129" i="30"/>
  <c r="AM129" i="30"/>
  <c r="AN129" i="30"/>
  <c r="AO129" i="30"/>
  <c r="AP129" i="30"/>
  <c r="AS129" i="30"/>
  <c r="AU129" i="30"/>
  <c r="AV127" i="30"/>
  <c r="L130" i="30"/>
  <c r="M130" i="30"/>
  <c r="N130" i="30"/>
  <c r="E130" i="30"/>
  <c r="O130" i="30"/>
  <c r="P130" i="30"/>
  <c r="Q130" i="30"/>
  <c r="H130" i="30"/>
  <c r="R130" i="30"/>
  <c r="I130" i="30"/>
  <c r="S130" i="30"/>
  <c r="J130" i="30"/>
  <c r="T130" i="30"/>
  <c r="V130" i="30"/>
  <c r="W130" i="30"/>
  <c r="AI130" i="30"/>
  <c r="AJ130" i="30"/>
  <c r="AK130" i="30"/>
  <c r="AL130" i="30"/>
  <c r="AM130" i="30"/>
  <c r="AN130" i="30"/>
  <c r="AO130" i="30"/>
  <c r="AP130" i="30"/>
  <c r="AS130" i="30"/>
  <c r="AU130" i="30"/>
  <c r="AV128" i="30"/>
  <c r="L131" i="30"/>
  <c r="M131" i="30"/>
  <c r="N131" i="30"/>
  <c r="E131" i="30"/>
  <c r="O131" i="30"/>
  <c r="P131" i="30"/>
  <c r="Q131" i="30"/>
  <c r="H131" i="30"/>
  <c r="R131" i="30"/>
  <c r="I131" i="30"/>
  <c r="S131" i="30"/>
  <c r="J131" i="30"/>
  <c r="T131" i="30"/>
  <c r="V131" i="30"/>
  <c r="W131" i="30"/>
  <c r="AI131" i="30"/>
  <c r="AJ131" i="30"/>
  <c r="AK131" i="30"/>
  <c r="AL131" i="30"/>
  <c r="AM131" i="30"/>
  <c r="AN131" i="30"/>
  <c r="AO131" i="30"/>
  <c r="AP131" i="30"/>
  <c r="AS131" i="30"/>
  <c r="AU131" i="30"/>
  <c r="AV129" i="30"/>
  <c r="L132" i="30"/>
  <c r="M132" i="30"/>
  <c r="N132" i="30"/>
  <c r="E132" i="30"/>
  <c r="O132" i="30"/>
  <c r="F132" i="30"/>
  <c r="P132" i="30"/>
  <c r="G132" i="30"/>
  <c r="Q132" i="30"/>
  <c r="H132" i="30"/>
  <c r="R132" i="30"/>
  <c r="I132" i="30"/>
  <c r="S132" i="30"/>
  <c r="J132" i="30"/>
  <c r="T132" i="30"/>
  <c r="V132" i="30"/>
  <c r="W132" i="30"/>
  <c r="AI132" i="30"/>
  <c r="AJ132" i="30"/>
  <c r="AK132" i="30"/>
  <c r="AL132" i="30"/>
  <c r="AM132" i="30"/>
  <c r="AN132" i="30"/>
  <c r="AO132" i="30"/>
  <c r="AP132" i="30"/>
  <c r="AS132" i="30"/>
  <c r="AU132" i="30"/>
  <c r="AV130" i="30"/>
  <c r="L133" i="30"/>
  <c r="M133" i="30"/>
  <c r="N133" i="30"/>
  <c r="E133" i="30"/>
  <c r="O133" i="30"/>
  <c r="F133" i="30"/>
  <c r="P133" i="30"/>
  <c r="G133" i="30"/>
  <c r="Q133" i="30"/>
  <c r="H133" i="30"/>
  <c r="R133" i="30"/>
  <c r="I133" i="30"/>
  <c r="S133" i="30"/>
  <c r="J133" i="30"/>
  <c r="T133" i="30"/>
  <c r="V133" i="30"/>
  <c r="W133" i="30"/>
  <c r="AI133" i="30"/>
  <c r="AJ133" i="30"/>
  <c r="AK133" i="30"/>
  <c r="AL133" i="30"/>
  <c r="AM133" i="30"/>
  <c r="AN133" i="30"/>
  <c r="AO133" i="30"/>
  <c r="AP133" i="30"/>
  <c r="AS133" i="30"/>
  <c r="AU133" i="30"/>
  <c r="AV131" i="30"/>
  <c r="L134" i="30"/>
  <c r="M134" i="30"/>
  <c r="N134" i="30"/>
  <c r="E134" i="30"/>
  <c r="O134" i="30"/>
  <c r="F134" i="30"/>
  <c r="P134" i="30"/>
  <c r="G134" i="30"/>
  <c r="Q134" i="30"/>
  <c r="H134" i="30"/>
  <c r="R134" i="30"/>
  <c r="I134" i="30"/>
  <c r="S134" i="30"/>
  <c r="J134" i="30"/>
  <c r="T134" i="30"/>
  <c r="V134" i="30"/>
  <c r="W134" i="30"/>
  <c r="AI134" i="30"/>
  <c r="AJ134" i="30"/>
  <c r="AK134" i="30"/>
  <c r="AL134" i="30"/>
  <c r="AM134" i="30"/>
  <c r="AN134" i="30"/>
  <c r="AO134" i="30"/>
  <c r="AP134" i="30"/>
  <c r="AS134" i="30"/>
  <c r="AU134" i="30"/>
  <c r="AV132" i="30"/>
  <c r="L135" i="30"/>
  <c r="M135" i="30"/>
  <c r="N135" i="30"/>
  <c r="E135" i="30"/>
  <c r="O135" i="30"/>
  <c r="F135" i="30"/>
  <c r="P135" i="30"/>
  <c r="G135" i="30"/>
  <c r="Q135" i="30"/>
  <c r="H135" i="30"/>
  <c r="R135" i="30"/>
  <c r="I135" i="30"/>
  <c r="S135" i="30"/>
  <c r="T135" i="30"/>
  <c r="V135" i="30"/>
  <c r="W135" i="30"/>
  <c r="AI135" i="30"/>
  <c r="AJ135" i="30"/>
  <c r="AK135" i="30"/>
  <c r="AL135" i="30"/>
  <c r="AM135" i="30"/>
  <c r="AN135" i="30"/>
  <c r="AO135" i="30"/>
  <c r="AP135" i="30"/>
  <c r="AS135" i="30"/>
  <c r="AU135" i="30"/>
  <c r="AV133" i="30"/>
  <c r="L136" i="30"/>
  <c r="M136" i="30"/>
  <c r="N136" i="30"/>
  <c r="E136" i="30"/>
  <c r="O136" i="30"/>
  <c r="F136" i="30"/>
  <c r="P136" i="30"/>
  <c r="Q136" i="30"/>
  <c r="H136" i="30"/>
  <c r="R136" i="30"/>
  <c r="I136" i="30"/>
  <c r="S136" i="30"/>
  <c r="J136" i="30"/>
  <c r="T136" i="30"/>
  <c r="V136" i="30"/>
  <c r="W136" i="30"/>
  <c r="AI136" i="30"/>
  <c r="AJ136" i="30"/>
  <c r="AK136" i="30"/>
  <c r="AL136" i="30"/>
  <c r="AM136" i="30"/>
  <c r="AN136" i="30"/>
  <c r="AO136" i="30"/>
  <c r="AP136" i="30"/>
  <c r="AS136" i="30"/>
  <c r="AU136" i="30"/>
  <c r="AV134" i="30"/>
  <c r="L137" i="30"/>
  <c r="M137" i="30"/>
  <c r="N137" i="30"/>
  <c r="E137" i="30"/>
  <c r="O137" i="30"/>
  <c r="F137" i="30"/>
  <c r="P137" i="30"/>
  <c r="Q137" i="30"/>
  <c r="H137" i="30"/>
  <c r="R137" i="30"/>
  <c r="I137" i="30"/>
  <c r="S137" i="30"/>
  <c r="J137" i="30"/>
  <c r="T137" i="30"/>
  <c r="V137" i="30"/>
  <c r="W137" i="30"/>
  <c r="AI137" i="30"/>
  <c r="AJ137" i="30"/>
  <c r="AK137" i="30"/>
  <c r="AL137" i="30"/>
  <c r="AM137" i="30"/>
  <c r="AN137" i="30"/>
  <c r="AO137" i="30"/>
  <c r="AP137" i="30"/>
  <c r="AS137" i="30"/>
  <c r="AU137" i="30"/>
  <c r="AV135" i="30"/>
  <c r="L138" i="30"/>
  <c r="M138" i="30"/>
  <c r="N138" i="30"/>
  <c r="E138" i="30"/>
  <c r="O138" i="30"/>
  <c r="F138" i="30"/>
  <c r="P138" i="30"/>
  <c r="G138" i="30"/>
  <c r="Q138" i="30"/>
  <c r="H138" i="30"/>
  <c r="R138" i="30"/>
  <c r="I138" i="30"/>
  <c r="S138" i="30"/>
  <c r="J138" i="30"/>
  <c r="T138" i="30"/>
  <c r="V138" i="30"/>
  <c r="W138" i="30"/>
  <c r="AI138" i="30"/>
  <c r="AJ138" i="30"/>
  <c r="AK138" i="30"/>
  <c r="AL138" i="30"/>
  <c r="AM138" i="30"/>
  <c r="AN138" i="30"/>
  <c r="AO138" i="30"/>
  <c r="AP138" i="30"/>
  <c r="AS138" i="30"/>
  <c r="AU138" i="30"/>
  <c r="AV136" i="30"/>
  <c r="L139" i="30"/>
  <c r="M139" i="30"/>
  <c r="N139" i="30"/>
  <c r="O139" i="30"/>
  <c r="P139" i="30"/>
  <c r="G139" i="30"/>
  <c r="Q139" i="30"/>
  <c r="H139" i="30"/>
  <c r="R139" i="30"/>
  <c r="I139" i="30"/>
  <c r="S139" i="30"/>
  <c r="J139" i="30"/>
  <c r="T139" i="30"/>
  <c r="V139" i="30"/>
  <c r="W139" i="30"/>
  <c r="AI139" i="30"/>
  <c r="AJ139" i="30"/>
  <c r="AK139" i="30"/>
  <c r="AL139" i="30"/>
  <c r="AM139" i="30"/>
  <c r="AN139" i="30"/>
  <c r="AO139" i="30"/>
  <c r="AP139" i="30"/>
  <c r="AS139" i="30"/>
  <c r="AU139" i="30"/>
  <c r="AV137" i="30"/>
  <c r="L140" i="30"/>
  <c r="M140" i="30"/>
  <c r="N140" i="30"/>
  <c r="O140" i="30"/>
  <c r="F140" i="30"/>
  <c r="P140" i="30"/>
  <c r="G140" i="30"/>
  <c r="Q140" i="30"/>
  <c r="R140" i="30"/>
  <c r="S140" i="30"/>
  <c r="J140" i="30"/>
  <c r="T140" i="30"/>
  <c r="V140" i="30"/>
  <c r="W140" i="30"/>
  <c r="AI140" i="30"/>
  <c r="AJ140" i="30"/>
  <c r="AK140" i="30"/>
  <c r="AL140" i="30"/>
  <c r="AM140" i="30"/>
  <c r="AN140" i="30"/>
  <c r="AO140" i="30"/>
  <c r="AP140" i="30"/>
  <c r="AS140" i="30"/>
  <c r="AU140" i="30"/>
  <c r="AV138" i="30"/>
  <c r="L141" i="30"/>
  <c r="M141" i="30"/>
  <c r="N141" i="30"/>
  <c r="O141" i="30"/>
  <c r="F141" i="30"/>
  <c r="P141" i="30"/>
  <c r="G141" i="30"/>
  <c r="Q141" i="30"/>
  <c r="R141" i="30"/>
  <c r="S141" i="30"/>
  <c r="T141" i="30"/>
  <c r="V141" i="30"/>
  <c r="W141" i="30"/>
  <c r="AI141" i="30"/>
  <c r="AJ141" i="30"/>
  <c r="AK141" i="30"/>
  <c r="AL141" i="30"/>
  <c r="AM141" i="30"/>
  <c r="AN141" i="30"/>
  <c r="AO141" i="30"/>
  <c r="AP141" i="30"/>
  <c r="AS141" i="30"/>
  <c r="AU141" i="30"/>
  <c r="AV139" i="30"/>
  <c r="L142" i="30"/>
  <c r="M142" i="30"/>
  <c r="N142" i="30"/>
  <c r="O142" i="30"/>
  <c r="F142" i="30"/>
  <c r="P142" i="30"/>
  <c r="G142" i="30"/>
  <c r="Q142" i="30"/>
  <c r="H142" i="30"/>
  <c r="R142" i="30"/>
  <c r="I142" i="30"/>
  <c r="S142" i="30"/>
  <c r="T142" i="30"/>
  <c r="V142" i="30"/>
  <c r="W142" i="30"/>
  <c r="AI142" i="30"/>
  <c r="AJ142" i="30"/>
  <c r="AK142" i="30"/>
  <c r="AL142" i="30"/>
  <c r="AM142" i="30"/>
  <c r="AN142" i="30"/>
  <c r="AO142" i="30"/>
  <c r="AP142" i="30"/>
  <c r="AS142" i="30"/>
  <c r="AU142" i="30"/>
  <c r="AV140" i="30"/>
  <c r="L143" i="30"/>
  <c r="M143" i="30"/>
  <c r="N143" i="30"/>
  <c r="O143" i="30"/>
  <c r="F143" i="30"/>
  <c r="P143" i="30"/>
  <c r="G143" i="30"/>
  <c r="Q143" i="30"/>
  <c r="H143" i="30"/>
  <c r="R143" i="30"/>
  <c r="I143" i="30"/>
  <c r="S143" i="30"/>
  <c r="J143" i="30"/>
  <c r="T143" i="30"/>
  <c r="V143" i="30"/>
  <c r="W143" i="30"/>
  <c r="AI143" i="30"/>
  <c r="AJ143" i="30"/>
  <c r="AK143" i="30"/>
  <c r="AL143" i="30"/>
  <c r="AM143" i="30"/>
  <c r="AN143" i="30"/>
  <c r="AO143" i="30"/>
  <c r="AP143" i="30"/>
  <c r="AS143" i="30"/>
  <c r="AU143" i="30"/>
  <c r="AV141" i="30"/>
  <c r="L144" i="30"/>
  <c r="M144" i="30"/>
  <c r="N144" i="30"/>
  <c r="O144" i="30"/>
  <c r="F144" i="30"/>
  <c r="P144" i="30"/>
  <c r="G144" i="30"/>
  <c r="Q144" i="30"/>
  <c r="R144" i="30"/>
  <c r="S144" i="30"/>
  <c r="J144" i="30"/>
  <c r="T144" i="30"/>
  <c r="V144" i="30"/>
  <c r="W144" i="30"/>
  <c r="AI144" i="30"/>
  <c r="AJ144" i="30"/>
  <c r="AK144" i="30"/>
  <c r="AL144" i="30"/>
  <c r="AM144" i="30"/>
  <c r="AN144" i="30"/>
  <c r="AO144" i="30"/>
  <c r="AP144" i="30"/>
  <c r="AS144" i="30"/>
  <c r="AU144" i="30"/>
  <c r="AV142" i="30"/>
  <c r="L145" i="30"/>
  <c r="M145" i="30"/>
  <c r="N145" i="30"/>
  <c r="O145" i="30"/>
  <c r="F145" i="30"/>
  <c r="P145" i="30"/>
  <c r="G145" i="30"/>
  <c r="Q145" i="30"/>
  <c r="H145" i="30"/>
  <c r="R145" i="30"/>
  <c r="I145" i="30"/>
  <c r="S145" i="30"/>
  <c r="J145" i="30"/>
  <c r="T145" i="30"/>
  <c r="V145" i="30"/>
  <c r="W145" i="30"/>
  <c r="AI145" i="30"/>
  <c r="AJ145" i="30"/>
  <c r="AK145" i="30"/>
  <c r="AL145" i="30"/>
  <c r="AM145" i="30"/>
  <c r="AN145" i="30"/>
  <c r="AO145" i="30"/>
  <c r="AP145" i="30"/>
  <c r="AS145" i="30"/>
  <c r="AU145" i="30"/>
  <c r="AV143" i="30"/>
  <c r="L146" i="30"/>
  <c r="M146" i="30"/>
  <c r="N146" i="30"/>
  <c r="O146" i="30"/>
  <c r="F146" i="30"/>
  <c r="P146" i="30"/>
  <c r="G146" i="30"/>
  <c r="Q146" i="30"/>
  <c r="H146" i="30"/>
  <c r="R146" i="30"/>
  <c r="I146" i="30"/>
  <c r="S146" i="30"/>
  <c r="J146" i="30"/>
  <c r="T146" i="30"/>
  <c r="V146" i="30"/>
  <c r="W146" i="30"/>
  <c r="AI146" i="30"/>
  <c r="AJ146" i="30"/>
  <c r="AK146" i="30"/>
  <c r="AL146" i="30"/>
  <c r="AM146" i="30"/>
  <c r="AN146" i="30"/>
  <c r="AO146" i="30"/>
  <c r="AP146" i="30"/>
  <c r="AS146" i="30"/>
  <c r="AU146" i="30"/>
  <c r="AV144" i="30"/>
  <c r="L147" i="30"/>
  <c r="M147" i="30"/>
  <c r="N147" i="30"/>
  <c r="O147" i="30"/>
  <c r="F147" i="30"/>
  <c r="P147" i="30"/>
  <c r="Q147" i="30"/>
  <c r="H147" i="30"/>
  <c r="R147" i="30"/>
  <c r="I147" i="30"/>
  <c r="S147" i="30"/>
  <c r="J147" i="30"/>
  <c r="T147" i="30"/>
  <c r="V147" i="30"/>
  <c r="W147" i="30"/>
  <c r="AI147" i="30"/>
  <c r="AJ147" i="30"/>
  <c r="AK147" i="30"/>
  <c r="AL147" i="30"/>
  <c r="AM147" i="30"/>
  <c r="AN147" i="30"/>
  <c r="AO147" i="30"/>
  <c r="AP147" i="30"/>
  <c r="AS147" i="30"/>
  <c r="AU147" i="30"/>
  <c r="AV145" i="30"/>
  <c r="L148" i="30"/>
  <c r="M148" i="30"/>
  <c r="N148" i="30"/>
  <c r="O148" i="30"/>
  <c r="F148" i="30"/>
  <c r="P148" i="30"/>
  <c r="G148" i="30"/>
  <c r="Q148" i="30"/>
  <c r="H148" i="30"/>
  <c r="R148" i="30"/>
  <c r="I148" i="30"/>
  <c r="S148" i="30"/>
  <c r="J148" i="30"/>
  <c r="T148" i="30"/>
  <c r="V148" i="30"/>
  <c r="W148" i="30"/>
  <c r="AI148" i="30"/>
  <c r="AJ148" i="30"/>
  <c r="AK148" i="30"/>
  <c r="AL148" i="30"/>
  <c r="AM148" i="30"/>
  <c r="AN148" i="30"/>
  <c r="AO148" i="30"/>
  <c r="AP148" i="30"/>
  <c r="AS148" i="30"/>
  <c r="AU148" i="30"/>
  <c r="AV146" i="30"/>
  <c r="L149" i="30"/>
  <c r="M149" i="30"/>
  <c r="N149" i="30"/>
  <c r="O149" i="30"/>
  <c r="P149" i="30"/>
  <c r="G149" i="30"/>
  <c r="Q149" i="30"/>
  <c r="R149" i="30"/>
  <c r="S149" i="30"/>
  <c r="T149" i="30"/>
  <c r="V149" i="30"/>
  <c r="W149" i="30"/>
  <c r="AI149" i="30"/>
  <c r="AJ149" i="30"/>
  <c r="AK149" i="30"/>
  <c r="AL149" i="30"/>
  <c r="AM149" i="30"/>
  <c r="AN149" i="30"/>
  <c r="AO149" i="30"/>
  <c r="AP149" i="30"/>
  <c r="AS149" i="30"/>
  <c r="AU149" i="30"/>
  <c r="AV147" i="30"/>
  <c r="L150" i="30"/>
  <c r="M150" i="30"/>
  <c r="N150" i="30"/>
  <c r="O150" i="30"/>
  <c r="F150" i="30"/>
  <c r="P150" i="30"/>
  <c r="Q150" i="30"/>
  <c r="H150" i="30"/>
  <c r="R150" i="30"/>
  <c r="I150" i="30"/>
  <c r="S150" i="30"/>
  <c r="J150" i="30"/>
  <c r="T150" i="30"/>
  <c r="V150" i="30"/>
  <c r="W150" i="30"/>
  <c r="AI150" i="30"/>
  <c r="AJ150" i="30"/>
  <c r="AK150" i="30"/>
  <c r="AL150" i="30"/>
  <c r="AM150" i="30"/>
  <c r="AN150" i="30"/>
  <c r="AO150" i="30"/>
  <c r="AP150" i="30"/>
  <c r="AS150" i="30"/>
  <c r="AU150" i="30"/>
  <c r="AV148" i="30"/>
  <c r="L151" i="30"/>
  <c r="M151" i="30"/>
  <c r="N151" i="30"/>
  <c r="O151" i="30"/>
  <c r="F151" i="30"/>
  <c r="P151" i="30"/>
  <c r="G151" i="30"/>
  <c r="Q151" i="30"/>
  <c r="H151" i="30"/>
  <c r="R151" i="30"/>
  <c r="I151" i="30"/>
  <c r="S151" i="30"/>
  <c r="J151" i="30"/>
  <c r="T151" i="30"/>
  <c r="V151" i="30"/>
  <c r="W151" i="30"/>
  <c r="AI151" i="30"/>
  <c r="AJ151" i="30"/>
  <c r="AK151" i="30"/>
  <c r="AL151" i="30"/>
  <c r="AM151" i="30"/>
  <c r="AN151" i="30"/>
  <c r="AO151" i="30"/>
  <c r="AP151" i="30"/>
  <c r="AS151" i="30"/>
  <c r="AU151" i="30"/>
  <c r="AV149" i="30"/>
  <c r="L152" i="30"/>
  <c r="M152" i="30"/>
  <c r="N152" i="30"/>
  <c r="O152" i="30"/>
  <c r="P152" i="30"/>
  <c r="G152" i="30"/>
  <c r="Q152" i="30"/>
  <c r="H152" i="30"/>
  <c r="R152" i="30"/>
  <c r="I152" i="30"/>
  <c r="S152" i="30"/>
  <c r="J152" i="30"/>
  <c r="T152" i="30"/>
  <c r="V152" i="30"/>
  <c r="W152" i="30"/>
  <c r="AI152" i="30"/>
  <c r="AJ152" i="30"/>
  <c r="AK152" i="30"/>
  <c r="AL152" i="30"/>
  <c r="AM152" i="30"/>
  <c r="AN152" i="30"/>
  <c r="AO152" i="30"/>
  <c r="AP152" i="30"/>
  <c r="AS152" i="30"/>
  <c r="AU152" i="30"/>
  <c r="AV150" i="30"/>
  <c r="L153" i="30"/>
  <c r="M153" i="30"/>
  <c r="N153" i="30"/>
  <c r="O153" i="30"/>
  <c r="P153" i="30"/>
  <c r="G153" i="30"/>
  <c r="Q153" i="30"/>
  <c r="R153" i="30"/>
  <c r="S153" i="30"/>
  <c r="T153" i="30"/>
  <c r="V153" i="30"/>
  <c r="W153" i="30"/>
  <c r="AI153" i="30"/>
  <c r="AJ153" i="30"/>
  <c r="AK153" i="30"/>
  <c r="AL153" i="30"/>
  <c r="AM153" i="30"/>
  <c r="AN153" i="30"/>
  <c r="AO153" i="30"/>
  <c r="AP153" i="30"/>
  <c r="AS153" i="30"/>
  <c r="AU153" i="30"/>
  <c r="AV151" i="30"/>
  <c r="L154" i="30"/>
  <c r="C154" i="30"/>
  <c r="M154" i="30"/>
  <c r="N154" i="30"/>
  <c r="O154" i="30"/>
  <c r="P154" i="30"/>
  <c r="G154" i="30"/>
  <c r="Q154" i="30"/>
  <c r="R154" i="30"/>
  <c r="S154" i="30"/>
  <c r="T154" i="30"/>
  <c r="V154" i="30"/>
  <c r="W154" i="30"/>
  <c r="AI154" i="30"/>
  <c r="AJ154" i="30"/>
  <c r="AK154" i="30"/>
  <c r="AL154" i="30"/>
  <c r="AM154" i="30"/>
  <c r="AN154" i="30"/>
  <c r="AO154" i="30"/>
  <c r="AP154" i="30"/>
  <c r="AS154" i="30"/>
  <c r="AU154" i="30"/>
  <c r="AV152" i="30"/>
  <c r="L155" i="30"/>
  <c r="C155" i="30"/>
  <c r="M155" i="30"/>
  <c r="N155" i="30"/>
  <c r="O155" i="30"/>
  <c r="F155" i="30"/>
  <c r="P155" i="30"/>
  <c r="G155" i="30"/>
  <c r="Q155" i="30"/>
  <c r="H155" i="30"/>
  <c r="R155" i="30"/>
  <c r="I155" i="30"/>
  <c r="S155" i="30"/>
  <c r="J155" i="30"/>
  <c r="T155" i="30"/>
  <c r="V155" i="30"/>
  <c r="W155" i="30"/>
  <c r="AI155" i="30"/>
  <c r="AJ155" i="30"/>
  <c r="AK155" i="30"/>
  <c r="AL155" i="30"/>
  <c r="AM155" i="30"/>
  <c r="AN155" i="30"/>
  <c r="AO155" i="30"/>
  <c r="AP155" i="30"/>
  <c r="AS155" i="30"/>
  <c r="AU155" i="30"/>
  <c r="AV153" i="30"/>
  <c r="L156" i="30"/>
  <c r="C156" i="30"/>
  <c r="M156" i="30"/>
  <c r="N156" i="30"/>
  <c r="O156" i="30"/>
  <c r="F156" i="30"/>
  <c r="P156" i="30"/>
  <c r="G156" i="30"/>
  <c r="Q156" i="30"/>
  <c r="H156" i="30"/>
  <c r="R156" i="30"/>
  <c r="I156" i="30"/>
  <c r="S156" i="30"/>
  <c r="J156" i="30"/>
  <c r="T156" i="30"/>
  <c r="V156" i="30"/>
  <c r="W156" i="30"/>
  <c r="AI156" i="30"/>
  <c r="AJ156" i="30"/>
  <c r="AK156" i="30"/>
  <c r="AL156" i="30"/>
  <c r="AM156" i="30"/>
  <c r="AN156" i="30"/>
  <c r="AO156" i="30"/>
  <c r="AP156" i="30"/>
  <c r="AS156" i="30"/>
  <c r="AU156" i="30"/>
  <c r="AV154" i="30"/>
  <c r="L157" i="30"/>
  <c r="C157" i="30"/>
  <c r="M157" i="30"/>
  <c r="N157" i="30"/>
  <c r="O157" i="30"/>
  <c r="P157" i="30"/>
  <c r="G157" i="30"/>
  <c r="Q157" i="30"/>
  <c r="H157" i="30"/>
  <c r="R157" i="30"/>
  <c r="I157" i="30"/>
  <c r="S157" i="30"/>
  <c r="J157" i="30"/>
  <c r="T157" i="30"/>
  <c r="V157" i="30"/>
  <c r="W157" i="30"/>
  <c r="AI157" i="30"/>
  <c r="AJ157" i="30"/>
  <c r="AK157" i="30"/>
  <c r="AL157" i="30"/>
  <c r="AM157" i="30"/>
  <c r="AN157" i="30"/>
  <c r="AO157" i="30"/>
  <c r="AP157" i="30"/>
  <c r="AS157" i="30"/>
  <c r="AU157" i="30"/>
  <c r="AV155" i="30"/>
  <c r="L158" i="30"/>
  <c r="C158" i="30"/>
  <c r="M158" i="30"/>
  <c r="N158" i="30"/>
  <c r="O158" i="30"/>
  <c r="F158" i="30"/>
  <c r="P158" i="30"/>
  <c r="G158" i="30"/>
  <c r="Q158" i="30"/>
  <c r="H158" i="30"/>
  <c r="R158" i="30"/>
  <c r="I158" i="30"/>
  <c r="S158" i="30"/>
  <c r="J158" i="30"/>
  <c r="T158" i="30"/>
  <c r="V158" i="30"/>
  <c r="W158" i="30"/>
  <c r="AI158" i="30"/>
  <c r="AJ158" i="30"/>
  <c r="AK158" i="30"/>
  <c r="AL158" i="30"/>
  <c r="AM158" i="30"/>
  <c r="AN158" i="30"/>
  <c r="AO158" i="30"/>
  <c r="AP158" i="30"/>
  <c r="AS158" i="30"/>
  <c r="AU158" i="30"/>
  <c r="AV156" i="30"/>
  <c r="L159" i="30"/>
  <c r="C159" i="30"/>
  <c r="M159" i="30"/>
  <c r="N159" i="30"/>
  <c r="O159" i="30"/>
  <c r="P159" i="30"/>
  <c r="G159" i="30"/>
  <c r="Q159" i="30"/>
  <c r="H159" i="30"/>
  <c r="R159" i="30"/>
  <c r="I159" i="30"/>
  <c r="S159" i="30"/>
  <c r="J159" i="30"/>
  <c r="T159" i="30"/>
  <c r="V159" i="30"/>
  <c r="W159" i="30"/>
  <c r="AI159" i="30"/>
  <c r="AJ159" i="30"/>
  <c r="AK159" i="30"/>
  <c r="AL159" i="30"/>
  <c r="AM159" i="30"/>
  <c r="AN159" i="30"/>
  <c r="AO159" i="30"/>
  <c r="AP159" i="30"/>
  <c r="AS159" i="30"/>
  <c r="AU159" i="30"/>
  <c r="AV157" i="30"/>
  <c r="L160" i="30"/>
  <c r="C160" i="30"/>
  <c r="M160" i="30"/>
  <c r="N160" i="30"/>
  <c r="E160" i="30"/>
  <c r="O160" i="30"/>
  <c r="F160" i="30"/>
  <c r="P160" i="30"/>
  <c r="G160" i="30"/>
  <c r="Q160" i="30"/>
  <c r="H160" i="30"/>
  <c r="R160" i="30"/>
  <c r="I160" i="30"/>
  <c r="S160" i="30"/>
  <c r="J160" i="30"/>
  <c r="T160" i="30"/>
  <c r="V160" i="30"/>
  <c r="W160" i="30"/>
  <c r="AI160" i="30"/>
  <c r="AJ160" i="30"/>
  <c r="AK160" i="30"/>
  <c r="AL160" i="30"/>
  <c r="AM160" i="30"/>
  <c r="AN160" i="30"/>
  <c r="AO160" i="30"/>
  <c r="AP160" i="30"/>
  <c r="AS160" i="30"/>
  <c r="AU160" i="30"/>
  <c r="AV158" i="30"/>
  <c r="L161" i="30"/>
  <c r="C161" i="30"/>
  <c r="M161" i="30"/>
  <c r="N161" i="30"/>
  <c r="E161" i="30"/>
  <c r="O161" i="30"/>
  <c r="F161" i="30"/>
  <c r="P161" i="30"/>
  <c r="G161" i="30"/>
  <c r="Q161" i="30"/>
  <c r="H161" i="30"/>
  <c r="R161" i="30"/>
  <c r="I161" i="30"/>
  <c r="S161" i="30"/>
  <c r="T161" i="30"/>
  <c r="V161" i="30"/>
  <c r="W161" i="30"/>
  <c r="AI161" i="30"/>
  <c r="AJ161" i="30"/>
  <c r="AK161" i="30"/>
  <c r="AL161" i="30"/>
  <c r="AM161" i="30"/>
  <c r="AN161" i="30"/>
  <c r="AO161" i="30"/>
  <c r="AP161" i="30"/>
  <c r="AS161" i="30"/>
  <c r="AU161" i="30"/>
  <c r="AV159" i="30"/>
  <c r="L162" i="30"/>
  <c r="C162" i="30"/>
  <c r="M162" i="30"/>
  <c r="N162" i="30"/>
  <c r="E162" i="30"/>
  <c r="O162" i="30"/>
  <c r="F162" i="30"/>
  <c r="P162" i="30"/>
  <c r="G162" i="30"/>
  <c r="Q162" i="30"/>
  <c r="H162" i="30"/>
  <c r="R162" i="30"/>
  <c r="I162" i="30"/>
  <c r="S162" i="30"/>
  <c r="J162" i="30"/>
  <c r="T162" i="30"/>
  <c r="V162" i="30"/>
  <c r="W162" i="30"/>
  <c r="AI162" i="30"/>
  <c r="AJ162" i="30"/>
  <c r="AK162" i="30"/>
  <c r="AL162" i="30"/>
  <c r="AM162" i="30"/>
  <c r="AN162" i="30"/>
  <c r="AO162" i="30"/>
  <c r="AP162" i="30"/>
  <c r="AS162" i="30"/>
  <c r="AU162" i="30"/>
  <c r="AV160" i="30"/>
  <c r="L163" i="30"/>
  <c r="C163" i="30"/>
  <c r="M163" i="30"/>
  <c r="N163" i="30"/>
  <c r="E163" i="30"/>
  <c r="O163" i="30"/>
  <c r="F163" i="30"/>
  <c r="P163" i="30"/>
  <c r="G163" i="30"/>
  <c r="Q163" i="30"/>
  <c r="H163" i="30"/>
  <c r="R163" i="30"/>
  <c r="I163" i="30"/>
  <c r="S163" i="30"/>
  <c r="J163" i="30"/>
  <c r="T163" i="30"/>
  <c r="V163" i="30"/>
  <c r="W163" i="30"/>
  <c r="AI163" i="30"/>
  <c r="AJ163" i="30"/>
  <c r="AK163" i="30"/>
  <c r="AL163" i="30"/>
  <c r="AM163" i="30"/>
  <c r="AN163" i="30"/>
  <c r="AO163" i="30"/>
  <c r="AP163" i="30"/>
  <c r="AS163" i="30"/>
  <c r="AU163" i="30"/>
  <c r="AV161" i="30"/>
  <c r="L164" i="30"/>
  <c r="C164" i="30"/>
  <c r="M164" i="30"/>
  <c r="N164" i="30"/>
  <c r="E164" i="30"/>
  <c r="O164" i="30"/>
  <c r="F164" i="30"/>
  <c r="P164" i="30"/>
  <c r="G164" i="30"/>
  <c r="Q164" i="30"/>
  <c r="H164" i="30"/>
  <c r="R164" i="30"/>
  <c r="I164" i="30"/>
  <c r="S164" i="30"/>
  <c r="J164" i="30"/>
  <c r="T164" i="30"/>
  <c r="V164" i="30"/>
  <c r="W164" i="30"/>
  <c r="AI164" i="30"/>
  <c r="AJ164" i="30"/>
  <c r="AK164" i="30"/>
  <c r="AL164" i="30"/>
  <c r="AM164" i="30"/>
  <c r="AN164" i="30"/>
  <c r="AO164" i="30"/>
  <c r="AP164" i="30"/>
  <c r="AS164" i="30"/>
  <c r="AU164" i="30"/>
  <c r="AV162" i="30"/>
  <c r="L165" i="30"/>
  <c r="C165" i="30"/>
  <c r="M165" i="30"/>
  <c r="N165" i="30"/>
  <c r="E165" i="30"/>
  <c r="O165" i="30"/>
  <c r="F165" i="30"/>
  <c r="P165" i="30"/>
  <c r="G165" i="30"/>
  <c r="Q165" i="30"/>
  <c r="H165" i="30"/>
  <c r="R165" i="30"/>
  <c r="I165" i="30"/>
  <c r="S165" i="30"/>
  <c r="J165" i="30"/>
  <c r="T165" i="30"/>
  <c r="V165" i="30"/>
  <c r="W165" i="30"/>
  <c r="AI165" i="30"/>
  <c r="AJ165" i="30"/>
  <c r="AK165" i="30"/>
  <c r="AL165" i="30"/>
  <c r="AM165" i="30"/>
  <c r="AN165" i="30"/>
  <c r="AO165" i="30"/>
  <c r="AP165" i="30"/>
  <c r="AS165" i="30"/>
  <c r="AU165" i="30"/>
  <c r="AV163" i="30"/>
  <c r="L166" i="30"/>
  <c r="C166" i="30"/>
  <c r="M166" i="30"/>
  <c r="N166" i="30"/>
  <c r="E166" i="30"/>
  <c r="O166" i="30"/>
  <c r="F166" i="30"/>
  <c r="P166" i="30"/>
  <c r="G166" i="30"/>
  <c r="Q166" i="30"/>
  <c r="H166" i="30"/>
  <c r="R166" i="30"/>
  <c r="I166" i="30"/>
  <c r="S166" i="30"/>
  <c r="J166" i="30"/>
  <c r="T166" i="30"/>
  <c r="V166" i="30"/>
  <c r="W166" i="30"/>
  <c r="AI166" i="30"/>
  <c r="AJ166" i="30"/>
  <c r="AK166" i="30"/>
  <c r="AL166" i="30"/>
  <c r="AM166" i="30"/>
  <c r="AN166" i="30"/>
  <c r="AO166" i="30"/>
  <c r="AP166" i="30"/>
  <c r="AS166" i="30"/>
  <c r="AU166" i="30"/>
  <c r="AV164" i="30"/>
  <c r="L167" i="30"/>
  <c r="C167" i="30"/>
  <c r="M167" i="30"/>
  <c r="N167" i="30"/>
  <c r="E167" i="30"/>
  <c r="O167" i="30"/>
  <c r="F167" i="30"/>
  <c r="P167" i="30"/>
  <c r="G167" i="30"/>
  <c r="Q167" i="30"/>
  <c r="R167" i="30"/>
  <c r="S167" i="30"/>
  <c r="J167" i="30"/>
  <c r="T167" i="30"/>
  <c r="V167" i="30"/>
  <c r="W167" i="30"/>
  <c r="AI167" i="30"/>
  <c r="AJ167" i="30"/>
  <c r="AK167" i="30"/>
  <c r="AL167" i="30"/>
  <c r="AM167" i="30"/>
  <c r="AN167" i="30"/>
  <c r="AO167" i="30"/>
  <c r="AP167" i="30"/>
  <c r="AS167" i="30"/>
  <c r="AU167" i="30"/>
  <c r="AV165" i="30"/>
  <c r="L168" i="30"/>
  <c r="C168" i="30"/>
  <c r="M168" i="30"/>
  <c r="N168" i="30"/>
  <c r="E168" i="30"/>
  <c r="O168" i="30"/>
  <c r="F168" i="30"/>
  <c r="P168" i="30"/>
  <c r="G168" i="30"/>
  <c r="Q168" i="30"/>
  <c r="R168" i="30"/>
  <c r="S168" i="30"/>
  <c r="J168" i="30"/>
  <c r="T168" i="30"/>
  <c r="V168" i="30"/>
  <c r="W168" i="30"/>
  <c r="AI168" i="30"/>
  <c r="AJ168" i="30"/>
  <c r="AK168" i="30"/>
  <c r="AL168" i="30"/>
  <c r="AM168" i="30"/>
  <c r="AN168" i="30"/>
  <c r="AO168" i="30"/>
  <c r="AP168" i="30"/>
  <c r="AS168" i="30"/>
  <c r="AU168" i="30"/>
  <c r="AV166" i="30"/>
  <c r="L169" i="30"/>
  <c r="C169" i="30"/>
  <c r="M169" i="30"/>
  <c r="N169" i="30"/>
  <c r="E169" i="30"/>
  <c r="O169" i="30"/>
  <c r="F169" i="30"/>
  <c r="P169" i="30"/>
  <c r="G169" i="30"/>
  <c r="Q169" i="30"/>
  <c r="H169" i="30"/>
  <c r="R169" i="30"/>
  <c r="I169" i="30"/>
  <c r="S169" i="30"/>
  <c r="J169" i="30"/>
  <c r="T169" i="30"/>
  <c r="V169" i="30"/>
  <c r="W169" i="30"/>
  <c r="AI169" i="30"/>
  <c r="AJ169" i="30"/>
  <c r="AK169" i="30"/>
  <c r="AL169" i="30"/>
  <c r="AM169" i="30"/>
  <c r="AN169" i="30"/>
  <c r="AO169" i="30"/>
  <c r="AP169" i="30"/>
  <c r="AS169" i="30"/>
  <c r="AU169" i="30"/>
  <c r="AV167" i="30"/>
  <c r="L170" i="30"/>
  <c r="C170" i="30"/>
  <c r="M170" i="30"/>
  <c r="N170" i="30"/>
  <c r="E170" i="30"/>
  <c r="O170" i="30"/>
  <c r="F170" i="30"/>
  <c r="P170" i="30"/>
  <c r="G170" i="30"/>
  <c r="Q170" i="30"/>
  <c r="H170" i="30"/>
  <c r="R170" i="30"/>
  <c r="I170" i="30"/>
  <c r="S170" i="30"/>
  <c r="J170" i="30"/>
  <c r="T170" i="30"/>
  <c r="V170" i="30"/>
  <c r="W170" i="30"/>
  <c r="AI170" i="30"/>
  <c r="AJ170" i="30"/>
  <c r="AK170" i="30"/>
  <c r="AL170" i="30"/>
  <c r="AM170" i="30"/>
  <c r="AN170" i="30"/>
  <c r="AO170" i="30"/>
  <c r="AP170" i="30"/>
  <c r="AS170" i="30"/>
  <c r="AU170" i="30"/>
  <c r="AV168" i="30"/>
  <c r="L171" i="30"/>
  <c r="C171" i="30"/>
  <c r="M171" i="30"/>
  <c r="N171" i="30"/>
  <c r="E171" i="30"/>
  <c r="O171" i="30"/>
  <c r="F171" i="30"/>
  <c r="P171" i="30"/>
  <c r="G171" i="30"/>
  <c r="Q171" i="30"/>
  <c r="H171" i="30"/>
  <c r="R171" i="30"/>
  <c r="I171" i="30"/>
  <c r="S171" i="30"/>
  <c r="J171" i="30"/>
  <c r="T171" i="30"/>
  <c r="V171" i="30"/>
  <c r="W171" i="30"/>
  <c r="AI171" i="30"/>
  <c r="AJ171" i="30"/>
  <c r="AK171" i="30"/>
  <c r="AL171" i="30"/>
  <c r="AM171" i="30"/>
  <c r="AN171" i="30"/>
  <c r="AO171" i="30"/>
  <c r="AP171" i="30"/>
  <c r="AS171" i="30"/>
  <c r="AU171" i="30"/>
  <c r="AV169" i="30"/>
  <c r="L172" i="30"/>
  <c r="C172" i="30"/>
  <c r="M172" i="30"/>
  <c r="N172" i="30"/>
  <c r="E172" i="30"/>
  <c r="O172" i="30"/>
  <c r="F172" i="30"/>
  <c r="P172" i="30"/>
  <c r="G172" i="30"/>
  <c r="Q172" i="30"/>
  <c r="H172" i="30"/>
  <c r="R172" i="30"/>
  <c r="I172" i="30"/>
  <c r="S172" i="30"/>
  <c r="J172" i="30"/>
  <c r="T172" i="30"/>
  <c r="V172" i="30"/>
  <c r="W172" i="30"/>
  <c r="AI172" i="30"/>
  <c r="AJ172" i="30"/>
  <c r="AK172" i="30"/>
  <c r="AL172" i="30"/>
  <c r="AM172" i="30"/>
  <c r="AN172" i="30"/>
  <c r="AO172" i="30"/>
  <c r="AP172" i="30"/>
  <c r="AS172" i="30"/>
  <c r="AU172" i="30"/>
  <c r="AV170" i="30"/>
  <c r="L173" i="30"/>
  <c r="C173" i="30"/>
  <c r="M173" i="30"/>
  <c r="N173" i="30"/>
  <c r="E173" i="30"/>
  <c r="O173" i="30"/>
  <c r="F173" i="30"/>
  <c r="P173" i="30"/>
  <c r="G173" i="30"/>
  <c r="Q173" i="30"/>
  <c r="H173" i="30"/>
  <c r="R173" i="30"/>
  <c r="I173" i="30"/>
  <c r="S173" i="30"/>
  <c r="J173" i="30"/>
  <c r="T173" i="30"/>
  <c r="V173" i="30"/>
  <c r="W173" i="30"/>
  <c r="AI173" i="30"/>
  <c r="AJ173" i="30"/>
  <c r="AK173" i="30"/>
  <c r="AL173" i="30"/>
  <c r="AM173" i="30"/>
  <c r="AN173" i="30"/>
  <c r="AO173" i="30"/>
  <c r="AP173" i="30"/>
  <c r="AS173" i="30"/>
  <c r="AU173" i="30"/>
  <c r="AV171" i="30"/>
  <c r="L174" i="30"/>
  <c r="C174" i="30"/>
  <c r="M174" i="30"/>
  <c r="N174" i="30"/>
  <c r="E174" i="30"/>
  <c r="O174" i="30"/>
  <c r="F174" i="30"/>
  <c r="P174" i="30"/>
  <c r="G174" i="30"/>
  <c r="Q174" i="30"/>
  <c r="H174" i="30"/>
  <c r="R174" i="30"/>
  <c r="I174" i="30"/>
  <c r="S174" i="30"/>
  <c r="J174" i="30"/>
  <c r="T174" i="30"/>
  <c r="V174" i="30"/>
  <c r="W174" i="30"/>
  <c r="AI174" i="30"/>
  <c r="AJ174" i="30"/>
  <c r="AK174" i="30"/>
  <c r="AL174" i="30"/>
  <c r="AM174" i="30"/>
  <c r="AN174" i="30"/>
  <c r="AO174" i="30"/>
  <c r="AP174" i="30"/>
  <c r="AS174" i="30"/>
  <c r="AU174" i="30"/>
  <c r="AV172" i="30"/>
  <c r="L175" i="30"/>
  <c r="C175" i="30"/>
  <c r="M175" i="30"/>
  <c r="N175" i="30"/>
  <c r="E175" i="30"/>
  <c r="O175" i="30"/>
  <c r="F175" i="30"/>
  <c r="P175" i="30"/>
  <c r="G175" i="30"/>
  <c r="Q175" i="30"/>
  <c r="H175" i="30"/>
  <c r="R175" i="30"/>
  <c r="I175" i="30"/>
  <c r="S175" i="30"/>
  <c r="J175" i="30"/>
  <c r="T175" i="30"/>
  <c r="V175" i="30"/>
  <c r="W175" i="30"/>
  <c r="AI175" i="30"/>
  <c r="AJ175" i="30"/>
  <c r="AK175" i="30"/>
  <c r="AL175" i="30"/>
  <c r="AM175" i="30"/>
  <c r="AN175" i="30"/>
  <c r="AO175" i="30"/>
  <c r="AP175" i="30"/>
  <c r="AS175" i="30"/>
  <c r="AU175" i="30"/>
  <c r="AV173" i="30"/>
  <c r="L176" i="30"/>
  <c r="C176" i="30"/>
  <c r="M176" i="30"/>
  <c r="N176" i="30"/>
  <c r="E176" i="30"/>
  <c r="O176" i="30"/>
  <c r="F176" i="30"/>
  <c r="P176" i="30"/>
  <c r="G176" i="30"/>
  <c r="Q176" i="30"/>
  <c r="H176" i="30"/>
  <c r="R176" i="30"/>
  <c r="I176" i="30"/>
  <c r="S176" i="30"/>
  <c r="J176" i="30"/>
  <c r="T176" i="30"/>
  <c r="V176" i="30"/>
  <c r="W176" i="30"/>
  <c r="AI176" i="30"/>
  <c r="AJ176" i="30"/>
  <c r="AK176" i="30"/>
  <c r="AL176" i="30"/>
  <c r="AM176" i="30"/>
  <c r="AN176" i="30"/>
  <c r="AO176" i="30"/>
  <c r="AP176" i="30"/>
  <c r="AS176" i="30"/>
  <c r="AU176" i="30"/>
  <c r="AV174" i="30"/>
  <c r="L177" i="30"/>
  <c r="C177" i="30"/>
  <c r="M177" i="30"/>
  <c r="N177" i="30"/>
  <c r="E177" i="30"/>
  <c r="O177" i="30"/>
  <c r="F177" i="30"/>
  <c r="P177" i="30"/>
  <c r="G177" i="30"/>
  <c r="Q177" i="30"/>
  <c r="H177" i="30"/>
  <c r="R177" i="30"/>
  <c r="I177" i="30"/>
  <c r="S177" i="30"/>
  <c r="J177" i="30"/>
  <c r="T177" i="30"/>
  <c r="V177" i="30"/>
  <c r="W177" i="30"/>
  <c r="AI177" i="30"/>
  <c r="AJ177" i="30"/>
  <c r="AK177" i="30"/>
  <c r="AL177" i="30"/>
  <c r="AM177" i="30"/>
  <c r="AN177" i="30"/>
  <c r="AO177" i="30"/>
  <c r="AP177" i="30"/>
  <c r="AS177" i="30"/>
  <c r="AU177" i="30"/>
  <c r="AV175" i="30"/>
  <c r="L178" i="30"/>
  <c r="C178" i="30"/>
  <c r="M178" i="30"/>
  <c r="N178" i="30"/>
  <c r="E178" i="30"/>
  <c r="O178" i="30"/>
  <c r="P178" i="30"/>
  <c r="G178" i="30"/>
  <c r="Q178" i="30"/>
  <c r="R178" i="30"/>
  <c r="S178" i="30"/>
  <c r="J178" i="30"/>
  <c r="T178" i="30"/>
  <c r="V178" i="30"/>
  <c r="W178" i="30"/>
  <c r="AI178" i="30"/>
  <c r="AJ178" i="30"/>
  <c r="AK178" i="30"/>
  <c r="AL178" i="30"/>
  <c r="AM178" i="30"/>
  <c r="AN178" i="30"/>
  <c r="AO178" i="30"/>
  <c r="AP178" i="30"/>
  <c r="AS178" i="30"/>
  <c r="AU178" i="30"/>
  <c r="AV176" i="30"/>
  <c r="L179" i="30"/>
  <c r="C179" i="30"/>
  <c r="M179" i="30"/>
  <c r="N179" i="30"/>
  <c r="O179" i="30"/>
  <c r="P179" i="30"/>
  <c r="G179" i="30"/>
  <c r="Q179" i="30"/>
  <c r="R179" i="30"/>
  <c r="S179" i="30"/>
  <c r="J179" i="30"/>
  <c r="T179" i="30"/>
  <c r="V179" i="30"/>
  <c r="W179" i="30"/>
  <c r="AI179" i="30"/>
  <c r="AJ179" i="30"/>
  <c r="AK179" i="30"/>
  <c r="AL179" i="30"/>
  <c r="AM179" i="30"/>
  <c r="AN179" i="30"/>
  <c r="AO179" i="30"/>
  <c r="AP179" i="30"/>
  <c r="AS179" i="30"/>
  <c r="AU179" i="30"/>
  <c r="AV177" i="30"/>
  <c r="L180" i="30"/>
  <c r="C180" i="30"/>
  <c r="M180" i="30"/>
  <c r="D180" i="30"/>
  <c r="N180" i="30"/>
  <c r="O180" i="30"/>
  <c r="F180" i="30"/>
  <c r="P180" i="30"/>
  <c r="G180" i="30"/>
  <c r="Q180" i="30"/>
  <c r="H180" i="30"/>
  <c r="R180" i="30"/>
  <c r="I180" i="30"/>
  <c r="S180" i="30"/>
  <c r="J180" i="30"/>
  <c r="T180" i="30"/>
  <c r="V180" i="30"/>
  <c r="W180" i="30"/>
  <c r="AI180" i="30"/>
  <c r="AJ180" i="30"/>
  <c r="AK180" i="30"/>
  <c r="AL180" i="30"/>
  <c r="AM180" i="30"/>
  <c r="AN180" i="30"/>
  <c r="AO180" i="30"/>
  <c r="AP180" i="30"/>
  <c r="AS180" i="30"/>
  <c r="AU180" i="30"/>
  <c r="AV178" i="30"/>
  <c r="L181" i="30"/>
  <c r="M181" i="30"/>
  <c r="D181" i="30"/>
  <c r="N181" i="30"/>
  <c r="O181" i="30"/>
  <c r="P181" i="30"/>
  <c r="G181" i="30"/>
  <c r="Q181" i="30"/>
  <c r="R181" i="30"/>
  <c r="S181" i="30"/>
  <c r="J181" i="30"/>
  <c r="T181" i="30"/>
  <c r="V181" i="30"/>
  <c r="W181" i="30"/>
  <c r="AI181" i="30"/>
  <c r="AJ181" i="30"/>
  <c r="AK181" i="30"/>
  <c r="AL181" i="30"/>
  <c r="AM181" i="30"/>
  <c r="AN181" i="30"/>
  <c r="AO181" i="30"/>
  <c r="AP181" i="30"/>
  <c r="AS181" i="30"/>
  <c r="AU181" i="30"/>
  <c r="AV179" i="30"/>
  <c r="L182" i="30"/>
  <c r="M182" i="30"/>
  <c r="D182" i="30"/>
  <c r="N182" i="30"/>
  <c r="O182" i="30"/>
  <c r="P182" i="30"/>
  <c r="G182" i="30"/>
  <c r="Q182" i="30"/>
  <c r="H182" i="30"/>
  <c r="R182" i="30"/>
  <c r="I182" i="30"/>
  <c r="S182" i="30"/>
  <c r="T182" i="30"/>
  <c r="V182" i="30"/>
  <c r="W182" i="30"/>
  <c r="AI182" i="30"/>
  <c r="AJ182" i="30"/>
  <c r="AK182" i="30"/>
  <c r="AL182" i="30"/>
  <c r="AM182" i="30"/>
  <c r="AN182" i="30"/>
  <c r="AO182" i="30"/>
  <c r="AP182" i="30"/>
  <c r="AS182" i="30"/>
  <c r="AU182" i="30"/>
  <c r="AV180" i="30"/>
  <c r="L183" i="30"/>
  <c r="M183" i="30"/>
  <c r="D183" i="30"/>
  <c r="N183" i="30"/>
  <c r="O183" i="30"/>
  <c r="P183" i="30"/>
  <c r="G183" i="30"/>
  <c r="Q183" i="30"/>
  <c r="H183" i="30"/>
  <c r="R183" i="30"/>
  <c r="S183" i="30"/>
  <c r="T183" i="30"/>
  <c r="V183" i="30"/>
  <c r="W183" i="30"/>
  <c r="AI183" i="30"/>
  <c r="AJ183" i="30"/>
  <c r="AK183" i="30"/>
  <c r="AL183" i="30"/>
  <c r="AM183" i="30"/>
  <c r="AN183" i="30"/>
  <c r="AO183" i="30"/>
  <c r="AP183" i="30"/>
  <c r="AS183" i="30"/>
  <c r="AU183" i="30"/>
  <c r="AV181" i="30"/>
  <c r="L184" i="30"/>
  <c r="M184" i="30"/>
  <c r="D184" i="30"/>
  <c r="N184" i="30"/>
  <c r="O184" i="30"/>
  <c r="P184" i="30"/>
  <c r="G184" i="30"/>
  <c r="Q184" i="30"/>
  <c r="R184" i="30"/>
  <c r="S184" i="30"/>
  <c r="T184" i="30"/>
  <c r="V184" i="30"/>
  <c r="W184" i="30"/>
  <c r="AI184" i="30"/>
  <c r="AJ184" i="30"/>
  <c r="AK184" i="30"/>
  <c r="AL184" i="30"/>
  <c r="AM184" i="30"/>
  <c r="AN184" i="30"/>
  <c r="AO184" i="30"/>
  <c r="AP184" i="30"/>
  <c r="AS184" i="30"/>
  <c r="AU184" i="30"/>
  <c r="AV182" i="30"/>
  <c r="L185" i="30"/>
  <c r="M185" i="30"/>
  <c r="D185" i="30"/>
  <c r="N185" i="30"/>
  <c r="O185" i="30"/>
  <c r="P185" i="30"/>
  <c r="G185" i="30"/>
  <c r="Q185" i="30"/>
  <c r="R185" i="30"/>
  <c r="S185" i="30"/>
  <c r="T185" i="30"/>
  <c r="V185" i="30"/>
  <c r="W185" i="30"/>
  <c r="AI185" i="30"/>
  <c r="AJ185" i="30"/>
  <c r="AK185" i="30"/>
  <c r="AL185" i="30"/>
  <c r="AM185" i="30"/>
  <c r="AN185" i="30"/>
  <c r="AO185" i="30"/>
  <c r="AP185" i="30"/>
  <c r="AS185" i="30"/>
  <c r="AU185" i="30"/>
  <c r="AV183" i="30"/>
  <c r="L186" i="30"/>
  <c r="M186" i="30"/>
  <c r="D186" i="30"/>
  <c r="N186" i="30"/>
  <c r="O186" i="30"/>
  <c r="P186" i="30"/>
  <c r="G186" i="30"/>
  <c r="Q186" i="30"/>
  <c r="R186" i="30"/>
  <c r="S186" i="30"/>
  <c r="T186" i="30"/>
  <c r="V186" i="30"/>
  <c r="W186" i="30"/>
  <c r="AI186" i="30"/>
  <c r="AJ186" i="30"/>
  <c r="AK186" i="30"/>
  <c r="AL186" i="30"/>
  <c r="AM186" i="30"/>
  <c r="AN186" i="30"/>
  <c r="AO186" i="30"/>
  <c r="AP186" i="30"/>
  <c r="AS186" i="30"/>
  <c r="AU186" i="30"/>
  <c r="AV184" i="30"/>
  <c r="L187" i="30"/>
  <c r="M187" i="30"/>
  <c r="D187" i="30"/>
  <c r="N187" i="30"/>
  <c r="O187" i="30"/>
  <c r="P187" i="30"/>
  <c r="G187" i="30"/>
  <c r="Q187" i="30"/>
  <c r="R187" i="30"/>
  <c r="S187" i="30"/>
  <c r="T187" i="30"/>
  <c r="V187" i="30"/>
  <c r="W187" i="30"/>
  <c r="AI187" i="30"/>
  <c r="AJ187" i="30"/>
  <c r="AK187" i="30"/>
  <c r="AL187" i="30"/>
  <c r="AM187" i="30"/>
  <c r="AN187" i="30"/>
  <c r="AO187" i="30"/>
  <c r="AP187" i="30"/>
  <c r="AS187" i="30"/>
  <c r="AU187" i="30"/>
  <c r="AV185" i="30"/>
  <c r="L188" i="30"/>
  <c r="M188" i="30"/>
  <c r="D188" i="30"/>
  <c r="N188" i="30"/>
  <c r="O188" i="30"/>
  <c r="P188" i="30"/>
  <c r="G188" i="30"/>
  <c r="Q188" i="30"/>
  <c r="R188" i="30"/>
  <c r="S188" i="30"/>
  <c r="T188" i="30"/>
  <c r="V188" i="30"/>
  <c r="W188" i="30"/>
  <c r="AI188" i="30"/>
  <c r="AJ188" i="30"/>
  <c r="AK188" i="30"/>
  <c r="AL188" i="30"/>
  <c r="AM188" i="30"/>
  <c r="AN188" i="30"/>
  <c r="AO188" i="30"/>
  <c r="AP188" i="30"/>
  <c r="AS188" i="30"/>
  <c r="AU188" i="30"/>
  <c r="AV186" i="30"/>
  <c r="L189" i="30"/>
  <c r="M189" i="30"/>
  <c r="N189" i="30"/>
  <c r="O189" i="30"/>
  <c r="P189" i="30"/>
  <c r="G189" i="30"/>
  <c r="Q189" i="30"/>
  <c r="R189" i="30"/>
  <c r="S189" i="30"/>
  <c r="T189" i="30"/>
  <c r="V189" i="30"/>
  <c r="W189" i="30"/>
  <c r="AI189" i="30"/>
  <c r="AJ189" i="30"/>
  <c r="AK189" i="30"/>
  <c r="AL189" i="30"/>
  <c r="AM189" i="30"/>
  <c r="AN189" i="30"/>
  <c r="AO189" i="30"/>
  <c r="AP189" i="30"/>
  <c r="AS189" i="30"/>
  <c r="AU189" i="30"/>
  <c r="AV187" i="30"/>
  <c r="L190" i="30"/>
  <c r="M190" i="30"/>
  <c r="N190" i="30"/>
  <c r="O190" i="30"/>
  <c r="P190" i="30"/>
  <c r="G190" i="30"/>
  <c r="Q190" i="30"/>
  <c r="R190" i="30"/>
  <c r="S190" i="30"/>
  <c r="T190" i="30"/>
  <c r="V190" i="30"/>
  <c r="W190" i="30"/>
  <c r="AI190" i="30"/>
  <c r="AJ190" i="30"/>
  <c r="AK190" i="30"/>
  <c r="AL190" i="30"/>
  <c r="AM190" i="30"/>
  <c r="AN190" i="30"/>
  <c r="AO190" i="30"/>
  <c r="AP190" i="30"/>
  <c r="AS190" i="30"/>
  <c r="AU190" i="30"/>
  <c r="AV188" i="30"/>
  <c r="L191" i="30"/>
  <c r="M191" i="30"/>
  <c r="N191" i="30"/>
  <c r="O191" i="30"/>
  <c r="P191" i="30"/>
  <c r="Q191" i="30"/>
  <c r="R191" i="30"/>
  <c r="S191" i="30"/>
  <c r="T191" i="30"/>
  <c r="V191" i="30"/>
  <c r="W191" i="30"/>
  <c r="AI191" i="30"/>
  <c r="AJ191" i="30"/>
  <c r="AK191" i="30"/>
  <c r="AL191" i="30"/>
  <c r="AM191" i="30"/>
  <c r="AN191" i="30"/>
  <c r="AO191" i="30"/>
  <c r="AP191" i="30"/>
  <c r="AS191" i="30"/>
  <c r="AU191" i="30"/>
  <c r="AV189" i="30"/>
  <c r="L192" i="30"/>
  <c r="M192" i="30"/>
  <c r="N192" i="30"/>
  <c r="O192" i="30"/>
  <c r="P192" i="30"/>
  <c r="G192" i="30"/>
  <c r="Q192" i="30"/>
  <c r="R192" i="30"/>
  <c r="S192" i="30"/>
  <c r="T192" i="30"/>
  <c r="V192" i="30"/>
  <c r="W192" i="30"/>
  <c r="AI192" i="30"/>
  <c r="AJ192" i="30"/>
  <c r="AK192" i="30"/>
  <c r="AL192" i="30"/>
  <c r="AM192" i="30"/>
  <c r="AN192" i="30"/>
  <c r="AO192" i="30"/>
  <c r="AP192" i="30"/>
  <c r="AS192" i="30"/>
  <c r="AU192" i="30"/>
  <c r="AV190" i="30"/>
  <c r="L193" i="30"/>
  <c r="M193" i="30"/>
  <c r="N193" i="30"/>
  <c r="O193" i="30"/>
  <c r="P193" i="30"/>
  <c r="G193" i="30"/>
  <c r="Q193" i="30"/>
  <c r="R193" i="30"/>
  <c r="S193" i="30"/>
  <c r="T193" i="30"/>
  <c r="V193" i="30"/>
  <c r="W193" i="30"/>
  <c r="AI193" i="30"/>
  <c r="AJ193" i="30"/>
  <c r="AK193" i="30"/>
  <c r="AL193" i="30"/>
  <c r="AM193" i="30"/>
  <c r="AN193" i="30"/>
  <c r="AO193" i="30"/>
  <c r="AP193" i="30"/>
  <c r="AS193" i="30"/>
  <c r="AU193" i="30"/>
  <c r="AV191" i="30"/>
  <c r="L194" i="30"/>
  <c r="M194" i="30"/>
  <c r="N194" i="30"/>
  <c r="O194" i="30"/>
  <c r="P194" i="30"/>
  <c r="G194" i="30"/>
  <c r="Q194" i="30"/>
  <c r="R194" i="30"/>
  <c r="S194" i="30"/>
  <c r="J194" i="30"/>
  <c r="T194" i="30"/>
  <c r="V194" i="30"/>
  <c r="W194" i="30"/>
  <c r="AI194" i="30"/>
  <c r="AJ194" i="30"/>
  <c r="AK194" i="30"/>
  <c r="AL194" i="30"/>
  <c r="AM194" i="30"/>
  <c r="AN194" i="30"/>
  <c r="AO194" i="30"/>
  <c r="AP194" i="30"/>
  <c r="AS194" i="30"/>
  <c r="AU194" i="30"/>
  <c r="AV192" i="30"/>
  <c r="L195" i="30"/>
  <c r="M195" i="30"/>
  <c r="N195" i="30"/>
  <c r="O195" i="30"/>
  <c r="P195" i="30"/>
  <c r="G195" i="30"/>
  <c r="Q195" i="30"/>
  <c r="R195" i="30"/>
  <c r="S195" i="30"/>
  <c r="J195" i="30"/>
  <c r="T195" i="30"/>
  <c r="V195" i="30"/>
  <c r="W195" i="30"/>
  <c r="AI195" i="30"/>
  <c r="AJ195" i="30"/>
  <c r="AK195" i="30"/>
  <c r="AL195" i="30"/>
  <c r="AM195" i="30"/>
  <c r="AN195" i="30"/>
  <c r="AO195" i="30"/>
  <c r="AP195" i="30"/>
  <c r="AS195" i="30"/>
  <c r="AU195" i="30"/>
  <c r="AV193" i="30"/>
  <c r="L196" i="30"/>
  <c r="M196" i="30"/>
  <c r="N196" i="30"/>
  <c r="O196" i="30"/>
  <c r="P196" i="30"/>
  <c r="G196" i="30"/>
  <c r="Q196" i="30"/>
  <c r="R196" i="30"/>
  <c r="S196" i="30"/>
  <c r="J196" i="30"/>
  <c r="T196" i="30"/>
  <c r="V196" i="30"/>
  <c r="W196" i="30"/>
  <c r="AI196" i="30"/>
  <c r="AJ196" i="30"/>
  <c r="AK196" i="30"/>
  <c r="AL196" i="30"/>
  <c r="AM196" i="30"/>
  <c r="AN196" i="30"/>
  <c r="AO196" i="30"/>
  <c r="AP196" i="30"/>
  <c r="AS196" i="30"/>
  <c r="AU196" i="30"/>
  <c r="AV194" i="30"/>
  <c r="L197" i="30"/>
  <c r="M197" i="30"/>
  <c r="N197" i="30"/>
  <c r="O197" i="30"/>
  <c r="P197" i="30"/>
  <c r="G197" i="30"/>
  <c r="Q197" i="30"/>
  <c r="R197" i="30"/>
  <c r="S197" i="30"/>
  <c r="J197" i="30"/>
  <c r="T197" i="30"/>
  <c r="V197" i="30"/>
  <c r="W197" i="30"/>
  <c r="AI197" i="30"/>
  <c r="AJ197" i="30"/>
  <c r="AK197" i="30"/>
  <c r="AL197" i="30"/>
  <c r="AM197" i="30"/>
  <c r="AN197" i="30"/>
  <c r="AO197" i="30"/>
  <c r="AP197" i="30"/>
  <c r="AS197" i="30"/>
  <c r="AU197" i="30"/>
  <c r="AV195" i="30"/>
  <c r="L198" i="30"/>
  <c r="M198" i="30"/>
  <c r="N198" i="30"/>
  <c r="O198" i="30"/>
  <c r="P198" i="30"/>
  <c r="G198" i="30"/>
  <c r="Q198" i="30"/>
  <c r="R198" i="30"/>
  <c r="S198" i="30"/>
  <c r="J198" i="30"/>
  <c r="T198" i="30"/>
  <c r="V198" i="30"/>
  <c r="W198" i="30"/>
  <c r="AI198" i="30"/>
  <c r="AJ198" i="30"/>
  <c r="AK198" i="30"/>
  <c r="AL198" i="30"/>
  <c r="AM198" i="30"/>
  <c r="AN198" i="30"/>
  <c r="AO198" i="30"/>
  <c r="AP198" i="30"/>
  <c r="AS198" i="30"/>
  <c r="AU198" i="30"/>
  <c r="AV196" i="30"/>
  <c r="L199" i="30"/>
  <c r="M199" i="30"/>
  <c r="N199" i="30"/>
  <c r="O199" i="30"/>
  <c r="P199" i="30"/>
  <c r="G199" i="30"/>
  <c r="Q199" i="30"/>
  <c r="R199" i="30"/>
  <c r="S199" i="30"/>
  <c r="J199" i="30"/>
  <c r="T199" i="30"/>
  <c r="V199" i="30"/>
  <c r="W199" i="30"/>
  <c r="AI199" i="30"/>
  <c r="AJ199" i="30"/>
  <c r="AK199" i="30"/>
  <c r="AL199" i="30"/>
  <c r="AM199" i="30"/>
  <c r="AN199" i="30"/>
  <c r="AO199" i="30"/>
  <c r="AP199" i="30"/>
  <c r="AS199" i="30"/>
  <c r="AU199" i="30"/>
  <c r="AV197" i="30"/>
  <c r="L200" i="30"/>
  <c r="M200" i="30"/>
  <c r="N200" i="30"/>
  <c r="O200" i="30"/>
  <c r="P200" i="30"/>
  <c r="G200" i="30"/>
  <c r="Q200" i="30"/>
  <c r="R200" i="30"/>
  <c r="S200" i="30"/>
  <c r="J200" i="30"/>
  <c r="T200" i="30"/>
  <c r="V200" i="30"/>
  <c r="W200" i="30"/>
  <c r="AI200" i="30"/>
  <c r="AJ200" i="30"/>
  <c r="AK200" i="30"/>
  <c r="AL200" i="30"/>
  <c r="AM200" i="30"/>
  <c r="AN200" i="30"/>
  <c r="AO200" i="30"/>
  <c r="AP200" i="30"/>
  <c r="AS200" i="30"/>
  <c r="AU200" i="30"/>
  <c r="AV198" i="30"/>
  <c r="L201" i="30"/>
  <c r="M201" i="30"/>
  <c r="N201" i="30"/>
  <c r="O201" i="30"/>
  <c r="P201" i="30"/>
  <c r="G201" i="30"/>
  <c r="Q201" i="30"/>
  <c r="R201" i="30"/>
  <c r="S201" i="30"/>
  <c r="J201" i="30"/>
  <c r="T201" i="30"/>
  <c r="V201" i="30"/>
  <c r="W201" i="30"/>
  <c r="AI201" i="30"/>
  <c r="AJ201" i="30"/>
  <c r="AK201" i="30"/>
  <c r="AL201" i="30"/>
  <c r="AM201" i="30"/>
  <c r="AN201" i="30"/>
  <c r="AO201" i="30"/>
  <c r="AP201" i="30"/>
  <c r="AS201" i="30"/>
  <c r="AU201" i="30"/>
  <c r="AV199" i="30"/>
  <c r="L202" i="30"/>
  <c r="M202" i="30"/>
  <c r="N202" i="30"/>
  <c r="O202" i="30"/>
  <c r="P202" i="30"/>
  <c r="G202" i="30"/>
  <c r="Q202" i="30"/>
  <c r="R202" i="30"/>
  <c r="S202" i="30"/>
  <c r="J202" i="30"/>
  <c r="T202" i="30"/>
  <c r="V202" i="30"/>
  <c r="W202" i="30"/>
  <c r="AI202" i="30"/>
  <c r="AJ202" i="30"/>
  <c r="AK202" i="30"/>
  <c r="AL202" i="30"/>
  <c r="AM202" i="30"/>
  <c r="AN202" i="30"/>
  <c r="AO202" i="30"/>
  <c r="AP202" i="30"/>
  <c r="AS202" i="30"/>
  <c r="AU202" i="30"/>
  <c r="AV200" i="30"/>
  <c r="L203" i="30"/>
  <c r="M203" i="30"/>
  <c r="N203" i="30"/>
  <c r="O203" i="30"/>
  <c r="P203" i="30"/>
  <c r="G203" i="30"/>
  <c r="Q203" i="30"/>
  <c r="R203" i="30"/>
  <c r="S203" i="30"/>
  <c r="J203" i="30"/>
  <c r="T203" i="30"/>
  <c r="V203" i="30"/>
  <c r="W203" i="30"/>
  <c r="AI203" i="30"/>
  <c r="AJ203" i="30"/>
  <c r="AK203" i="30"/>
  <c r="AL203" i="30"/>
  <c r="AM203" i="30"/>
  <c r="AN203" i="30"/>
  <c r="AO203" i="30"/>
  <c r="AP203" i="30"/>
  <c r="AS203" i="30"/>
  <c r="AU203" i="30"/>
  <c r="AV201" i="30"/>
  <c r="L204" i="30"/>
  <c r="M204" i="30"/>
  <c r="N204" i="30"/>
  <c r="O204" i="30"/>
  <c r="P204" i="30"/>
  <c r="G204" i="30"/>
  <c r="Q204" i="30"/>
  <c r="R204" i="30"/>
  <c r="S204" i="30"/>
  <c r="J204" i="30"/>
  <c r="T204" i="30"/>
  <c r="V204" i="30"/>
  <c r="W204" i="30"/>
  <c r="AI204" i="30"/>
  <c r="AJ204" i="30"/>
  <c r="AK204" i="30"/>
  <c r="AL204" i="30"/>
  <c r="AM204" i="30"/>
  <c r="AN204" i="30"/>
  <c r="AO204" i="30"/>
  <c r="AP204" i="30"/>
  <c r="AS204" i="30"/>
  <c r="AU204" i="30"/>
  <c r="AV202" i="30"/>
  <c r="L205" i="30"/>
  <c r="M205" i="30"/>
  <c r="N205" i="30"/>
  <c r="O205" i="30"/>
  <c r="P205" i="30"/>
  <c r="G205" i="30"/>
  <c r="Q205" i="30"/>
  <c r="R205" i="30"/>
  <c r="S205" i="30"/>
  <c r="J205" i="30"/>
  <c r="T205" i="30"/>
  <c r="V205" i="30"/>
  <c r="W205" i="30"/>
  <c r="AI205" i="30"/>
  <c r="AJ205" i="30"/>
  <c r="AK205" i="30"/>
  <c r="AL205" i="30"/>
  <c r="AM205" i="30"/>
  <c r="AN205" i="30"/>
  <c r="AO205" i="30"/>
  <c r="AP205" i="30"/>
  <c r="AS205" i="30"/>
  <c r="AU205" i="30"/>
  <c r="AV203" i="30"/>
  <c r="L206" i="30"/>
  <c r="M206" i="30"/>
  <c r="N206" i="30"/>
  <c r="O206" i="30"/>
  <c r="P206" i="30"/>
  <c r="G206" i="30"/>
  <c r="Q206" i="30"/>
  <c r="R206" i="30"/>
  <c r="S206" i="30"/>
  <c r="J206" i="30"/>
  <c r="T206" i="30"/>
  <c r="V206" i="30"/>
  <c r="W206" i="30"/>
  <c r="AI206" i="30"/>
  <c r="AJ206" i="30"/>
  <c r="AK206" i="30"/>
  <c r="AL206" i="30"/>
  <c r="AM206" i="30"/>
  <c r="AN206" i="30"/>
  <c r="AO206" i="30"/>
  <c r="AP206" i="30"/>
  <c r="AS206" i="30"/>
  <c r="AU206" i="30"/>
  <c r="AV204" i="30"/>
  <c r="L207" i="30"/>
  <c r="M207" i="30"/>
  <c r="N207" i="30"/>
  <c r="O207" i="30"/>
  <c r="P207" i="30"/>
  <c r="G207" i="30"/>
  <c r="Q207" i="30"/>
  <c r="R207" i="30"/>
  <c r="S207" i="30"/>
  <c r="J207" i="30"/>
  <c r="T207" i="30"/>
  <c r="V207" i="30"/>
  <c r="W207" i="30"/>
  <c r="AI207" i="30"/>
  <c r="AJ207" i="30"/>
  <c r="AK207" i="30"/>
  <c r="AL207" i="30"/>
  <c r="AM207" i="30"/>
  <c r="AN207" i="30"/>
  <c r="AO207" i="30"/>
  <c r="AP207" i="30"/>
  <c r="AS207" i="30"/>
  <c r="AU207" i="30"/>
  <c r="AV205" i="30"/>
  <c r="L208" i="30"/>
  <c r="M208" i="30"/>
  <c r="N208" i="30"/>
  <c r="O208" i="30"/>
  <c r="P208" i="30"/>
  <c r="Q208" i="30"/>
  <c r="R208" i="30"/>
  <c r="S208" i="30"/>
  <c r="J208" i="30"/>
  <c r="T208" i="30"/>
  <c r="V208" i="30"/>
  <c r="W208" i="30"/>
  <c r="AI208" i="30"/>
  <c r="AJ208" i="30"/>
  <c r="AK208" i="30"/>
  <c r="AL208" i="30"/>
  <c r="AM208" i="30"/>
  <c r="AN208" i="30"/>
  <c r="AO208" i="30"/>
  <c r="AP208" i="30"/>
  <c r="AS208" i="30"/>
  <c r="AU208" i="30"/>
  <c r="AV206" i="30"/>
  <c r="L209" i="30"/>
  <c r="M209" i="30"/>
  <c r="N209" i="30"/>
  <c r="O209" i="30"/>
  <c r="P209" i="30"/>
  <c r="Q209" i="30"/>
  <c r="R209" i="30"/>
  <c r="S209" i="30"/>
  <c r="J209" i="30"/>
  <c r="T209" i="30"/>
  <c r="V209" i="30"/>
  <c r="W209" i="30"/>
  <c r="AI209" i="30"/>
  <c r="AJ209" i="30"/>
  <c r="AK209" i="30"/>
  <c r="AL209" i="30"/>
  <c r="AM209" i="30"/>
  <c r="AN209" i="30"/>
  <c r="AO209" i="30"/>
  <c r="AP209" i="30"/>
  <c r="AS209" i="30"/>
  <c r="AU209" i="30"/>
  <c r="AV207" i="30"/>
  <c r="L210" i="30"/>
  <c r="M210" i="30"/>
  <c r="N210" i="30"/>
  <c r="O210" i="30"/>
  <c r="P210" i="30"/>
  <c r="Q210" i="30"/>
  <c r="R210" i="30"/>
  <c r="S210" i="30"/>
  <c r="J210" i="30"/>
  <c r="T210" i="30"/>
  <c r="V210" i="30"/>
  <c r="W210" i="30"/>
  <c r="AI210" i="30"/>
  <c r="AJ210" i="30"/>
  <c r="AK210" i="30"/>
  <c r="AL210" i="30"/>
  <c r="AM210" i="30"/>
  <c r="AN210" i="30"/>
  <c r="AO210" i="30"/>
  <c r="AP210" i="30"/>
  <c r="AS210" i="30"/>
  <c r="AU210" i="30"/>
  <c r="AV208" i="30"/>
  <c r="L211" i="30"/>
  <c r="M211" i="30"/>
  <c r="N211" i="30"/>
  <c r="O211" i="30"/>
  <c r="P211" i="30"/>
  <c r="Q211" i="30"/>
  <c r="R211" i="30"/>
  <c r="S211" i="30"/>
  <c r="J211" i="30"/>
  <c r="T211" i="30"/>
  <c r="V211" i="30"/>
  <c r="W211" i="30"/>
  <c r="AI211" i="30"/>
  <c r="AJ211" i="30"/>
  <c r="AK211" i="30"/>
  <c r="AL211" i="30"/>
  <c r="AM211" i="30"/>
  <c r="AN211" i="30"/>
  <c r="AO211" i="30"/>
  <c r="AP211" i="30"/>
  <c r="AS211" i="30"/>
  <c r="AU211" i="30"/>
  <c r="AV209" i="30"/>
  <c r="L212" i="30"/>
  <c r="M212" i="30"/>
  <c r="N212" i="30"/>
  <c r="O212" i="30"/>
  <c r="P212" i="30"/>
  <c r="G212" i="30"/>
  <c r="Q212" i="30"/>
  <c r="H212" i="30"/>
  <c r="R212" i="30"/>
  <c r="I212" i="30"/>
  <c r="S212" i="30"/>
  <c r="J212" i="30"/>
  <c r="T212" i="30"/>
  <c r="V212" i="30"/>
  <c r="W212" i="30"/>
  <c r="AI212" i="30"/>
  <c r="AJ212" i="30"/>
  <c r="AK212" i="30"/>
  <c r="AL212" i="30"/>
  <c r="AM212" i="30"/>
  <c r="AN212" i="30"/>
  <c r="AO212" i="30"/>
  <c r="AP212" i="30"/>
  <c r="AS212" i="30"/>
  <c r="AU212" i="30"/>
  <c r="AV210" i="30"/>
  <c r="L213" i="30"/>
  <c r="M213" i="30"/>
  <c r="N213" i="30"/>
  <c r="O213" i="30"/>
  <c r="P213" i="30"/>
  <c r="Q213" i="30"/>
  <c r="R213" i="30"/>
  <c r="S213" i="30"/>
  <c r="T213" i="30"/>
  <c r="V213" i="30"/>
  <c r="W213" i="30"/>
  <c r="AI213" i="30"/>
  <c r="AJ213" i="30"/>
  <c r="AK213" i="30"/>
  <c r="AL213" i="30"/>
  <c r="AM213" i="30"/>
  <c r="AN213" i="30"/>
  <c r="AO213" i="30"/>
  <c r="AP213" i="30"/>
  <c r="AS213" i="30"/>
  <c r="AU213" i="30"/>
  <c r="AV211" i="30"/>
  <c r="L214" i="30"/>
  <c r="M214" i="30"/>
  <c r="N214" i="30"/>
  <c r="O214" i="30"/>
  <c r="F214" i="30"/>
  <c r="P214" i="30"/>
  <c r="G214" i="30"/>
  <c r="Q214" i="30"/>
  <c r="R214" i="30"/>
  <c r="S214" i="30"/>
  <c r="T214" i="30"/>
  <c r="V214" i="30"/>
  <c r="W214" i="30"/>
  <c r="AI214" i="30"/>
  <c r="AJ214" i="30"/>
  <c r="AK214" i="30"/>
  <c r="AL214" i="30"/>
  <c r="AM214" i="30"/>
  <c r="AN214" i="30"/>
  <c r="AO214" i="30"/>
  <c r="AP214" i="30"/>
  <c r="AS214" i="30"/>
  <c r="AU214" i="30"/>
  <c r="AV212" i="30"/>
  <c r="AU215" i="30"/>
  <c r="AV213" i="30"/>
  <c r="AU216" i="30"/>
  <c r="AV214" i="30"/>
  <c r="AU217" i="30"/>
  <c r="AV215" i="30"/>
  <c r="AU218" i="30"/>
  <c r="AV216" i="30"/>
  <c r="AU219" i="30"/>
  <c r="AV217" i="30"/>
  <c r="L220" i="30"/>
  <c r="M220" i="30"/>
  <c r="N220" i="30"/>
  <c r="O220" i="30"/>
  <c r="P220" i="30"/>
  <c r="Q220" i="30"/>
  <c r="R220" i="30"/>
  <c r="S220" i="30"/>
  <c r="T220" i="30"/>
  <c r="V220" i="30"/>
  <c r="W220" i="30"/>
  <c r="AI220" i="30"/>
  <c r="AJ220" i="30"/>
  <c r="AK220" i="30"/>
  <c r="AL220" i="30"/>
  <c r="AM220" i="30"/>
  <c r="AN220" i="30"/>
  <c r="AO220" i="30"/>
  <c r="AP220" i="30"/>
  <c r="AS220" i="30"/>
  <c r="AU220" i="30"/>
  <c r="AV218" i="30"/>
  <c r="L221" i="30"/>
  <c r="M221" i="30"/>
  <c r="N221" i="30"/>
  <c r="O221" i="30"/>
  <c r="P221" i="30"/>
  <c r="Q221" i="30"/>
  <c r="R221" i="30"/>
  <c r="S221" i="30"/>
  <c r="T221" i="30"/>
  <c r="V221" i="30"/>
  <c r="W221" i="30"/>
  <c r="AI221" i="30"/>
  <c r="AJ221" i="30"/>
  <c r="AK221" i="30"/>
  <c r="AL221" i="30"/>
  <c r="AM221" i="30"/>
  <c r="AN221" i="30"/>
  <c r="AO221" i="30"/>
  <c r="AP221" i="30"/>
  <c r="AS221" i="30"/>
  <c r="AU221" i="30"/>
  <c r="AV219" i="30"/>
  <c r="L222" i="30"/>
  <c r="M222" i="30"/>
  <c r="N222" i="30"/>
  <c r="O222" i="30"/>
  <c r="P222" i="30"/>
  <c r="Q222" i="30"/>
  <c r="H222" i="30"/>
  <c r="R222" i="30"/>
  <c r="I222" i="30"/>
  <c r="S222" i="30"/>
  <c r="T222" i="30"/>
  <c r="V222" i="30"/>
  <c r="W222" i="30"/>
  <c r="AI222" i="30"/>
  <c r="AJ222" i="30"/>
  <c r="AK222" i="30"/>
  <c r="AL222" i="30"/>
  <c r="AM222" i="30"/>
  <c r="AN222" i="30"/>
  <c r="AO222" i="30"/>
  <c r="AP222" i="30"/>
  <c r="AS222" i="30"/>
  <c r="AU222" i="30"/>
  <c r="AV220" i="30"/>
  <c r="L223" i="30"/>
  <c r="M223" i="30"/>
  <c r="N223" i="30"/>
  <c r="O223" i="30"/>
  <c r="P223" i="30"/>
  <c r="Q223" i="30"/>
  <c r="R223" i="30"/>
  <c r="S223" i="30"/>
  <c r="T223" i="30"/>
  <c r="V223" i="30"/>
  <c r="W223" i="30"/>
  <c r="AI223" i="30"/>
  <c r="AJ223" i="30"/>
  <c r="AK223" i="30"/>
  <c r="AL223" i="30"/>
  <c r="AM223" i="30"/>
  <c r="AN223" i="30"/>
  <c r="AO223" i="30"/>
  <c r="AP223" i="30"/>
  <c r="AS223" i="30"/>
  <c r="AU223" i="30"/>
  <c r="AV221" i="30"/>
  <c r="L224" i="30"/>
  <c r="M224" i="30"/>
  <c r="N224" i="30"/>
  <c r="O224" i="30"/>
  <c r="P224" i="30"/>
  <c r="Q224" i="30"/>
  <c r="R224" i="30"/>
  <c r="S224" i="30"/>
  <c r="T224" i="30"/>
  <c r="V224" i="30"/>
  <c r="W224" i="30"/>
  <c r="AI224" i="30"/>
  <c r="AJ224" i="30"/>
  <c r="AK224" i="30"/>
  <c r="AL224" i="30"/>
  <c r="AM224" i="30"/>
  <c r="AN224" i="30"/>
  <c r="AO224" i="30"/>
  <c r="AP224" i="30"/>
  <c r="AS224" i="30"/>
  <c r="AU224" i="30"/>
  <c r="AV222" i="30"/>
  <c r="L225" i="30"/>
  <c r="M225" i="30"/>
  <c r="N225" i="30"/>
  <c r="O225" i="30"/>
  <c r="P225" i="30"/>
  <c r="Q225" i="30"/>
  <c r="R225" i="30"/>
  <c r="S225" i="30"/>
  <c r="T225" i="30"/>
  <c r="V225" i="30"/>
  <c r="W225" i="30"/>
  <c r="AI225" i="30"/>
  <c r="AJ225" i="30"/>
  <c r="AK225" i="30"/>
  <c r="AL225" i="30"/>
  <c r="AM225" i="30"/>
  <c r="AN225" i="30"/>
  <c r="AO225" i="30"/>
  <c r="AP225" i="30"/>
  <c r="AS225" i="30"/>
  <c r="AU225" i="30"/>
  <c r="AV223" i="30"/>
  <c r="L236" i="30"/>
  <c r="M236" i="30"/>
  <c r="N236" i="30"/>
  <c r="O236" i="30"/>
  <c r="P236" i="30"/>
  <c r="Q236" i="30"/>
  <c r="R236" i="30"/>
  <c r="S236" i="30"/>
  <c r="T236" i="30"/>
  <c r="V236" i="30"/>
  <c r="W236" i="30"/>
  <c r="AI236" i="30"/>
  <c r="AJ236" i="30"/>
  <c r="AK236" i="30"/>
  <c r="AL236" i="30"/>
  <c r="AM236" i="30"/>
  <c r="AN236" i="30"/>
  <c r="AO236" i="30"/>
  <c r="AP236" i="30"/>
  <c r="AS236" i="30"/>
  <c r="AU236" i="30"/>
  <c r="AV238" i="30"/>
  <c r="L118" i="30"/>
  <c r="M118" i="30"/>
  <c r="N118" i="30"/>
  <c r="O118" i="30"/>
  <c r="P118" i="30"/>
  <c r="Q118" i="30"/>
  <c r="R118" i="30"/>
  <c r="S118" i="30"/>
  <c r="T118" i="30"/>
  <c r="V118" i="30"/>
  <c r="W118" i="30"/>
  <c r="AI118" i="30"/>
  <c r="AJ118" i="30"/>
  <c r="AK118" i="30"/>
  <c r="AL118" i="30"/>
  <c r="AM118" i="30"/>
  <c r="AN118" i="30"/>
  <c r="AO118" i="30"/>
  <c r="AP118" i="30"/>
  <c r="AS118" i="30"/>
  <c r="AU118" i="30"/>
  <c r="AV120" i="30"/>
  <c r="L96" i="30"/>
  <c r="M96" i="30"/>
  <c r="N96" i="30"/>
  <c r="E77" i="30"/>
  <c r="E78" i="30"/>
  <c r="E79" i="30"/>
  <c r="E80" i="30"/>
  <c r="E81" i="30"/>
  <c r="E82" i="30"/>
  <c r="E83" i="30"/>
  <c r="E84" i="30"/>
  <c r="E85" i="30"/>
  <c r="E86" i="30"/>
  <c r="E87" i="30"/>
  <c r="E88" i="30"/>
  <c r="E89" i="30"/>
  <c r="E90" i="30"/>
  <c r="E91" i="30"/>
  <c r="E92" i="30"/>
  <c r="E93" i="30"/>
  <c r="E94" i="30"/>
  <c r="E95" i="30"/>
  <c r="E96" i="30"/>
  <c r="O96" i="30"/>
  <c r="F82" i="30"/>
  <c r="F83" i="30"/>
  <c r="F84" i="30"/>
  <c r="F85" i="30"/>
  <c r="F86" i="30"/>
  <c r="F87" i="30"/>
  <c r="F88" i="30"/>
  <c r="F89" i="30"/>
  <c r="F90" i="30"/>
  <c r="F91" i="30"/>
  <c r="F92" i="30"/>
  <c r="F93" i="30"/>
  <c r="F94" i="30"/>
  <c r="F95" i="30"/>
  <c r="F96" i="30"/>
  <c r="P96" i="30"/>
  <c r="G93" i="30"/>
  <c r="G94" i="30"/>
  <c r="G95" i="30"/>
  <c r="G96" i="30"/>
  <c r="Q96" i="30"/>
  <c r="H77" i="30"/>
  <c r="H78" i="30"/>
  <c r="H79" i="30"/>
  <c r="H80" i="30"/>
  <c r="H81" i="30"/>
  <c r="H82" i="30"/>
  <c r="H83" i="30"/>
  <c r="H84" i="30"/>
  <c r="H85" i="30"/>
  <c r="H86" i="30"/>
  <c r="H87" i="30"/>
  <c r="H88" i="30"/>
  <c r="H89" i="30"/>
  <c r="H90" i="30"/>
  <c r="H91" i="30"/>
  <c r="H92" i="30"/>
  <c r="H93" i="30"/>
  <c r="H94" i="30"/>
  <c r="H95" i="30"/>
  <c r="H96" i="30"/>
  <c r="R96" i="30"/>
  <c r="I96" i="30"/>
  <c r="S96" i="30"/>
  <c r="T96" i="30"/>
  <c r="V96" i="30"/>
  <c r="W96" i="30"/>
  <c r="AI96" i="30"/>
  <c r="AJ96" i="30"/>
  <c r="AK96" i="30"/>
  <c r="AL96" i="30"/>
  <c r="AM96" i="30"/>
  <c r="AN96" i="30"/>
  <c r="AO96" i="30"/>
  <c r="AP96" i="30"/>
  <c r="AS96" i="30"/>
  <c r="AU96" i="30"/>
  <c r="L98" i="30"/>
  <c r="M98" i="30"/>
  <c r="N98" i="30"/>
  <c r="O98" i="30"/>
  <c r="F97" i="30"/>
  <c r="F98" i="30"/>
  <c r="P98" i="30"/>
  <c r="G97" i="30"/>
  <c r="G98" i="30"/>
  <c r="Q98" i="30"/>
  <c r="H98" i="30"/>
  <c r="R98" i="30"/>
  <c r="S98" i="30"/>
  <c r="T98" i="30"/>
  <c r="V98" i="30"/>
  <c r="W98" i="30"/>
  <c r="AI98" i="30"/>
  <c r="AJ98" i="30"/>
  <c r="AK98" i="30"/>
  <c r="AL98" i="30"/>
  <c r="AM98" i="30"/>
  <c r="AN98" i="30"/>
  <c r="AO98" i="30"/>
  <c r="AP98" i="30"/>
  <c r="AS98" i="30"/>
  <c r="AU98" i="30"/>
  <c r="L102" i="30"/>
  <c r="M102" i="30"/>
  <c r="N102" i="30"/>
  <c r="O102" i="30"/>
  <c r="F99" i="30"/>
  <c r="F100" i="30"/>
  <c r="F101" i="30"/>
  <c r="F102" i="30"/>
  <c r="P102" i="30"/>
  <c r="G102" i="30"/>
  <c r="Q102" i="30"/>
  <c r="H99" i="30"/>
  <c r="H100" i="30"/>
  <c r="H101" i="30"/>
  <c r="H102" i="30"/>
  <c r="R102" i="30"/>
  <c r="I99" i="30"/>
  <c r="I100" i="30"/>
  <c r="I101" i="30"/>
  <c r="I102" i="30"/>
  <c r="S102" i="30"/>
  <c r="T102" i="30"/>
  <c r="V102" i="30"/>
  <c r="W102" i="30"/>
  <c r="AI102" i="30"/>
  <c r="AJ102" i="30"/>
  <c r="AK102" i="30"/>
  <c r="AL102" i="30"/>
  <c r="AM102" i="30"/>
  <c r="AN102" i="30"/>
  <c r="AO102" i="30"/>
  <c r="AP102" i="30"/>
  <c r="AS102" i="30"/>
  <c r="AU102" i="30"/>
  <c r="L107" i="30"/>
  <c r="M107" i="30"/>
  <c r="N107" i="30"/>
  <c r="E105" i="30"/>
  <c r="E106" i="30"/>
  <c r="E107" i="30"/>
  <c r="O107" i="30"/>
  <c r="P107" i="30"/>
  <c r="G106" i="30"/>
  <c r="G107" i="30"/>
  <c r="Q107" i="30"/>
  <c r="H103" i="30"/>
  <c r="H104" i="30"/>
  <c r="H105" i="30"/>
  <c r="H106" i="30"/>
  <c r="H107" i="30"/>
  <c r="R107" i="30"/>
  <c r="I103" i="30"/>
  <c r="I104" i="30"/>
  <c r="I105" i="30"/>
  <c r="I106" i="30"/>
  <c r="I107" i="30"/>
  <c r="S107" i="30"/>
  <c r="T107" i="30"/>
  <c r="V107" i="30"/>
  <c r="W107" i="30"/>
  <c r="AI107" i="30"/>
  <c r="AJ107" i="30"/>
  <c r="AK107" i="30"/>
  <c r="AL107" i="30"/>
  <c r="AM107" i="30"/>
  <c r="AN107" i="30"/>
  <c r="AO107" i="30"/>
  <c r="AP107" i="30"/>
  <c r="AS107" i="30"/>
  <c r="AU107" i="30"/>
  <c r="L110" i="30"/>
  <c r="M110" i="30"/>
  <c r="N110" i="30"/>
  <c r="E108" i="30"/>
  <c r="E109" i="30"/>
  <c r="E110" i="30"/>
  <c r="O110" i="30"/>
  <c r="F109" i="30"/>
  <c r="F110" i="30"/>
  <c r="P110" i="30"/>
  <c r="Q110" i="30"/>
  <c r="H108" i="30"/>
  <c r="H109" i="30"/>
  <c r="H110" i="30"/>
  <c r="R110" i="30"/>
  <c r="I108" i="30"/>
  <c r="I109" i="30"/>
  <c r="I110" i="30"/>
  <c r="S110" i="30"/>
  <c r="T110" i="30"/>
  <c r="V110" i="30"/>
  <c r="W110" i="30"/>
  <c r="AI110" i="30"/>
  <c r="AJ110" i="30"/>
  <c r="AK110" i="30"/>
  <c r="AL110" i="30"/>
  <c r="AM110" i="30"/>
  <c r="AN110" i="30"/>
  <c r="AO110" i="30"/>
  <c r="AP110" i="30"/>
  <c r="AS110" i="30"/>
  <c r="AU110" i="30"/>
  <c r="L113" i="30"/>
  <c r="M113" i="30"/>
  <c r="N113" i="30"/>
  <c r="E111" i="30"/>
  <c r="E112" i="30"/>
  <c r="E113" i="30"/>
  <c r="O113" i="30"/>
  <c r="P113" i="30"/>
  <c r="Q113" i="30"/>
  <c r="H111" i="30"/>
  <c r="H112" i="30"/>
  <c r="H113" i="30"/>
  <c r="R113" i="30"/>
  <c r="I111" i="30"/>
  <c r="I112" i="30"/>
  <c r="I113" i="30"/>
  <c r="S113" i="30"/>
  <c r="T113" i="30"/>
  <c r="V113" i="30"/>
  <c r="W113" i="30"/>
  <c r="AI113" i="30"/>
  <c r="AJ113" i="30"/>
  <c r="AK113" i="30"/>
  <c r="AL113" i="30"/>
  <c r="AM113" i="30"/>
  <c r="AN113" i="30"/>
  <c r="AO113" i="30"/>
  <c r="AP113" i="30"/>
  <c r="AS113" i="30"/>
  <c r="AU113" i="30"/>
  <c r="L114" i="30"/>
  <c r="M114" i="30"/>
  <c r="N114" i="30"/>
  <c r="E114" i="30"/>
  <c r="O114" i="30"/>
  <c r="P114" i="30"/>
  <c r="Q114" i="30"/>
  <c r="H114" i="30"/>
  <c r="R114" i="30"/>
  <c r="I114" i="30"/>
  <c r="S114" i="30"/>
  <c r="T114" i="30"/>
  <c r="V114" i="30"/>
  <c r="W114" i="30"/>
  <c r="AI114" i="30"/>
  <c r="AJ114" i="30"/>
  <c r="AK114" i="30"/>
  <c r="AL114" i="30"/>
  <c r="AM114" i="30"/>
  <c r="AN114" i="30"/>
  <c r="AO114" i="30"/>
  <c r="AP114" i="30"/>
  <c r="AS114" i="30"/>
  <c r="AU114" i="30"/>
  <c r="L229" i="30"/>
  <c r="M229" i="30"/>
  <c r="N229" i="30"/>
  <c r="O229" i="30"/>
  <c r="P229" i="30"/>
  <c r="Q229" i="30"/>
  <c r="R229" i="30"/>
  <c r="S229" i="30"/>
  <c r="T229" i="30"/>
  <c r="V229" i="30"/>
  <c r="W229" i="30"/>
  <c r="AI229" i="30"/>
  <c r="AJ229" i="30"/>
  <c r="AK229" i="30"/>
  <c r="AL229" i="30"/>
  <c r="AM229" i="30"/>
  <c r="AN229" i="30"/>
  <c r="AO229" i="30"/>
  <c r="AP229" i="30"/>
  <c r="AS229" i="30"/>
  <c r="AU229" i="30"/>
  <c r="AI10" i="30"/>
  <c r="AJ10" i="30"/>
  <c r="AK10" i="30"/>
  <c r="AL10" i="30"/>
  <c r="AM10" i="30"/>
  <c r="AO10" i="30"/>
  <c r="AP10" i="30"/>
  <c r="AI11" i="30"/>
  <c r="AJ11" i="30"/>
  <c r="AK11" i="30"/>
  <c r="AL11" i="30"/>
  <c r="AM11" i="30"/>
  <c r="AO11" i="30"/>
  <c r="AP11" i="30"/>
  <c r="AI12" i="30"/>
  <c r="AJ12" i="30"/>
  <c r="AK12" i="30"/>
  <c r="AL12" i="30"/>
  <c r="AM12" i="30"/>
  <c r="AO12" i="30"/>
  <c r="AP12" i="30"/>
  <c r="AI13" i="30"/>
  <c r="AJ13" i="30"/>
  <c r="AK13" i="30"/>
  <c r="AL13" i="30"/>
  <c r="AM13" i="30"/>
  <c r="AO13" i="30"/>
  <c r="AP13" i="30"/>
  <c r="AI14" i="30"/>
  <c r="AJ14" i="30"/>
  <c r="AK14" i="30"/>
  <c r="AL14" i="30"/>
  <c r="AM14" i="30"/>
  <c r="AO14" i="30"/>
  <c r="AP14" i="30"/>
  <c r="AI15" i="30"/>
  <c r="AJ15" i="30"/>
  <c r="AK15" i="30"/>
  <c r="AL15" i="30"/>
  <c r="AM15" i="30"/>
  <c r="AO15" i="30"/>
  <c r="AP15" i="30"/>
  <c r="AI16" i="30"/>
  <c r="AJ16" i="30"/>
  <c r="AK16" i="30"/>
  <c r="AL16" i="30"/>
  <c r="AM16" i="30"/>
  <c r="AO16" i="30"/>
  <c r="AP16" i="30"/>
  <c r="AI17" i="30"/>
  <c r="AJ17" i="30"/>
  <c r="AK17" i="30"/>
  <c r="AL17" i="30"/>
  <c r="AM17" i="30"/>
  <c r="AO17" i="30"/>
  <c r="AP17" i="30"/>
  <c r="AI18" i="30"/>
  <c r="AJ18" i="30"/>
  <c r="AK18" i="30"/>
  <c r="AL18" i="30"/>
  <c r="AM18" i="30"/>
  <c r="AO18" i="30"/>
  <c r="AP18" i="30"/>
  <c r="AI19" i="30"/>
  <c r="AJ19" i="30"/>
  <c r="AK19" i="30"/>
  <c r="AL19" i="30"/>
  <c r="AM19" i="30"/>
  <c r="AO19" i="30"/>
  <c r="AP19" i="30"/>
  <c r="AI20" i="30"/>
  <c r="AJ20" i="30"/>
  <c r="AK20" i="30"/>
  <c r="AL20" i="30"/>
  <c r="AM20" i="30"/>
  <c r="AO20" i="30"/>
  <c r="AP20" i="30"/>
  <c r="AI21" i="30"/>
  <c r="AJ21" i="30"/>
  <c r="AK21" i="30"/>
  <c r="AL21" i="30"/>
  <c r="AM21" i="30"/>
  <c r="AO21" i="30"/>
  <c r="AP21" i="30"/>
  <c r="AI22" i="30"/>
  <c r="AJ22" i="30"/>
  <c r="AK22" i="30"/>
  <c r="AL22" i="30"/>
  <c r="AM22" i="30"/>
  <c r="AO22" i="30"/>
  <c r="AP22" i="30"/>
  <c r="AI23" i="30"/>
  <c r="AJ23" i="30"/>
  <c r="AK23" i="30"/>
  <c r="AL23" i="30"/>
  <c r="AM23" i="30"/>
  <c r="AO23" i="30"/>
  <c r="AP23" i="30"/>
  <c r="AI24" i="30"/>
  <c r="AJ24" i="30"/>
  <c r="AK24" i="30"/>
  <c r="AL24" i="30"/>
  <c r="AM24" i="30"/>
  <c r="AO24" i="30"/>
  <c r="AP24" i="30"/>
  <c r="AI25" i="30"/>
  <c r="AJ25" i="30"/>
  <c r="AK25" i="30"/>
  <c r="AL25" i="30"/>
  <c r="AM25" i="30"/>
  <c r="AO25" i="30"/>
  <c r="AP25" i="30"/>
  <c r="AI26" i="30"/>
  <c r="AJ26" i="30"/>
  <c r="AK26" i="30"/>
  <c r="AL26" i="30"/>
  <c r="AM26" i="30"/>
  <c r="AO26" i="30"/>
  <c r="AP26" i="30"/>
  <c r="AI27" i="30"/>
  <c r="AJ27" i="30"/>
  <c r="AK27" i="30"/>
  <c r="AL27" i="30"/>
  <c r="AM27" i="30"/>
  <c r="AO27" i="30"/>
  <c r="AP27" i="30"/>
  <c r="AI28" i="30"/>
  <c r="AJ28" i="30"/>
  <c r="AK28" i="30"/>
  <c r="AL28" i="30"/>
  <c r="AM28" i="30"/>
  <c r="AO28" i="30"/>
  <c r="AP28" i="30"/>
  <c r="AI29" i="30"/>
  <c r="AJ29" i="30"/>
  <c r="AK29" i="30"/>
  <c r="AL29" i="30"/>
  <c r="AM29" i="30"/>
  <c r="AO29" i="30"/>
  <c r="AP29" i="30"/>
  <c r="AI30" i="30"/>
  <c r="AJ30" i="30"/>
  <c r="AK30" i="30"/>
  <c r="AL30" i="30"/>
  <c r="AM30" i="30"/>
  <c r="AO30" i="30"/>
  <c r="AP30" i="30"/>
  <c r="AI31" i="30"/>
  <c r="AJ31" i="30"/>
  <c r="AK31" i="30"/>
  <c r="AL31" i="30"/>
  <c r="AM31" i="30"/>
  <c r="AO31" i="30"/>
  <c r="AP31" i="30"/>
  <c r="AI32" i="30"/>
  <c r="AJ32" i="30"/>
  <c r="AK32" i="30"/>
  <c r="AL32" i="30"/>
  <c r="AM32" i="30"/>
  <c r="AO32" i="30"/>
  <c r="AP32" i="30"/>
  <c r="AI33" i="30"/>
  <c r="AJ33" i="30"/>
  <c r="AK33" i="30"/>
  <c r="AL33" i="30"/>
  <c r="AM33" i="30"/>
  <c r="AO33" i="30"/>
  <c r="AP33" i="30"/>
  <c r="AI34" i="30"/>
  <c r="AJ34" i="30"/>
  <c r="AK34" i="30"/>
  <c r="AL34" i="30"/>
  <c r="AM34" i="30"/>
  <c r="AO34" i="30"/>
  <c r="AP34" i="30"/>
  <c r="AI35" i="30"/>
  <c r="AJ35" i="30"/>
  <c r="AK35" i="30"/>
  <c r="AL35" i="30"/>
  <c r="AM35" i="30"/>
  <c r="AO35" i="30"/>
  <c r="AP35" i="30"/>
  <c r="AI36" i="30"/>
  <c r="AJ36" i="30"/>
  <c r="AK36" i="30"/>
  <c r="AL36" i="30"/>
  <c r="AM36" i="30"/>
  <c r="AO36" i="30"/>
  <c r="AP36" i="30"/>
  <c r="AI37" i="30"/>
  <c r="AJ37" i="30"/>
  <c r="AK37" i="30"/>
  <c r="AL37" i="30"/>
  <c r="AM37" i="30"/>
  <c r="AO37" i="30"/>
  <c r="AP37" i="30"/>
  <c r="AI38" i="30"/>
  <c r="AJ38" i="30"/>
  <c r="AK38" i="30"/>
  <c r="AL38" i="30"/>
  <c r="AM38" i="30"/>
  <c r="AO38" i="30"/>
  <c r="AP38" i="30"/>
  <c r="AI39" i="30"/>
  <c r="AJ39" i="30"/>
  <c r="AK39" i="30"/>
  <c r="AL39" i="30"/>
  <c r="AM39" i="30"/>
  <c r="AO39" i="30"/>
  <c r="AP39" i="30"/>
  <c r="AI40" i="30"/>
  <c r="AJ40" i="30"/>
  <c r="AK40" i="30"/>
  <c r="AL40" i="30"/>
  <c r="AM40" i="30"/>
  <c r="AO40" i="30"/>
  <c r="AP40" i="30"/>
  <c r="AI41" i="30"/>
  <c r="AJ41" i="30"/>
  <c r="AK41" i="30"/>
  <c r="AL41" i="30"/>
  <c r="AM41" i="30"/>
  <c r="AO41" i="30"/>
  <c r="AP41" i="30"/>
  <c r="AI42" i="30"/>
  <c r="AJ42" i="30"/>
  <c r="AK42" i="30"/>
  <c r="AL42" i="30"/>
  <c r="AM42" i="30"/>
  <c r="AO42" i="30"/>
  <c r="AP42" i="30"/>
  <c r="AI43" i="30"/>
  <c r="AJ43" i="30"/>
  <c r="AK43" i="30"/>
  <c r="AL43" i="30"/>
  <c r="AM43" i="30"/>
  <c r="AO43" i="30"/>
  <c r="AP43" i="30"/>
  <c r="AI44" i="30"/>
  <c r="AJ44" i="30"/>
  <c r="AK44" i="30"/>
  <c r="AL44" i="30"/>
  <c r="AM44" i="30"/>
  <c r="AO44" i="30"/>
  <c r="AP44" i="30"/>
  <c r="AI45" i="30"/>
  <c r="AJ45" i="30"/>
  <c r="AK45" i="30"/>
  <c r="AL45" i="30"/>
  <c r="AM45" i="30"/>
  <c r="AO45" i="30"/>
  <c r="AP45" i="30"/>
  <c r="AI46" i="30"/>
  <c r="AJ46" i="30"/>
  <c r="AK46" i="30"/>
  <c r="AL46" i="30"/>
  <c r="AM46" i="30"/>
  <c r="AO46" i="30"/>
  <c r="AP46" i="30"/>
  <c r="AI47" i="30"/>
  <c r="AJ47" i="30"/>
  <c r="AK47" i="30"/>
  <c r="AL47" i="30"/>
  <c r="AM47" i="30"/>
  <c r="AO47" i="30"/>
  <c r="AP47" i="30"/>
  <c r="AI48" i="30"/>
  <c r="AJ48" i="30"/>
  <c r="AK48" i="30"/>
  <c r="AL48" i="30"/>
  <c r="AM48" i="30"/>
  <c r="AO48" i="30"/>
  <c r="AP48" i="30"/>
  <c r="AI49" i="30"/>
  <c r="AJ49" i="30"/>
  <c r="AK49" i="30"/>
  <c r="AL49" i="30"/>
  <c r="AM49" i="30"/>
  <c r="AO49" i="30"/>
  <c r="AP49" i="30"/>
  <c r="AI50" i="30"/>
  <c r="AJ50" i="30"/>
  <c r="AK50" i="30"/>
  <c r="AL50" i="30"/>
  <c r="AM50" i="30"/>
  <c r="AO50" i="30"/>
  <c r="AP50" i="30"/>
  <c r="AI51" i="30"/>
  <c r="AJ51" i="30"/>
  <c r="AK51" i="30"/>
  <c r="AL51" i="30"/>
  <c r="AM51" i="30"/>
  <c r="AO51" i="30"/>
  <c r="AP51" i="30"/>
  <c r="AI52" i="30"/>
  <c r="AJ52" i="30"/>
  <c r="AK52" i="30"/>
  <c r="AL52" i="30"/>
  <c r="AM52" i="30"/>
  <c r="AO52" i="30"/>
  <c r="AP52" i="30"/>
  <c r="AI53" i="30"/>
  <c r="AJ53" i="30"/>
  <c r="AK53" i="30"/>
  <c r="AL53" i="30"/>
  <c r="AM53" i="30"/>
  <c r="AO53" i="30"/>
  <c r="AP53" i="30"/>
  <c r="AI54" i="30"/>
  <c r="AJ54" i="30"/>
  <c r="AK54" i="30"/>
  <c r="AL54" i="30"/>
  <c r="AM54" i="30"/>
  <c r="AO54" i="30"/>
  <c r="AP54" i="30"/>
  <c r="AI55" i="30"/>
  <c r="AJ55" i="30"/>
  <c r="AK55" i="30"/>
  <c r="AL55" i="30"/>
  <c r="AM55" i="30"/>
  <c r="AO55" i="30"/>
  <c r="AP55" i="30"/>
  <c r="AI56" i="30"/>
  <c r="AJ56" i="30"/>
  <c r="AK56" i="30"/>
  <c r="AL56" i="30"/>
  <c r="AM56" i="30"/>
  <c r="AO56" i="30"/>
  <c r="AP56" i="30"/>
  <c r="AI57" i="30"/>
  <c r="AJ57" i="30"/>
  <c r="AK57" i="30"/>
  <c r="AL57" i="30"/>
  <c r="AM57" i="30"/>
  <c r="AO57" i="30"/>
  <c r="AP57" i="30"/>
  <c r="AI58" i="30"/>
  <c r="AJ58" i="30"/>
  <c r="AK58" i="30"/>
  <c r="AL58" i="30"/>
  <c r="AM58" i="30"/>
  <c r="AO58" i="30"/>
  <c r="AP58" i="30"/>
  <c r="AI59" i="30"/>
  <c r="AJ59" i="30"/>
  <c r="AK59" i="30"/>
  <c r="AL59" i="30"/>
  <c r="AM59" i="30"/>
  <c r="AO59" i="30"/>
  <c r="AP59" i="30"/>
  <c r="AI60" i="30"/>
  <c r="AJ60" i="30"/>
  <c r="AK60" i="30"/>
  <c r="AL60" i="30"/>
  <c r="AM60" i="30"/>
  <c r="AO60" i="30"/>
  <c r="AP60" i="30"/>
  <c r="AI61" i="30"/>
  <c r="AJ61" i="30"/>
  <c r="AK61" i="30"/>
  <c r="AL61" i="30"/>
  <c r="AM61" i="30"/>
  <c r="AO61" i="30"/>
  <c r="AP61" i="30"/>
  <c r="AI62" i="30"/>
  <c r="AJ62" i="30"/>
  <c r="AK62" i="30"/>
  <c r="AL62" i="30"/>
  <c r="AM62" i="30"/>
  <c r="AO62" i="30"/>
  <c r="AP62" i="30"/>
  <c r="AI63" i="30"/>
  <c r="AJ63" i="30"/>
  <c r="AK63" i="30"/>
  <c r="AL63" i="30"/>
  <c r="AM63" i="30"/>
  <c r="AO63" i="30"/>
  <c r="AP63" i="30"/>
  <c r="AI64" i="30"/>
  <c r="AJ64" i="30"/>
  <c r="AK64" i="30"/>
  <c r="AL64" i="30"/>
  <c r="AM64" i="30"/>
  <c r="AO64" i="30"/>
  <c r="AP64" i="30"/>
  <c r="AI65" i="30"/>
  <c r="AJ65" i="30"/>
  <c r="AK65" i="30"/>
  <c r="AL65" i="30"/>
  <c r="AM65" i="30"/>
  <c r="AO65" i="30"/>
  <c r="AP65" i="30"/>
  <c r="AI66" i="30"/>
  <c r="AJ66" i="30"/>
  <c r="AK66" i="30"/>
  <c r="AL66" i="30"/>
  <c r="AM66" i="30"/>
  <c r="AO66" i="30"/>
  <c r="AP66" i="30"/>
  <c r="AI67" i="30"/>
  <c r="AJ67" i="30"/>
  <c r="AK67" i="30"/>
  <c r="AL67" i="30"/>
  <c r="AM67" i="30"/>
  <c r="AO67" i="30"/>
  <c r="AP67" i="30"/>
  <c r="AI68" i="30"/>
  <c r="AJ68" i="30"/>
  <c r="AK68" i="30"/>
  <c r="AL68" i="30"/>
  <c r="AM68" i="30"/>
  <c r="AO68" i="30"/>
  <c r="AP68" i="30"/>
  <c r="AI69" i="30"/>
  <c r="AJ69" i="30"/>
  <c r="AK69" i="30"/>
  <c r="AL69" i="30"/>
  <c r="AM69" i="30"/>
  <c r="AO69" i="30"/>
  <c r="AP69" i="30"/>
  <c r="AI70" i="30"/>
  <c r="AJ70" i="30"/>
  <c r="AK70" i="30"/>
  <c r="AL70" i="30"/>
  <c r="AM70" i="30"/>
  <c r="AO70" i="30"/>
  <c r="AP70" i="30"/>
  <c r="AI71" i="30"/>
  <c r="AJ71" i="30"/>
  <c r="AK71" i="30"/>
  <c r="AL71" i="30"/>
  <c r="AM71" i="30"/>
  <c r="AO71" i="30"/>
  <c r="AP71" i="30"/>
  <c r="AI72" i="30"/>
  <c r="AJ72" i="30"/>
  <c r="AK72" i="30"/>
  <c r="AL72" i="30"/>
  <c r="AM72" i="30"/>
  <c r="AO72" i="30"/>
  <c r="AP72" i="30"/>
  <c r="AI73" i="30"/>
  <c r="AJ73" i="30"/>
  <c r="AK73" i="30"/>
  <c r="AL73" i="30"/>
  <c r="AM73" i="30"/>
  <c r="AO73" i="30"/>
  <c r="AP73" i="30"/>
  <c r="AI74" i="30"/>
  <c r="AJ74" i="30"/>
  <c r="AK74" i="30"/>
  <c r="AL74" i="30"/>
  <c r="AM74" i="30"/>
  <c r="AO74" i="30"/>
  <c r="AP74" i="30"/>
  <c r="AI75" i="30"/>
  <c r="AJ75" i="30"/>
  <c r="AK75" i="30"/>
  <c r="AL75" i="30"/>
  <c r="AM75" i="30"/>
  <c r="AO75" i="30"/>
  <c r="AP75" i="30"/>
  <c r="AI76" i="30"/>
  <c r="AJ76" i="30"/>
  <c r="AK76" i="30"/>
  <c r="AL76" i="30"/>
  <c r="AM76" i="30"/>
  <c r="AO76" i="30"/>
  <c r="AP76" i="30"/>
  <c r="AI77" i="30"/>
  <c r="AJ77" i="30"/>
  <c r="AK77" i="30"/>
  <c r="AL77" i="30"/>
  <c r="AM77" i="30"/>
  <c r="AO77" i="30"/>
  <c r="AP77" i="30"/>
  <c r="AI78" i="30"/>
  <c r="AJ78" i="30"/>
  <c r="AK78" i="30"/>
  <c r="AL78" i="30"/>
  <c r="AM78" i="30"/>
  <c r="AO78" i="30"/>
  <c r="AP78" i="30"/>
  <c r="AI79" i="30"/>
  <c r="AJ79" i="30"/>
  <c r="AK79" i="30"/>
  <c r="AL79" i="30"/>
  <c r="AM79" i="30"/>
  <c r="AO79" i="30"/>
  <c r="AP79" i="30"/>
  <c r="AI80" i="30"/>
  <c r="AJ80" i="30"/>
  <c r="AK80" i="30"/>
  <c r="AL80" i="30"/>
  <c r="AM80" i="30"/>
  <c r="AO80" i="30"/>
  <c r="AP80" i="30"/>
  <c r="AI81" i="30"/>
  <c r="AJ81" i="30"/>
  <c r="AK81" i="30"/>
  <c r="AL81" i="30"/>
  <c r="AM81" i="30"/>
  <c r="AO81" i="30"/>
  <c r="AP81" i="30"/>
  <c r="AI82" i="30"/>
  <c r="AJ82" i="30"/>
  <c r="AK82" i="30"/>
  <c r="AL82" i="30"/>
  <c r="AM82" i="30"/>
  <c r="AO82" i="30"/>
  <c r="AP82" i="30"/>
  <c r="AI83" i="30"/>
  <c r="AJ83" i="30"/>
  <c r="AK83" i="30"/>
  <c r="AL83" i="30"/>
  <c r="AM83" i="30"/>
  <c r="AO83" i="30"/>
  <c r="AP83" i="30"/>
  <c r="AI84" i="30"/>
  <c r="AJ84" i="30"/>
  <c r="AK84" i="30"/>
  <c r="AL84" i="30"/>
  <c r="AM84" i="30"/>
  <c r="AO84" i="30"/>
  <c r="AP84" i="30"/>
  <c r="AI85" i="30"/>
  <c r="AJ85" i="30"/>
  <c r="AK85" i="30"/>
  <c r="AL85" i="30"/>
  <c r="AM85" i="30"/>
  <c r="AO85" i="30"/>
  <c r="AP85" i="30"/>
  <c r="AI86" i="30"/>
  <c r="AJ86" i="30"/>
  <c r="AK86" i="30"/>
  <c r="AL86" i="30"/>
  <c r="AM86" i="30"/>
  <c r="AO86" i="30"/>
  <c r="AP86" i="30"/>
  <c r="AI87" i="30"/>
  <c r="AJ87" i="30"/>
  <c r="AK87" i="30"/>
  <c r="AL87" i="30"/>
  <c r="AM87" i="30"/>
  <c r="AO87" i="30"/>
  <c r="AP87" i="30"/>
  <c r="AI88" i="30"/>
  <c r="AJ88" i="30"/>
  <c r="AK88" i="30"/>
  <c r="AL88" i="30"/>
  <c r="AM88" i="30"/>
  <c r="AO88" i="30"/>
  <c r="AP88" i="30"/>
  <c r="AI89" i="30"/>
  <c r="AJ89" i="30"/>
  <c r="AK89" i="30"/>
  <c r="AL89" i="30"/>
  <c r="AM89" i="30"/>
  <c r="AO89" i="30"/>
  <c r="AP89" i="30"/>
  <c r="AI90" i="30"/>
  <c r="AJ90" i="30"/>
  <c r="AK90" i="30"/>
  <c r="AL90" i="30"/>
  <c r="AM90" i="30"/>
  <c r="AO90" i="30"/>
  <c r="AP90" i="30"/>
  <c r="AI91" i="30"/>
  <c r="AJ91" i="30"/>
  <c r="AK91" i="30"/>
  <c r="AL91" i="30"/>
  <c r="AM91" i="30"/>
  <c r="AO91" i="30"/>
  <c r="AP91" i="30"/>
  <c r="AI92" i="30"/>
  <c r="AJ92" i="30"/>
  <c r="AK92" i="30"/>
  <c r="AL92" i="30"/>
  <c r="AM92" i="30"/>
  <c r="AO92" i="30"/>
  <c r="AP92" i="30"/>
  <c r="AI93" i="30"/>
  <c r="AJ93" i="30"/>
  <c r="AK93" i="30"/>
  <c r="AL93" i="30"/>
  <c r="AM93" i="30"/>
  <c r="AO93" i="30"/>
  <c r="AP93" i="30"/>
  <c r="AI94" i="30"/>
  <c r="AJ94" i="30"/>
  <c r="AK94" i="30"/>
  <c r="AL94" i="30"/>
  <c r="AM94" i="30"/>
  <c r="AO94" i="30"/>
  <c r="AP94" i="30"/>
  <c r="AI95" i="30"/>
  <c r="AJ95" i="30"/>
  <c r="AK95" i="30"/>
  <c r="AL95" i="30"/>
  <c r="AM95" i="30"/>
  <c r="AO95" i="30"/>
  <c r="AP95" i="30"/>
  <c r="AI97" i="30"/>
  <c r="AJ97" i="30"/>
  <c r="AK97" i="30"/>
  <c r="AL97" i="30"/>
  <c r="AM97" i="30"/>
  <c r="AO97" i="30"/>
  <c r="AP97" i="30"/>
  <c r="AI99" i="30"/>
  <c r="AJ99" i="30"/>
  <c r="AK99" i="30"/>
  <c r="AL99" i="30"/>
  <c r="AM99" i="30"/>
  <c r="AO99" i="30"/>
  <c r="AP99" i="30"/>
  <c r="AI100" i="30"/>
  <c r="AJ100" i="30"/>
  <c r="AK100" i="30"/>
  <c r="AL100" i="30"/>
  <c r="AM100" i="30"/>
  <c r="AO100" i="30"/>
  <c r="AP100" i="30"/>
  <c r="AI101" i="30"/>
  <c r="AJ101" i="30"/>
  <c r="AK101" i="30"/>
  <c r="AL101" i="30"/>
  <c r="AM101" i="30"/>
  <c r="AO101" i="30"/>
  <c r="AP101" i="30"/>
  <c r="AI103" i="30"/>
  <c r="AJ103" i="30"/>
  <c r="AK103" i="30"/>
  <c r="AL103" i="30"/>
  <c r="AM103" i="30"/>
  <c r="AO103" i="30"/>
  <c r="AP103" i="30"/>
  <c r="AI104" i="30"/>
  <c r="AJ104" i="30"/>
  <c r="AK104" i="30"/>
  <c r="AL104" i="30"/>
  <c r="AM104" i="30"/>
  <c r="AO104" i="30"/>
  <c r="AP104" i="30"/>
  <c r="AI105" i="30"/>
  <c r="AJ105" i="30"/>
  <c r="AK105" i="30"/>
  <c r="AL105" i="30"/>
  <c r="AM105" i="30"/>
  <c r="AO105" i="30"/>
  <c r="AP105" i="30"/>
  <c r="AI106" i="30"/>
  <c r="AJ106" i="30"/>
  <c r="AK106" i="30"/>
  <c r="AL106" i="30"/>
  <c r="AM106" i="30"/>
  <c r="AO106" i="30"/>
  <c r="AP106" i="30"/>
  <c r="AI108" i="30"/>
  <c r="AJ108" i="30"/>
  <c r="AK108" i="30"/>
  <c r="AL108" i="30"/>
  <c r="AM108" i="30"/>
  <c r="AO108" i="30"/>
  <c r="AP108" i="30"/>
  <c r="AI109" i="30"/>
  <c r="AJ109" i="30"/>
  <c r="AK109" i="30"/>
  <c r="AL109" i="30"/>
  <c r="AM109" i="30"/>
  <c r="AO109" i="30"/>
  <c r="AP109" i="30"/>
  <c r="AI111" i="30"/>
  <c r="AJ111" i="30"/>
  <c r="AK111" i="30"/>
  <c r="AL111" i="30"/>
  <c r="AM111" i="30"/>
  <c r="AO111" i="30"/>
  <c r="AP111" i="30"/>
  <c r="AI112" i="30"/>
  <c r="AJ112" i="30"/>
  <c r="AK112" i="30"/>
  <c r="AL112" i="30"/>
  <c r="AM112" i="30"/>
  <c r="AO112" i="30"/>
  <c r="AP112" i="30"/>
  <c r="AI115" i="30"/>
  <c r="AJ115" i="30"/>
  <c r="AK115" i="30"/>
  <c r="AL115" i="30"/>
  <c r="AM115" i="30"/>
  <c r="AO115" i="30"/>
  <c r="AP115" i="30"/>
  <c r="AI116" i="30"/>
  <c r="AJ116" i="30"/>
  <c r="AK116" i="30"/>
  <c r="AL116" i="30"/>
  <c r="AM116" i="30"/>
  <c r="AO116" i="30"/>
  <c r="AP116" i="30"/>
  <c r="AI117" i="30"/>
  <c r="AJ117" i="30"/>
  <c r="AK117" i="30"/>
  <c r="AL117" i="30"/>
  <c r="AM117" i="30"/>
  <c r="AO117" i="30"/>
  <c r="AP117" i="30"/>
  <c r="AI226" i="30"/>
  <c r="AJ226" i="30"/>
  <c r="AK226" i="30"/>
  <c r="AL226" i="30"/>
  <c r="AM226" i="30"/>
  <c r="AO226" i="30"/>
  <c r="AP226" i="30"/>
  <c r="AI227" i="30"/>
  <c r="AJ227" i="30"/>
  <c r="AK227" i="30"/>
  <c r="AL227" i="30"/>
  <c r="AM227" i="30"/>
  <c r="AO227" i="30"/>
  <c r="AP227" i="30"/>
  <c r="AI228" i="30"/>
  <c r="AJ228" i="30"/>
  <c r="AK228" i="30"/>
  <c r="AL228" i="30"/>
  <c r="AM228" i="30"/>
  <c r="AO228" i="30"/>
  <c r="AP228" i="30"/>
  <c r="AI230" i="30"/>
  <c r="AJ230" i="30"/>
  <c r="AK230" i="30"/>
  <c r="AL230" i="30"/>
  <c r="AM230" i="30"/>
  <c r="AO230" i="30"/>
  <c r="AP230" i="30"/>
  <c r="AI231" i="30"/>
  <c r="AJ231" i="30"/>
  <c r="AK231" i="30"/>
  <c r="AL231" i="30"/>
  <c r="AM231" i="30"/>
  <c r="AO231" i="30"/>
  <c r="AP231" i="30"/>
  <c r="AI232" i="30"/>
  <c r="AJ232" i="30"/>
  <c r="AK232" i="30"/>
  <c r="AL232" i="30"/>
  <c r="AM232" i="30"/>
  <c r="AO232" i="30"/>
  <c r="AP232" i="30"/>
  <c r="AI233" i="30"/>
  <c r="AJ233" i="30"/>
  <c r="AK233" i="30"/>
  <c r="AL233" i="30"/>
  <c r="AM233" i="30"/>
  <c r="AO233" i="30"/>
  <c r="AP233" i="30"/>
  <c r="AI234" i="30"/>
  <c r="AJ234" i="30"/>
  <c r="AK234" i="30"/>
  <c r="AL234" i="30"/>
  <c r="AM234" i="30"/>
  <c r="AO234" i="30"/>
  <c r="AP234" i="30"/>
  <c r="AI235" i="30"/>
  <c r="AJ235" i="30"/>
  <c r="AK235" i="30"/>
  <c r="AL235" i="30"/>
  <c r="AM235" i="30"/>
  <c r="AO235" i="30"/>
  <c r="AP235" i="30"/>
  <c r="AJ9" i="30"/>
  <c r="AK9" i="30"/>
  <c r="AL9" i="30"/>
  <c r="AM9" i="30"/>
  <c r="AO9" i="30"/>
  <c r="AP9" i="30"/>
  <c r="AI9" i="30"/>
  <c r="L10" i="30"/>
  <c r="M10" i="30"/>
  <c r="N10" i="30"/>
  <c r="O10" i="30"/>
  <c r="P10" i="30"/>
  <c r="Q10" i="30"/>
  <c r="R10" i="30"/>
  <c r="S10" i="30"/>
  <c r="T10" i="30"/>
  <c r="V10" i="30"/>
  <c r="W10" i="30"/>
  <c r="L11" i="30"/>
  <c r="M11" i="30"/>
  <c r="N11" i="30"/>
  <c r="O11" i="30"/>
  <c r="P11" i="30"/>
  <c r="Q11" i="30"/>
  <c r="R11" i="30"/>
  <c r="S11" i="30"/>
  <c r="T11" i="30"/>
  <c r="V11" i="30"/>
  <c r="W11" i="30"/>
  <c r="L12" i="30"/>
  <c r="M12" i="30"/>
  <c r="N12" i="30"/>
  <c r="O12" i="30"/>
  <c r="P12" i="30"/>
  <c r="G12" i="30"/>
  <c r="Q12" i="30"/>
  <c r="R12" i="30"/>
  <c r="S12" i="30"/>
  <c r="T12" i="30"/>
  <c r="V12" i="30"/>
  <c r="W12" i="30"/>
  <c r="L13" i="30"/>
  <c r="M13" i="30"/>
  <c r="N13" i="30"/>
  <c r="O13" i="30"/>
  <c r="P13" i="30"/>
  <c r="G13" i="30"/>
  <c r="Q13" i="30"/>
  <c r="H13" i="30"/>
  <c r="R13" i="30"/>
  <c r="S13" i="30"/>
  <c r="T13" i="30"/>
  <c r="V13" i="30"/>
  <c r="W13" i="30"/>
  <c r="L14" i="30"/>
  <c r="M14" i="30"/>
  <c r="N14" i="30"/>
  <c r="O14" i="30"/>
  <c r="P14" i="30"/>
  <c r="Q14" i="30"/>
  <c r="R14" i="30"/>
  <c r="S14" i="30"/>
  <c r="T14" i="30"/>
  <c r="V14" i="30"/>
  <c r="W14" i="30"/>
  <c r="L15" i="30"/>
  <c r="M15" i="30"/>
  <c r="N15" i="30"/>
  <c r="O15" i="30"/>
  <c r="P15" i="30"/>
  <c r="G15" i="30"/>
  <c r="Q15" i="30"/>
  <c r="R15" i="30"/>
  <c r="S15" i="30"/>
  <c r="T15" i="30"/>
  <c r="V15" i="30"/>
  <c r="W15" i="30"/>
  <c r="L16" i="30"/>
  <c r="M16" i="30"/>
  <c r="N16" i="30"/>
  <c r="O16" i="30"/>
  <c r="P16" i="30"/>
  <c r="Q16" i="30"/>
  <c r="H16" i="30"/>
  <c r="R16" i="30"/>
  <c r="I16" i="30"/>
  <c r="S16" i="30"/>
  <c r="T16" i="30"/>
  <c r="V16" i="30"/>
  <c r="W16" i="30"/>
  <c r="L17" i="30"/>
  <c r="M17" i="30"/>
  <c r="N17" i="30"/>
  <c r="O17" i="30"/>
  <c r="P17" i="30"/>
  <c r="G17" i="30"/>
  <c r="Q17" i="30"/>
  <c r="H17" i="30"/>
  <c r="R17" i="30"/>
  <c r="I17" i="30"/>
  <c r="S17" i="30"/>
  <c r="T17" i="30"/>
  <c r="V17" i="30"/>
  <c r="W17" i="30"/>
  <c r="L18" i="30"/>
  <c r="M18" i="30"/>
  <c r="N18" i="30"/>
  <c r="O18" i="30"/>
  <c r="P18" i="30"/>
  <c r="Q18" i="30"/>
  <c r="H18" i="30"/>
  <c r="R18" i="30"/>
  <c r="I18" i="30"/>
  <c r="S18" i="30"/>
  <c r="T18" i="30"/>
  <c r="V18" i="30"/>
  <c r="W18" i="30"/>
  <c r="L19" i="30"/>
  <c r="M19" i="30"/>
  <c r="N19" i="30"/>
  <c r="O19" i="30"/>
  <c r="P19" i="30"/>
  <c r="Q19" i="30"/>
  <c r="H19" i="30"/>
  <c r="R19" i="30"/>
  <c r="I19" i="30"/>
  <c r="S19" i="30"/>
  <c r="T19" i="30"/>
  <c r="V19" i="30"/>
  <c r="W19" i="30"/>
  <c r="L20" i="30"/>
  <c r="M20" i="30"/>
  <c r="N20" i="30"/>
  <c r="O20" i="30"/>
  <c r="P20" i="30"/>
  <c r="G20" i="30"/>
  <c r="Q20" i="30"/>
  <c r="H20" i="30"/>
  <c r="R20" i="30"/>
  <c r="I20" i="30"/>
  <c r="S20" i="30"/>
  <c r="T20" i="30"/>
  <c r="V20" i="30"/>
  <c r="W20" i="30"/>
  <c r="L21" i="30"/>
  <c r="M21" i="30"/>
  <c r="N21" i="30"/>
  <c r="O21" i="30"/>
  <c r="P21" i="30"/>
  <c r="Q21" i="30"/>
  <c r="R21" i="30"/>
  <c r="S21" i="30"/>
  <c r="T21" i="30"/>
  <c r="V21" i="30"/>
  <c r="W21" i="30"/>
  <c r="L22" i="30"/>
  <c r="M22" i="30"/>
  <c r="N22" i="30"/>
  <c r="O22" i="30"/>
  <c r="F22" i="30"/>
  <c r="P22" i="30"/>
  <c r="Q22" i="30"/>
  <c r="R22" i="30"/>
  <c r="S22" i="30"/>
  <c r="J22" i="30"/>
  <c r="T22" i="30"/>
  <c r="V22" i="30"/>
  <c r="W22" i="30"/>
  <c r="L23" i="30"/>
  <c r="C23" i="30"/>
  <c r="M23" i="30"/>
  <c r="N23" i="30"/>
  <c r="O23" i="30"/>
  <c r="P23" i="30"/>
  <c r="Q23" i="30"/>
  <c r="H23" i="30"/>
  <c r="R23" i="30"/>
  <c r="I23" i="30"/>
  <c r="S23" i="30"/>
  <c r="T23" i="30"/>
  <c r="V23" i="30"/>
  <c r="W23" i="30"/>
  <c r="L24" i="30"/>
  <c r="C24" i="30"/>
  <c r="M24" i="30"/>
  <c r="N24" i="30"/>
  <c r="O24" i="30"/>
  <c r="P24" i="30"/>
  <c r="Q24" i="30"/>
  <c r="H24" i="30"/>
  <c r="R24" i="30"/>
  <c r="I24" i="30"/>
  <c r="S24" i="30"/>
  <c r="T24" i="30"/>
  <c r="V24" i="30"/>
  <c r="W24" i="30"/>
  <c r="L25" i="30"/>
  <c r="C25" i="30"/>
  <c r="M25" i="30"/>
  <c r="N25" i="30"/>
  <c r="O25" i="30"/>
  <c r="F25" i="30"/>
  <c r="P25" i="30"/>
  <c r="Q25" i="30"/>
  <c r="R25" i="30"/>
  <c r="S25" i="30"/>
  <c r="T25" i="30"/>
  <c r="V25" i="30"/>
  <c r="W25" i="30"/>
  <c r="L26" i="30"/>
  <c r="C26" i="30"/>
  <c r="M26" i="30"/>
  <c r="N26" i="30"/>
  <c r="O26" i="30"/>
  <c r="F26" i="30"/>
  <c r="P26" i="30"/>
  <c r="G26" i="30"/>
  <c r="Q26" i="30"/>
  <c r="R26" i="30"/>
  <c r="S26" i="30"/>
  <c r="T26" i="30"/>
  <c r="V26" i="30"/>
  <c r="W26" i="30"/>
  <c r="L27" i="30"/>
  <c r="C27" i="30"/>
  <c r="M27" i="30"/>
  <c r="N27" i="30"/>
  <c r="O27" i="30"/>
  <c r="F27" i="30"/>
  <c r="P27" i="30"/>
  <c r="G27" i="30"/>
  <c r="Q27" i="30"/>
  <c r="R27" i="30"/>
  <c r="S27" i="30"/>
  <c r="T27" i="30"/>
  <c r="V27" i="30"/>
  <c r="W27" i="30"/>
  <c r="L28" i="30"/>
  <c r="C28" i="30"/>
  <c r="M28" i="30"/>
  <c r="N28" i="30"/>
  <c r="O28" i="30"/>
  <c r="F28" i="30"/>
  <c r="P28" i="30"/>
  <c r="Q28" i="30"/>
  <c r="R28" i="30"/>
  <c r="S28" i="30"/>
  <c r="T28" i="30"/>
  <c r="V28" i="30"/>
  <c r="W28" i="30"/>
  <c r="L29" i="30"/>
  <c r="C29" i="30"/>
  <c r="M29" i="30"/>
  <c r="N29" i="30"/>
  <c r="O29" i="30"/>
  <c r="F29" i="30"/>
  <c r="P29" i="30"/>
  <c r="Q29" i="30"/>
  <c r="R29" i="30"/>
  <c r="S29" i="30"/>
  <c r="T29" i="30"/>
  <c r="V29" i="30"/>
  <c r="W29" i="30"/>
  <c r="L30" i="30"/>
  <c r="C30" i="30"/>
  <c r="M30" i="30"/>
  <c r="D30" i="30"/>
  <c r="N30" i="30"/>
  <c r="O30" i="30"/>
  <c r="F30" i="30"/>
  <c r="P30" i="30"/>
  <c r="Q30" i="30"/>
  <c r="R30" i="30"/>
  <c r="S30" i="30"/>
  <c r="T30" i="30"/>
  <c r="V30" i="30"/>
  <c r="W30" i="30"/>
  <c r="L31" i="30"/>
  <c r="C31" i="30"/>
  <c r="M31" i="30"/>
  <c r="D31" i="30"/>
  <c r="N31" i="30"/>
  <c r="O31" i="30"/>
  <c r="F31" i="30"/>
  <c r="P31" i="30"/>
  <c r="G31" i="30"/>
  <c r="Q31" i="30"/>
  <c r="H31" i="30"/>
  <c r="R31" i="30"/>
  <c r="I31" i="30"/>
  <c r="S31" i="30"/>
  <c r="J31" i="30"/>
  <c r="T31" i="30"/>
  <c r="V31" i="30"/>
  <c r="W31" i="30"/>
  <c r="L32" i="30"/>
  <c r="C32" i="30"/>
  <c r="M32" i="30"/>
  <c r="D32" i="30"/>
  <c r="N32" i="30"/>
  <c r="O32" i="30"/>
  <c r="F32" i="30"/>
  <c r="P32" i="30"/>
  <c r="Q32" i="30"/>
  <c r="R32" i="30"/>
  <c r="S32" i="30"/>
  <c r="T32" i="30"/>
  <c r="V32" i="30"/>
  <c r="W32" i="30"/>
  <c r="L33" i="30"/>
  <c r="C33" i="30"/>
  <c r="M33" i="30"/>
  <c r="D33" i="30"/>
  <c r="N33" i="30"/>
  <c r="O33" i="30"/>
  <c r="F33" i="30"/>
  <c r="P33" i="30"/>
  <c r="Q33" i="30"/>
  <c r="R33" i="30"/>
  <c r="S33" i="30"/>
  <c r="T33" i="30"/>
  <c r="V33" i="30"/>
  <c r="W33" i="30"/>
  <c r="L34" i="30"/>
  <c r="C34" i="30"/>
  <c r="M34" i="30"/>
  <c r="D34" i="30"/>
  <c r="N34" i="30"/>
  <c r="O34" i="30"/>
  <c r="P34" i="30"/>
  <c r="G34" i="30"/>
  <c r="Q34" i="30"/>
  <c r="R34" i="30"/>
  <c r="S34" i="30"/>
  <c r="J34" i="30"/>
  <c r="T34" i="30"/>
  <c r="V34" i="30"/>
  <c r="W34" i="30"/>
  <c r="L35" i="30"/>
  <c r="C35" i="30"/>
  <c r="M35" i="30"/>
  <c r="D35" i="30"/>
  <c r="N35" i="30"/>
  <c r="O35" i="30"/>
  <c r="F35" i="30"/>
  <c r="P35" i="30"/>
  <c r="G35" i="30"/>
  <c r="Q35" i="30"/>
  <c r="H35" i="30"/>
  <c r="R35" i="30"/>
  <c r="I35" i="30"/>
  <c r="S35" i="30"/>
  <c r="J35" i="30"/>
  <c r="T35" i="30"/>
  <c r="V35" i="30"/>
  <c r="W35" i="30"/>
  <c r="L36" i="30"/>
  <c r="C36" i="30"/>
  <c r="M36" i="30"/>
  <c r="D36" i="30"/>
  <c r="N36" i="30"/>
  <c r="O36" i="30"/>
  <c r="F36" i="30"/>
  <c r="P36" i="30"/>
  <c r="G36" i="30"/>
  <c r="Q36" i="30"/>
  <c r="H36" i="30"/>
  <c r="R36" i="30"/>
  <c r="I36" i="30"/>
  <c r="S36" i="30"/>
  <c r="J36" i="30"/>
  <c r="T36" i="30"/>
  <c r="V36" i="30"/>
  <c r="W36" i="30"/>
  <c r="L37" i="30"/>
  <c r="C37" i="30"/>
  <c r="M37" i="30"/>
  <c r="D37" i="30"/>
  <c r="N37" i="30"/>
  <c r="O37" i="30"/>
  <c r="P37" i="30"/>
  <c r="Q37" i="30"/>
  <c r="R37" i="30"/>
  <c r="S37" i="30"/>
  <c r="J37" i="30"/>
  <c r="T37" i="30"/>
  <c r="V37" i="30"/>
  <c r="W37" i="30"/>
  <c r="L38" i="30"/>
  <c r="C38" i="30"/>
  <c r="M38" i="30"/>
  <c r="N38" i="30"/>
  <c r="O38" i="30"/>
  <c r="F38" i="30"/>
  <c r="P38" i="30"/>
  <c r="Q38" i="30"/>
  <c r="R38" i="30"/>
  <c r="I38" i="30"/>
  <c r="S38" i="30"/>
  <c r="J38" i="30"/>
  <c r="T38" i="30"/>
  <c r="V38" i="30"/>
  <c r="W38" i="30"/>
  <c r="L39" i="30"/>
  <c r="C39" i="30"/>
  <c r="M39" i="30"/>
  <c r="N39" i="30"/>
  <c r="O39" i="30"/>
  <c r="P39" i="30"/>
  <c r="Q39" i="30"/>
  <c r="R39" i="30"/>
  <c r="S39" i="30"/>
  <c r="J39" i="30"/>
  <c r="T39" i="30"/>
  <c r="V39" i="30"/>
  <c r="W39" i="30"/>
  <c r="L40" i="30"/>
  <c r="C40" i="30"/>
  <c r="M40" i="30"/>
  <c r="N40" i="30"/>
  <c r="O40" i="30"/>
  <c r="P40" i="30"/>
  <c r="Q40" i="30"/>
  <c r="R40" i="30"/>
  <c r="S40" i="30"/>
  <c r="J40" i="30"/>
  <c r="T40" i="30"/>
  <c r="V40" i="30"/>
  <c r="W40" i="30"/>
  <c r="L41" i="30"/>
  <c r="C41" i="30"/>
  <c r="M41" i="30"/>
  <c r="N41" i="30"/>
  <c r="O41" i="30"/>
  <c r="P41" i="30"/>
  <c r="Q41" i="30"/>
  <c r="R41" i="30"/>
  <c r="S41" i="30"/>
  <c r="T41" i="30"/>
  <c r="V41" i="30"/>
  <c r="W41" i="30"/>
  <c r="L42" i="30"/>
  <c r="C42" i="30"/>
  <c r="M42" i="30"/>
  <c r="N42" i="30"/>
  <c r="O42" i="30"/>
  <c r="P42" i="30"/>
  <c r="Q42" i="30"/>
  <c r="R42" i="30"/>
  <c r="S42" i="30"/>
  <c r="T42" i="30"/>
  <c r="V42" i="30"/>
  <c r="W42" i="30"/>
  <c r="L43" i="30"/>
  <c r="C43" i="30"/>
  <c r="M43" i="30"/>
  <c r="N43" i="30"/>
  <c r="O43" i="30"/>
  <c r="F43" i="30"/>
  <c r="P43" i="30"/>
  <c r="G43" i="30"/>
  <c r="Q43" i="30"/>
  <c r="H43" i="30"/>
  <c r="R43" i="30"/>
  <c r="I43" i="30"/>
  <c r="S43" i="30"/>
  <c r="J43" i="30"/>
  <c r="T43" i="30"/>
  <c r="V43" i="30"/>
  <c r="W43" i="30"/>
  <c r="L44" i="30"/>
  <c r="C44" i="30"/>
  <c r="M44" i="30"/>
  <c r="N44" i="30"/>
  <c r="O44" i="30"/>
  <c r="F44" i="30"/>
  <c r="P44" i="30"/>
  <c r="G44" i="30"/>
  <c r="Q44" i="30"/>
  <c r="H44" i="30"/>
  <c r="R44" i="30"/>
  <c r="S44" i="30"/>
  <c r="T44" i="30"/>
  <c r="V44" i="30"/>
  <c r="W44" i="30"/>
  <c r="L45" i="30"/>
  <c r="C45" i="30"/>
  <c r="M45" i="30"/>
  <c r="N45" i="30"/>
  <c r="O45" i="30"/>
  <c r="F45" i="30"/>
  <c r="P45" i="30"/>
  <c r="Q45" i="30"/>
  <c r="R45" i="30"/>
  <c r="S45" i="30"/>
  <c r="J45" i="30"/>
  <c r="T45" i="30"/>
  <c r="V45" i="30"/>
  <c r="W45" i="30"/>
  <c r="L46" i="30"/>
  <c r="C46" i="30"/>
  <c r="M46" i="30"/>
  <c r="N46" i="30"/>
  <c r="O46" i="30"/>
  <c r="F46" i="30"/>
  <c r="P46" i="30"/>
  <c r="G46" i="30"/>
  <c r="Q46" i="30"/>
  <c r="R46" i="30"/>
  <c r="S46" i="30"/>
  <c r="T46" i="30"/>
  <c r="V46" i="30"/>
  <c r="W46" i="30"/>
  <c r="L47" i="30"/>
  <c r="C47" i="30"/>
  <c r="M47" i="30"/>
  <c r="N47" i="30"/>
  <c r="O47" i="30"/>
  <c r="F47" i="30"/>
  <c r="P47" i="30"/>
  <c r="G47" i="30"/>
  <c r="Q47" i="30"/>
  <c r="H47" i="30"/>
  <c r="R47" i="30"/>
  <c r="S47" i="30"/>
  <c r="T47" i="30"/>
  <c r="V47" i="30"/>
  <c r="W47" i="30"/>
  <c r="L48" i="30"/>
  <c r="C48" i="30"/>
  <c r="M48" i="30"/>
  <c r="N48" i="30"/>
  <c r="O48" i="30"/>
  <c r="F48" i="30"/>
  <c r="P48" i="30"/>
  <c r="G48" i="30"/>
  <c r="Q48" i="30"/>
  <c r="R48" i="30"/>
  <c r="S48" i="30"/>
  <c r="T48" i="30"/>
  <c r="V48" i="30"/>
  <c r="W48" i="30"/>
  <c r="L49" i="30"/>
  <c r="C49" i="30"/>
  <c r="M49" i="30"/>
  <c r="N49" i="30"/>
  <c r="O49" i="30"/>
  <c r="F49" i="30"/>
  <c r="P49" i="30"/>
  <c r="G49" i="30"/>
  <c r="Q49" i="30"/>
  <c r="R49" i="30"/>
  <c r="S49" i="30"/>
  <c r="T49" i="30"/>
  <c r="V49" i="30"/>
  <c r="W49" i="30"/>
  <c r="L50" i="30"/>
  <c r="C50" i="30"/>
  <c r="M50" i="30"/>
  <c r="N50" i="30"/>
  <c r="O50" i="30"/>
  <c r="F50" i="30"/>
  <c r="P50" i="30"/>
  <c r="G50" i="30"/>
  <c r="Q50" i="30"/>
  <c r="H50" i="30"/>
  <c r="R50" i="30"/>
  <c r="S50" i="30"/>
  <c r="T50" i="30"/>
  <c r="V50" i="30"/>
  <c r="W50" i="30"/>
  <c r="L51" i="30"/>
  <c r="C51" i="30"/>
  <c r="M51" i="30"/>
  <c r="N51" i="30"/>
  <c r="O51" i="30"/>
  <c r="F51" i="30"/>
  <c r="P51" i="30"/>
  <c r="G51" i="30"/>
  <c r="Q51" i="30"/>
  <c r="H51" i="30"/>
  <c r="R51" i="30"/>
  <c r="S51" i="30"/>
  <c r="T51" i="30"/>
  <c r="V51" i="30"/>
  <c r="W51" i="30"/>
  <c r="L52" i="30"/>
  <c r="M52" i="30"/>
  <c r="N52" i="30"/>
  <c r="O52" i="30"/>
  <c r="F52" i="30"/>
  <c r="P52" i="30"/>
  <c r="G52" i="30"/>
  <c r="Q52" i="30"/>
  <c r="H52" i="30"/>
  <c r="R52" i="30"/>
  <c r="S52" i="30"/>
  <c r="T52" i="30"/>
  <c r="V52" i="30"/>
  <c r="W52" i="30"/>
  <c r="L53" i="30"/>
  <c r="M53" i="30"/>
  <c r="N53" i="30"/>
  <c r="O53" i="30"/>
  <c r="P53" i="30"/>
  <c r="Q53" i="30"/>
  <c r="R53" i="30"/>
  <c r="S53" i="30"/>
  <c r="T53" i="30"/>
  <c r="V53" i="30"/>
  <c r="W53" i="30"/>
  <c r="L54" i="30"/>
  <c r="M54" i="30"/>
  <c r="N54" i="30"/>
  <c r="O54" i="30"/>
  <c r="F54" i="30"/>
  <c r="P54" i="30"/>
  <c r="Q54" i="30"/>
  <c r="R54" i="30"/>
  <c r="S54" i="30"/>
  <c r="J54" i="30"/>
  <c r="T54" i="30"/>
  <c r="V54" i="30"/>
  <c r="W54" i="30"/>
  <c r="L55" i="30"/>
  <c r="M55" i="30"/>
  <c r="N55" i="30"/>
  <c r="O55" i="30"/>
  <c r="F55" i="30"/>
  <c r="P55" i="30"/>
  <c r="Q55" i="30"/>
  <c r="R55" i="30"/>
  <c r="S55" i="30"/>
  <c r="J55" i="30"/>
  <c r="T55" i="30"/>
  <c r="V55" i="30"/>
  <c r="W55" i="30"/>
  <c r="L56" i="30"/>
  <c r="M56" i="30"/>
  <c r="N56" i="30"/>
  <c r="O56" i="30"/>
  <c r="P56" i="30"/>
  <c r="G56" i="30"/>
  <c r="Q56" i="30"/>
  <c r="R56" i="30"/>
  <c r="S56" i="30"/>
  <c r="J56" i="30"/>
  <c r="T56" i="30"/>
  <c r="V56" i="30"/>
  <c r="W56" i="30"/>
  <c r="L57" i="30"/>
  <c r="M57" i="30"/>
  <c r="N57" i="30"/>
  <c r="O57" i="30"/>
  <c r="F57" i="30"/>
  <c r="P57" i="30"/>
  <c r="G57" i="30"/>
  <c r="Q57" i="30"/>
  <c r="R57" i="30"/>
  <c r="S57" i="30"/>
  <c r="J57" i="30"/>
  <c r="T57" i="30"/>
  <c r="V57" i="30"/>
  <c r="W57" i="30"/>
  <c r="L58" i="30"/>
  <c r="M58" i="30"/>
  <c r="N58" i="30"/>
  <c r="O58" i="30"/>
  <c r="P58" i="30"/>
  <c r="G58" i="30"/>
  <c r="Q58" i="30"/>
  <c r="R58" i="30"/>
  <c r="S58" i="30"/>
  <c r="T58" i="30"/>
  <c r="V58" i="30"/>
  <c r="W58" i="30"/>
  <c r="L59" i="30"/>
  <c r="M59" i="30"/>
  <c r="N59" i="30"/>
  <c r="O59" i="30"/>
  <c r="F59" i="30"/>
  <c r="P59" i="30"/>
  <c r="G59" i="30"/>
  <c r="Q59" i="30"/>
  <c r="R59" i="30"/>
  <c r="S59" i="30"/>
  <c r="T59" i="30"/>
  <c r="V59" i="30"/>
  <c r="W59" i="30"/>
  <c r="L60" i="30"/>
  <c r="M60" i="30"/>
  <c r="N60" i="30"/>
  <c r="O60" i="30"/>
  <c r="F60" i="30"/>
  <c r="P60" i="30"/>
  <c r="G60" i="30"/>
  <c r="Q60" i="30"/>
  <c r="H60" i="30"/>
  <c r="R60" i="30"/>
  <c r="S60" i="30"/>
  <c r="T60" i="30"/>
  <c r="V60" i="30"/>
  <c r="W60" i="30"/>
  <c r="L61" i="30"/>
  <c r="M61" i="30"/>
  <c r="N61" i="30"/>
  <c r="O61" i="30"/>
  <c r="F61" i="30"/>
  <c r="P61" i="30"/>
  <c r="G61" i="30"/>
  <c r="Q61" i="30"/>
  <c r="H61" i="30"/>
  <c r="R61" i="30"/>
  <c r="S61" i="30"/>
  <c r="T61" i="30"/>
  <c r="V61" i="30"/>
  <c r="W61" i="30"/>
  <c r="L62" i="30"/>
  <c r="M62" i="30"/>
  <c r="N62" i="30"/>
  <c r="O62" i="30"/>
  <c r="F62" i="30"/>
  <c r="P62" i="30"/>
  <c r="G62" i="30"/>
  <c r="Q62" i="30"/>
  <c r="H62" i="30"/>
  <c r="R62" i="30"/>
  <c r="S62" i="30"/>
  <c r="T62" i="30"/>
  <c r="V62" i="30"/>
  <c r="W62" i="30"/>
  <c r="L63" i="30"/>
  <c r="M63" i="30"/>
  <c r="N63" i="30"/>
  <c r="O63" i="30"/>
  <c r="P63" i="30"/>
  <c r="G63" i="30"/>
  <c r="Q63" i="30"/>
  <c r="H63" i="30"/>
  <c r="R63" i="30"/>
  <c r="I63" i="30"/>
  <c r="S63" i="30"/>
  <c r="J63" i="30"/>
  <c r="T63" i="30"/>
  <c r="V63" i="30"/>
  <c r="W63" i="30"/>
  <c r="L64" i="30"/>
  <c r="M64" i="30"/>
  <c r="N64" i="30"/>
  <c r="O64" i="30"/>
  <c r="P64" i="30"/>
  <c r="Q64" i="30"/>
  <c r="R64" i="30"/>
  <c r="S64" i="30"/>
  <c r="J64" i="30"/>
  <c r="T64" i="30"/>
  <c r="V64" i="30"/>
  <c r="W64" i="30"/>
  <c r="L65" i="30"/>
  <c r="M65" i="30"/>
  <c r="N65" i="30"/>
  <c r="O65" i="30"/>
  <c r="F65" i="30"/>
  <c r="P65" i="30"/>
  <c r="Q65" i="30"/>
  <c r="H65" i="30"/>
  <c r="R65" i="30"/>
  <c r="I65" i="30"/>
  <c r="S65" i="30"/>
  <c r="J65" i="30"/>
  <c r="T65" i="30"/>
  <c r="V65" i="30"/>
  <c r="W65" i="30"/>
  <c r="L66" i="30"/>
  <c r="M66" i="30"/>
  <c r="N66" i="30"/>
  <c r="O66" i="30"/>
  <c r="F66" i="30"/>
  <c r="P66" i="30"/>
  <c r="G66" i="30"/>
  <c r="Q66" i="30"/>
  <c r="H66" i="30"/>
  <c r="R66" i="30"/>
  <c r="I66" i="30"/>
  <c r="S66" i="30"/>
  <c r="J66" i="30"/>
  <c r="T66" i="30"/>
  <c r="V66" i="30"/>
  <c r="W66" i="30"/>
  <c r="L67" i="30"/>
  <c r="M67" i="30"/>
  <c r="N67" i="30"/>
  <c r="O67" i="30"/>
  <c r="F67" i="30"/>
  <c r="P67" i="30"/>
  <c r="G67" i="30"/>
  <c r="Q67" i="30"/>
  <c r="H67" i="30"/>
  <c r="R67" i="30"/>
  <c r="S67" i="30"/>
  <c r="J67" i="30"/>
  <c r="T67" i="30"/>
  <c r="V67" i="30"/>
  <c r="W67" i="30"/>
  <c r="L68" i="30"/>
  <c r="M68" i="30"/>
  <c r="N68" i="30"/>
  <c r="O68" i="30"/>
  <c r="F68" i="30"/>
  <c r="P68" i="30"/>
  <c r="Q68" i="30"/>
  <c r="H68" i="30"/>
  <c r="R68" i="30"/>
  <c r="S68" i="30"/>
  <c r="J68" i="30"/>
  <c r="T68" i="30"/>
  <c r="V68" i="30"/>
  <c r="W68" i="30"/>
  <c r="L69" i="30"/>
  <c r="M69" i="30"/>
  <c r="N69" i="30"/>
  <c r="O69" i="30"/>
  <c r="F69" i="30"/>
  <c r="P69" i="30"/>
  <c r="Q69" i="30"/>
  <c r="H69" i="30"/>
  <c r="R69" i="30"/>
  <c r="S69" i="30"/>
  <c r="J69" i="30"/>
  <c r="T69" i="30"/>
  <c r="V69" i="30"/>
  <c r="W69" i="30"/>
  <c r="L70" i="30"/>
  <c r="M70" i="30"/>
  <c r="N70" i="30"/>
  <c r="O70" i="30"/>
  <c r="P70" i="30"/>
  <c r="G70" i="30"/>
  <c r="Q70" i="30"/>
  <c r="H70" i="30"/>
  <c r="R70" i="30"/>
  <c r="S70" i="30"/>
  <c r="J70" i="30"/>
  <c r="T70" i="30"/>
  <c r="V70" i="30"/>
  <c r="W70" i="30"/>
  <c r="L71" i="30"/>
  <c r="M71" i="30"/>
  <c r="N71" i="30"/>
  <c r="O71" i="30"/>
  <c r="F71" i="30"/>
  <c r="P71" i="30"/>
  <c r="G71" i="30"/>
  <c r="Q71" i="30"/>
  <c r="H71" i="30"/>
  <c r="R71" i="30"/>
  <c r="S71" i="30"/>
  <c r="J71" i="30"/>
  <c r="T71" i="30"/>
  <c r="V71" i="30"/>
  <c r="W71" i="30"/>
  <c r="L72" i="30"/>
  <c r="M72" i="30"/>
  <c r="N72" i="30"/>
  <c r="O72" i="30"/>
  <c r="P72" i="30"/>
  <c r="G72" i="30"/>
  <c r="Q72" i="30"/>
  <c r="R72" i="30"/>
  <c r="I72" i="30"/>
  <c r="S72" i="30"/>
  <c r="J72" i="30"/>
  <c r="T72" i="30"/>
  <c r="V72" i="30"/>
  <c r="W72" i="30"/>
  <c r="L73" i="30"/>
  <c r="M73" i="30"/>
  <c r="N73" i="30"/>
  <c r="O73" i="30"/>
  <c r="F73" i="30"/>
  <c r="P73" i="30"/>
  <c r="G73" i="30"/>
  <c r="Q73" i="30"/>
  <c r="R73" i="30"/>
  <c r="S73" i="30"/>
  <c r="T73" i="30"/>
  <c r="V73" i="30"/>
  <c r="W73" i="30"/>
  <c r="L74" i="30"/>
  <c r="M74" i="30"/>
  <c r="N74" i="30"/>
  <c r="O74" i="30"/>
  <c r="P74" i="30"/>
  <c r="G74" i="30"/>
  <c r="Q74" i="30"/>
  <c r="H74" i="30"/>
  <c r="R74" i="30"/>
  <c r="I74" i="30"/>
  <c r="S74" i="30"/>
  <c r="J74" i="30"/>
  <c r="T74" i="30"/>
  <c r="V74" i="30"/>
  <c r="W74" i="30"/>
  <c r="L75" i="30"/>
  <c r="M75" i="30"/>
  <c r="N75" i="30"/>
  <c r="O75" i="30"/>
  <c r="F75" i="30"/>
  <c r="P75" i="30"/>
  <c r="Q75" i="30"/>
  <c r="H75" i="30"/>
  <c r="R75" i="30"/>
  <c r="I75" i="30"/>
  <c r="S75" i="30"/>
  <c r="J75" i="30"/>
  <c r="T75" i="30"/>
  <c r="V75" i="30"/>
  <c r="W75" i="30"/>
  <c r="L76" i="30"/>
  <c r="M76" i="30"/>
  <c r="N76" i="30"/>
  <c r="O76" i="30"/>
  <c r="F76" i="30"/>
  <c r="P76" i="30"/>
  <c r="G76" i="30"/>
  <c r="Q76" i="30"/>
  <c r="R76" i="30"/>
  <c r="S76" i="30"/>
  <c r="J76" i="30"/>
  <c r="T76" i="30"/>
  <c r="V76" i="30"/>
  <c r="W76" i="30"/>
  <c r="L77" i="30"/>
  <c r="M77" i="30"/>
  <c r="N77" i="30"/>
  <c r="O77" i="30"/>
  <c r="F77" i="30"/>
  <c r="P77" i="30"/>
  <c r="Q77" i="30"/>
  <c r="R77" i="30"/>
  <c r="S77" i="30"/>
  <c r="J77" i="30"/>
  <c r="T77" i="30"/>
  <c r="V77" i="30"/>
  <c r="W77" i="30"/>
  <c r="L78" i="30"/>
  <c r="M78" i="30"/>
  <c r="N78" i="30"/>
  <c r="O78" i="30"/>
  <c r="F78" i="30"/>
  <c r="P78" i="30"/>
  <c r="Q78" i="30"/>
  <c r="R78" i="30"/>
  <c r="S78" i="30"/>
  <c r="J78" i="30"/>
  <c r="T78" i="30"/>
  <c r="V78" i="30"/>
  <c r="W78" i="30"/>
  <c r="L79" i="30"/>
  <c r="M79" i="30"/>
  <c r="N79" i="30"/>
  <c r="O79" i="30"/>
  <c r="F79" i="30"/>
  <c r="P79" i="30"/>
  <c r="G79" i="30"/>
  <c r="Q79" i="30"/>
  <c r="R79" i="30"/>
  <c r="I79" i="30"/>
  <c r="S79" i="30"/>
  <c r="J79" i="30"/>
  <c r="T79" i="30"/>
  <c r="V79" i="30"/>
  <c r="W79" i="30"/>
  <c r="L80" i="30"/>
  <c r="M80" i="30"/>
  <c r="N80" i="30"/>
  <c r="O80" i="30"/>
  <c r="F80" i="30"/>
  <c r="P80" i="30"/>
  <c r="G80" i="30"/>
  <c r="Q80" i="30"/>
  <c r="R80" i="30"/>
  <c r="S80" i="30"/>
  <c r="J80" i="30"/>
  <c r="T80" i="30"/>
  <c r="V80" i="30"/>
  <c r="W80" i="30"/>
  <c r="L81" i="30"/>
  <c r="M81" i="30"/>
  <c r="N81" i="30"/>
  <c r="O81" i="30"/>
  <c r="P81" i="30"/>
  <c r="G81" i="30"/>
  <c r="Q81" i="30"/>
  <c r="R81" i="30"/>
  <c r="I81" i="30"/>
  <c r="S81" i="30"/>
  <c r="J81" i="30"/>
  <c r="T81" i="30"/>
  <c r="V81" i="30"/>
  <c r="W81" i="30"/>
  <c r="L82" i="30"/>
  <c r="M82" i="30"/>
  <c r="N82" i="30"/>
  <c r="O82" i="30"/>
  <c r="P82" i="30"/>
  <c r="G82" i="30"/>
  <c r="Q82" i="30"/>
  <c r="R82" i="30"/>
  <c r="I82" i="30"/>
  <c r="S82" i="30"/>
  <c r="J82" i="30"/>
  <c r="T82" i="30"/>
  <c r="V82" i="30"/>
  <c r="W82" i="30"/>
  <c r="L83" i="30"/>
  <c r="M83" i="30"/>
  <c r="N83" i="30"/>
  <c r="O83" i="30"/>
  <c r="P83" i="30"/>
  <c r="G83" i="30"/>
  <c r="Q83" i="30"/>
  <c r="R83" i="30"/>
  <c r="I83" i="30"/>
  <c r="S83" i="30"/>
  <c r="J83" i="30"/>
  <c r="T83" i="30"/>
  <c r="V83" i="30"/>
  <c r="W83" i="30"/>
  <c r="L84" i="30"/>
  <c r="M84" i="30"/>
  <c r="N84" i="30"/>
  <c r="O84" i="30"/>
  <c r="P84" i="30"/>
  <c r="G84" i="30"/>
  <c r="Q84" i="30"/>
  <c r="R84" i="30"/>
  <c r="I84" i="30"/>
  <c r="S84" i="30"/>
  <c r="J84" i="30"/>
  <c r="T84" i="30"/>
  <c r="V84" i="30"/>
  <c r="W84" i="30"/>
  <c r="L85" i="30"/>
  <c r="M85" i="30"/>
  <c r="N85" i="30"/>
  <c r="O85" i="30"/>
  <c r="P85" i="30"/>
  <c r="G85" i="30"/>
  <c r="Q85" i="30"/>
  <c r="R85" i="30"/>
  <c r="S85" i="30"/>
  <c r="T85" i="30"/>
  <c r="V85" i="30"/>
  <c r="W85" i="30"/>
  <c r="L86" i="30"/>
  <c r="M86" i="30"/>
  <c r="N86" i="30"/>
  <c r="O86" i="30"/>
  <c r="P86" i="30"/>
  <c r="G86" i="30"/>
  <c r="Q86" i="30"/>
  <c r="R86" i="30"/>
  <c r="I86" i="30"/>
  <c r="S86" i="30"/>
  <c r="T86" i="30"/>
  <c r="V86" i="30"/>
  <c r="W86" i="30"/>
  <c r="L87" i="30"/>
  <c r="M87" i="30"/>
  <c r="N87" i="30"/>
  <c r="O87" i="30"/>
  <c r="P87" i="30"/>
  <c r="G87" i="30"/>
  <c r="Q87" i="30"/>
  <c r="R87" i="30"/>
  <c r="I87" i="30"/>
  <c r="S87" i="30"/>
  <c r="T87" i="30"/>
  <c r="V87" i="30"/>
  <c r="W87" i="30"/>
  <c r="L88" i="30"/>
  <c r="M88" i="30"/>
  <c r="N88" i="30"/>
  <c r="O88" i="30"/>
  <c r="P88" i="30"/>
  <c r="G88" i="30"/>
  <c r="Q88" i="30"/>
  <c r="R88" i="30"/>
  <c r="S88" i="30"/>
  <c r="T88" i="30"/>
  <c r="V88" i="30"/>
  <c r="W88" i="30"/>
  <c r="L89" i="30"/>
  <c r="M89" i="30"/>
  <c r="N89" i="30"/>
  <c r="O89" i="30"/>
  <c r="P89" i="30"/>
  <c r="G89" i="30"/>
  <c r="Q89" i="30"/>
  <c r="R89" i="30"/>
  <c r="S89" i="30"/>
  <c r="T89" i="30"/>
  <c r="V89" i="30"/>
  <c r="W89" i="30"/>
  <c r="L90" i="30"/>
  <c r="M90" i="30"/>
  <c r="N90" i="30"/>
  <c r="O90" i="30"/>
  <c r="P90" i="30"/>
  <c r="G90" i="30"/>
  <c r="Q90" i="30"/>
  <c r="R90" i="30"/>
  <c r="S90" i="30"/>
  <c r="T90" i="30"/>
  <c r="V90" i="30"/>
  <c r="W90" i="30"/>
  <c r="L91" i="30"/>
  <c r="M91" i="30"/>
  <c r="N91" i="30"/>
  <c r="O91" i="30"/>
  <c r="P91" i="30"/>
  <c r="G91" i="30"/>
  <c r="Q91" i="30"/>
  <c r="R91" i="30"/>
  <c r="S91" i="30"/>
  <c r="T91" i="30"/>
  <c r="V91" i="30"/>
  <c r="W91" i="30"/>
  <c r="L92" i="30"/>
  <c r="M92" i="30"/>
  <c r="N92" i="30"/>
  <c r="O92" i="30"/>
  <c r="P92" i="30"/>
  <c r="Q92" i="30"/>
  <c r="R92" i="30"/>
  <c r="S92" i="30"/>
  <c r="T92" i="30"/>
  <c r="V92" i="30"/>
  <c r="W92" i="30"/>
  <c r="L93" i="30"/>
  <c r="M93" i="30"/>
  <c r="N93" i="30"/>
  <c r="O93" i="30"/>
  <c r="P93" i="30"/>
  <c r="Q93" i="30"/>
  <c r="R93" i="30"/>
  <c r="S93" i="30"/>
  <c r="T93" i="30"/>
  <c r="V93" i="30"/>
  <c r="W93" i="30"/>
  <c r="L94" i="30"/>
  <c r="M94" i="30"/>
  <c r="N94" i="30"/>
  <c r="O94" i="30"/>
  <c r="P94" i="30"/>
  <c r="Q94" i="30"/>
  <c r="R94" i="30"/>
  <c r="I94" i="30"/>
  <c r="S94" i="30"/>
  <c r="T94" i="30"/>
  <c r="V94" i="30"/>
  <c r="W94" i="30"/>
  <c r="L95" i="30"/>
  <c r="M95" i="30"/>
  <c r="N95" i="30"/>
  <c r="O95" i="30"/>
  <c r="P95" i="30"/>
  <c r="Q95" i="30"/>
  <c r="R95" i="30"/>
  <c r="S95" i="30"/>
  <c r="T95" i="30"/>
  <c r="V95" i="30"/>
  <c r="W95" i="30"/>
  <c r="L97" i="30"/>
  <c r="M97" i="30"/>
  <c r="N97" i="30"/>
  <c r="O97" i="30"/>
  <c r="P97" i="30"/>
  <c r="Q97" i="30"/>
  <c r="R97" i="30"/>
  <c r="S97" i="30"/>
  <c r="T97" i="30"/>
  <c r="V97" i="30"/>
  <c r="W97" i="30"/>
  <c r="L99" i="30"/>
  <c r="M99" i="30"/>
  <c r="N99" i="30"/>
  <c r="O99" i="30"/>
  <c r="P99" i="30"/>
  <c r="G99" i="30"/>
  <c r="Q99" i="30"/>
  <c r="R99" i="30"/>
  <c r="S99" i="30"/>
  <c r="T99" i="30"/>
  <c r="V99" i="30"/>
  <c r="W99" i="30"/>
  <c r="L100" i="30"/>
  <c r="M100" i="30"/>
  <c r="N100" i="30"/>
  <c r="O100" i="30"/>
  <c r="P100" i="30"/>
  <c r="G100" i="30"/>
  <c r="Q100" i="30"/>
  <c r="R100" i="30"/>
  <c r="S100" i="30"/>
  <c r="T100" i="30"/>
  <c r="V100" i="30"/>
  <c r="W100" i="30"/>
  <c r="L101" i="30"/>
  <c r="M101" i="30"/>
  <c r="N101" i="30"/>
  <c r="O101" i="30"/>
  <c r="P101" i="30"/>
  <c r="Q101" i="30"/>
  <c r="R101" i="30"/>
  <c r="S101" i="30"/>
  <c r="T101" i="30"/>
  <c r="V101" i="30"/>
  <c r="W101" i="30"/>
  <c r="L103" i="30"/>
  <c r="M103" i="30"/>
  <c r="N103" i="30"/>
  <c r="O103" i="30"/>
  <c r="P103" i="30"/>
  <c r="Q103" i="30"/>
  <c r="R103" i="30"/>
  <c r="S103" i="30"/>
  <c r="T103" i="30"/>
  <c r="V103" i="30"/>
  <c r="W103" i="30"/>
  <c r="L104" i="30"/>
  <c r="M104" i="30"/>
  <c r="N104" i="30"/>
  <c r="O104" i="30"/>
  <c r="P104" i="30"/>
  <c r="Q104" i="30"/>
  <c r="R104" i="30"/>
  <c r="S104" i="30"/>
  <c r="T104" i="30"/>
  <c r="V104" i="30"/>
  <c r="W104" i="30"/>
  <c r="L105" i="30"/>
  <c r="M105" i="30"/>
  <c r="N105" i="30"/>
  <c r="O105" i="30"/>
  <c r="P105" i="30"/>
  <c r="Q105" i="30"/>
  <c r="R105" i="30"/>
  <c r="S105" i="30"/>
  <c r="T105" i="30"/>
  <c r="V105" i="30"/>
  <c r="W105" i="30"/>
  <c r="L106" i="30"/>
  <c r="M106" i="30"/>
  <c r="N106" i="30"/>
  <c r="O106" i="30"/>
  <c r="F106" i="30"/>
  <c r="P106" i="30"/>
  <c r="Q106" i="30"/>
  <c r="R106" i="30"/>
  <c r="S106" i="30"/>
  <c r="T106" i="30"/>
  <c r="V106" i="30"/>
  <c r="W106" i="30"/>
  <c r="L108" i="30"/>
  <c r="M108" i="30"/>
  <c r="N108" i="30"/>
  <c r="O108" i="30"/>
  <c r="P108" i="30"/>
  <c r="Q108" i="30"/>
  <c r="R108" i="30"/>
  <c r="S108" i="30"/>
  <c r="T108" i="30"/>
  <c r="V108" i="30"/>
  <c r="W108" i="30"/>
  <c r="L109" i="30"/>
  <c r="M109" i="30"/>
  <c r="N109" i="30"/>
  <c r="O109" i="30"/>
  <c r="P109" i="30"/>
  <c r="G109" i="30"/>
  <c r="Q109" i="30"/>
  <c r="R109" i="30"/>
  <c r="S109" i="30"/>
  <c r="T109" i="30"/>
  <c r="V109" i="30"/>
  <c r="W109" i="30"/>
  <c r="L111" i="30"/>
  <c r="M111" i="30"/>
  <c r="N111" i="30"/>
  <c r="O111" i="30"/>
  <c r="P111" i="30"/>
  <c r="G111" i="30"/>
  <c r="Q111" i="30"/>
  <c r="R111" i="30"/>
  <c r="S111" i="30"/>
  <c r="T111" i="30"/>
  <c r="V111" i="30"/>
  <c r="W111" i="30"/>
  <c r="L112" i="30"/>
  <c r="M112" i="30"/>
  <c r="N112" i="30"/>
  <c r="O112" i="30"/>
  <c r="P112" i="30"/>
  <c r="Q112" i="30"/>
  <c r="R112" i="30"/>
  <c r="S112" i="30"/>
  <c r="T112" i="30"/>
  <c r="V112" i="30"/>
  <c r="W112" i="30"/>
  <c r="L115" i="30"/>
  <c r="M115" i="30"/>
  <c r="N115" i="30"/>
  <c r="E115" i="30"/>
  <c r="O115" i="30"/>
  <c r="P115" i="30"/>
  <c r="Q115" i="30"/>
  <c r="R115" i="30"/>
  <c r="S115" i="30"/>
  <c r="T115" i="30"/>
  <c r="V115" i="30"/>
  <c r="W115" i="30"/>
  <c r="L116" i="30"/>
  <c r="M116" i="30"/>
  <c r="N116" i="30"/>
  <c r="O116" i="30"/>
  <c r="P116" i="30"/>
  <c r="G116" i="30"/>
  <c r="Q116" i="30"/>
  <c r="R116" i="30"/>
  <c r="S116" i="30"/>
  <c r="T116" i="30"/>
  <c r="V116" i="30"/>
  <c r="W116" i="30"/>
  <c r="L117" i="30"/>
  <c r="M117" i="30"/>
  <c r="N117" i="30"/>
  <c r="O117" i="30"/>
  <c r="F117" i="30"/>
  <c r="P117" i="30"/>
  <c r="G117" i="30"/>
  <c r="Q117" i="30"/>
  <c r="R117" i="30"/>
  <c r="S117" i="30"/>
  <c r="T117" i="30"/>
  <c r="V117" i="30"/>
  <c r="W117" i="30"/>
  <c r="L226" i="30"/>
  <c r="M226" i="30"/>
  <c r="N226" i="30"/>
  <c r="O226" i="30"/>
  <c r="P226" i="30"/>
  <c r="Q226" i="30"/>
  <c r="R226" i="30"/>
  <c r="S226" i="30"/>
  <c r="T226" i="30"/>
  <c r="V226" i="30"/>
  <c r="W226" i="30"/>
  <c r="L227" i="30"/>
  <c r="M227" i="30"/>
  <c r="N227" i="30"/>
  <c r="O227" i="30"/>
  <c r="P227" i="30"/>
  <c r="Q227" i="30"/>
  <c r="R227" i="30"/>
  <c r="S227" i="30"/>
  <c r="T227" i="30"/>
  <c r="V227" i="30"/>
  <c r="W227" i="30"/>
  <c r="L228" i="30"/>
  <c r="M228" i="30"/>
  <c r="N228" i="30"/>
  <c r="O228" i="30"/>
  <c r="P228" i="30"/>
  <c r="Q228" i="30"/>
  <c r="R228" i="30"/>
  <c r="S228" i="30"/>
  <c r="T228" i="30"/>
  <c r="V228" i="30"/>
  <c r="W228" i="30"/>
  <c r="L230" i="30"/>
  <c r="M230" i="30"/>
  <c r="N230" i="30"/>
  <c r="O230" i="30"/>
  <c r="P230" i="30"/>
  <c r="Q230" i="30"/>
  <c r="R230" i="30"/>
  <c r="S230" i="30"/>
  <c r="T230" i="30"/>
  <c r="V230" i="30"/>
  <c r="W230" i="30"/>
  <c r="L231" i="30"/>
  <c r="M231" i="30"/>
  <c r="N231" i="30"/>
  <c r="O231" i="30"/>
  <c r="P231" i="30"/>
  <c r="Q231" i="30"/>
  <c r="R231" i="30"/>
  <c r="S231" i="30"/>
  <c r="T231" i="30"/>
  <c r="V231" i="30"/>
  <c r="W231" i="30"/>
  <c r="L232" i="30"/>
  <c r="M232" i="30"/>
  <c r="N232" i="30"/>
  <c r="O232" i="30"/>
  <c r="P232" i="30"/>
  <c r="Q232" i="30"/>
  <c r="R232" i="30"/>
  <c r="S232" i="30"/>
  <c r="T232" i="30"/>
  <c r="V232" i="30"/>
  <c r="W232" i="30"/>
  <c r="L233" i="30"/>
  <c r="M233" i="30"/>
  <c r="N233" i="30"/>
  <c r="O233" i="30"/>
  <c r="P233" i="30"/>
  <c r="Q233" i="30"/>
  <c r="R233" i="30"/>
  <c r="S233" i="30"/>
  <c r="T233" i="30"/>
  <c r="V233" i="30"/>
  <c r="W233" i="30"/>
  <c r="L234" i="30"/>
  <c r="M234" i="30"/>
  <c r="N234" i="30"/>
  <c r="O234" i="30"/>
  <c r="P234" i="30"/>
  <c r="Q234" i="30"/>
  <c r="R234" i="30"/>
  <c r="S234" i="30"/>
  <c r="T234" i="30"/>
  <c r="V234" i="30"/>
  <c r="W234" i="30"/>
  <c r="L235" i="30"/>
  <c r="M235" i="30"/>
  <c r="N235" i="30"/>
  <c r="O235" i="30"/>
  <c r="P235" i="30"/>
  <c r="Q235" i="30"/>
  <c r="R235" i="30"/>
  <c r="S235" i="30"/>
  <c r="T235" i="30"/>
  <c r="V235" i="30"/>
  <c r="W235" i="30"/>
  <c r="L9" i="30"/>
  <c r="M9" i="30"/>
  <c r="N9" i="30"/>
  <c r="O9" i="30"/>
  <c r="P9" i="30"/>
  <c r="Q9" i="30"/>
  <c r="R9" i="30"/>
  <c r="S9" i="30"/>
  <c r="T9" i="30"/>
  <c r="V9" i="30"/>
  <c r="W9" i="30"/>
  <c r="J3" i="31"/>
  <c r="L3" i="31"/>
  <c r="G276" i="31"/>
  <c r="E276" i="31"/>
  <c r="D276" i="31"/>
  <c r="C276" i="31"/>
  <c r="B276" i="31"/>
  <c r="G275" i="31"/>
  <c r="F275" i="31"/>
  <c r="E275" i="31"/>
  <c r="D275" i="31"/>
  <c r="C275" i="31"/>
  <c r="B275" i="31"/>
  <c r="G274" i="31"/>
  <c r="F274" i="31"/>
  <c r="E274" i="31"/>
  <c r="D274" i="31"/>
  <c r="C274" i="31"/>
  <c r="B274" i="31"/>
  <c r="G273" i="31"/>
  <c r="F273" i="31"/>
  <c r="E273" i="31"/>
  <c r="D273" i="31"/>
  <c r="C273" i="31"/>
  <c r="B273" i="31"/>
  <c r="G272" i="31"/>
  <c r="E272" i="31"/>
  <c r="D272" i="31"/>
  <c r="C272" i="31"/>
  <c r="B272" i="31"/>
  <c r="F271" i="31"/>
  <c r="E271" i="31"/>
  <c r="D271" i="31"/>
  <c r="C271" i="31"/>
  <c r="B271" i="31"/>
  <c r="D270" i="31"/>
  <c r="C270" i="31"/>
  <c r="B270" i="31"/>
  <c r="E269" i="31"/>
  <c r="D269" i="31"/>
  <c r="C269" i="31"/>
  <c r="B269" i="31"/>
  <c r="D268" i="31"/>
  <c r="C268" i="31"/>
  <c r="B268" i="31"/>
  <c r="D267" i="31"/>
  <c r="C267" i="31"/>
  <c r="B267" i="31"/>
  <c r="D266" i="31"/>
  <c r="C266" i="31"/>
  <c r="B266" i="31"/>
  <c r="J263" i="31"/>
  <c r="M263" i="31"/>
  <c r="L263" i="31"/>
  <c r="J262" i="31"/>
  <c r="J261" i="31"/>
  <c r="L261" i="31"/>
  <c r="J260" i="31"/>
  <c r="M260" i="31"/>
  <c r="L260" i="31"/>
  <c r="J259" i="31"/>
  <c r="J258" i="31"/>
  <c r="O258" i="31"/>
  <c r="J257" i="31"/>
  <c r="O257" i="31"/>
  <c r="J256" i="31"/>
  <c r="O256" i="31"/>
  <c r="J255" i="31"/>
  <c r="O255" i="31"/>
  <c r="J254" i="31"/>
  <c r="M254" i="31"/>
  <c r="L254" i="31"/>
  <c r="O254" i="31"/>
  <c r="J253" i="31"/>
  <c r="O253" i="31"/>
  <c r="J252" i="31"/>
  <c r="O252" i="31"/>
  <c r="J251" i="31"/>
  <c r="J250" i="31"/>
  <c r="O250" i="31"/>
  <c r="J249" i="31"/>
  <c r="O249" i="31"/>
  <c r="J248" i="31"/>
  <c r="O248" i="31"/>
  <c r="J247" i="31"/>
  <c r="O247" i="31"/>
  <c r="J246" i="31"/>
  <c r="O246" i="31"/>
  <c r="J245" i="31"/>
  <c r="O245" i="31"/>
  <c r="J244" i="31"/>
  <c r="N244" i="31"/>
  <c r="M244" i="31"/>
  <c r="O244" i="31"/>
  <c r="J243" i="31"/>
  <c r="J242" i="31"/>
  <c r="L242" i="31"/>
  <c r="O242" i="31"/>
  <c r="J241" i="31"/>
  <c r="J240" i="31"/>
  <c r="N240" i="31"/>
  <c r="M240" i="31"/>
  <c r="O240" i="31"/>
  <c r="J239" i="31"/>
  <c r="L239" i="31"/>
  <c r="J238" i="31"/>
  <c r="N238" i="31"/>
  <c r="O238" i="31"/>
  <c r="J237" i="31"/>
  <c r="Q237" i="31"/>
  <c r="L237" i="31"/>
  <c r="J236" i="31"/>
  <c r="N236" i="31"/>
  <c r="M236" i="31"/>
  <c r="O236" i="31"/>
  <c r="J235" i="31"/>
  <c r="Q235" i="31"/>
  <c r="O235" i="31"/>
  <c r="L235" i="31"/>
  <c r="J234" i="31"/>
  <c r="O234" i="31"/>
  <c r="J233" i="31"/>
  <c r="N233" i="31"/>
  <c r="J232" i="31"/>
  <c r="L232" i="31"/>
  <c r="J231" i="31"/>
  <c r="J230" i="31"/>
  <c r="O230" i="31"/>
  <c r="J229" i="31"/>
  <c r="L229" i="31"/>
  <c r="N229" i="31"/>
  <c r="J228" i="31"/>
  <c r="L228" i="31"/>
  <c r="J227" i="31"/>
  <c r="O227" i="31"/>
  <c r="N227" i="31"/>
  <c r="J226" i="31"/>
  <c r="O226" i="31"/>
  <c r="J225" i="31"/>
  <c r="N225" i="31"/>
  <c r="J224" i="31"/>
  <c r="O224" i="31"/>
  <c r="J223" i="31"/>
  <c r="N223" i="31"/>
  <c r="J222" i="31"/>
  <c r="N222" i="31"/>
  <c r="M222" i="31"/>
  <c r="O222" i="31"/>
  <c r="J221" i="31"/>
  <c r="N221" i="31"/>
  <c r="J220" i="31"/>
  <c r="P220" i="31"/>
  <c r="J219" i="31"/>
  <c r="N219" i="31"/>
  <c r="J218" i="31"/>
  <c r="N218" i="31"/>
  <c r="M218" i="31"/>
  <c r="L218" i="31"/>
  <c r="O218" i="31"/>
  <c r="J217" i="31"/>
  <c r="P217" i="31"/>
  <c r="M217" i="31"/>
  <c r="N217" i="31"/>
  <c r="J216" i="31"/>
  <c r="O216" i="31"/>
  <c r="J215" i="31"/>
  <c r="N215" i="31"/>
  <c r="J214" i="31"/>
  <c r="O214" i="31"/>
  <c r="J213" i="31"/>
  <c r="N213" i="31"/>
  <c r="J212" i="31"/>
  <c r="P212" i="31"/>
  <c r="J211" i="31"/>
  <c r="N211" i="31"/>
  <c r="O211" i="31"/>
  <c r="J210" i="31"/>
  <c r="N210" i="31"/>
  <c r="M210" i="31"/>
  <c r="O210" i="31"/>
  <c r="J209" i="31"/>
  <c r="N209" i="31"/>
  <c r="J208" i="31"/>
  <c r="J207" i="31"/>
  <c r="N207" i="31"/>
  <c r="J206" i="31"/>
  <c r="O206" i="31"/>
  <c r="J205" i="31"/>
  <c r="L205" i="31"/>
  <c r="J204" i="31"/>
  <c r="O204" i="31"/>
  <c r="N204" i="31"/>
  <c r="L204" i="31"/>
  <c r="J203" i="31"/>
  <c r="N203" i="31"/>
  <c r="L203" i="31"/>
  <c r="M203" i="31"/>
  <c r="J202" i="31"/>
  <c r="J201" i="31"/>
  <c r="M201" i="31"/>
  <c r="J200" i="31"/>
  <c r="M200" i="31"/>
  <c r="J199" i="31"/>
  <c r="M199" i="31"/>
  <c r="J198" i="31"/>
  <c r="M198" i="31"/>
  <c r="J197" i="31"/>
  <c r="M197" i="31"/>
  <c r="J196" i="31"/>
  <c r="N196" i="31"/>
  <c r="M196" i="31"/>
  <c r="J195" i="31"/>
  <c r="M195" i="31"/>
  <c r="J194" i="31"/>
  <c r="M194" i="31"/>
  <c r="J193" i="31"/>
  <c r="M193" i="31"/>
  <c r="J192" i="31"/>
  <c r="M192" i="31"/>
  <c r="J191" i="31"/>
  <c r="M191" i="31"/>
  <c r="J190" i="31"/>
  <c r="M190" i="31"/>
  <c r="J189" i="31"/>
  <c r="M189" i="31"/>
  <c r="J188" i="31"/>
  <c r="L188" i="31"/>
  <c r="M188" i="31"/>
  <c r="J187" i="31"/>
  <c r="M187" i="31"/>
  <c r="J186" i="31"/>
  <c r="J185" i="31"/>
  <c r="J184" i="31"/>
  <c r="J183" i="31"/>
  <c r="J182" i="31"/>
  <c r="J181" i="31"/>
  <c r="J180" i="31"/>
  <c r="O180" i="31"/>
  <c r="J179" i="31"/>
  <c r="L179" i="31"/>
  <c r="J178" i="31"/>
  <c r="Q178" i="31"/>
  <c r="J177" i="31"/>
  <c r="Q177" i="31"/>
  <c r="J176" i="31"/>
  <c r="L176" i="31"/>
  <c r="J175" i="31"/>
  <c r="L175" i="31"/>
  <c r="J174" i="31"/>
  <c r="N174" i="31"/>
  <c r="J173" i="31"/>
  <c r="Q173" i="31"/>
  <c r="J172" i="31"/>
  <c r="O172" i="31"/>
  <c r="J171" i="31"/>
  <c r="M171" i="31"/>
  <c r="J170" i="31"/>
  <c r="L170" i="31"/>
  <c r="J169" i="31"/>
  <c r="M169" i="31"/>
  <c r="J168" i="31"/>
  <c r="M168" i="31"/>
  <c r="J167" i="31"/>
  <c r="M167" i="31"/>
  <c r="J166" i="31"/>
  <c r="M166" i="31"/>
  <c r="J165" i="31"/>
  <c r="M165" i="31"/>
  <c r="J164" i="31"/>
  <c r="J163" i="31"/>
  <c r="J162" i="31"/>
  <c r="M162" i="31"/>
  <c r="J161" i="31"/>
  <c r="L161" i="31"/>
  <c r="J160" i="31"/>
  <c r="M160" i="31"/>
  <c r="J159" i="31"/>
  <c r="L159" i="31"/>
  <c r="J158" i="31"/>
  <c r="J157" i="31"/>
  <c r="L157" i="31"/>
  <c r="J156" i="31"/>
  <c r="L156" i="31"/>
  <c r="J155" i="31"/>
  <c r="L155" i="31"/>
  <c r="J154" i="31"/>
  <c r="J153" i="31"/>
  <c r="J152" i="31"/>
  <c r="J151" i="31"/>
  <c r="M151" i="31"/>
  <c r="J150" i="31"/>
  <c r="L150" i="31"/>
  <c r="M150" i="31"/>
  <c r="J149" i="31"/>
  <c r="J148" i="31"/>
  <c r="J147" i="31"/>
  <c r="O147" i="31"/>
  <c r="M147" i="31"/>
  <c r="J146" i="31"/>
  <c r="J145" i="31"/>
  <c r="M145" i="31"/>
  <c r="L145" i="31"/>
  <c r="J144" i="31"/>
  <c r="L144" i="31"/>
  <c r="J143" i="31"/>
  <c r="L143" i="31"/>
  <c r="J142" i="31"/>
  <c r="J141" i="31"/>
  <c r="M141" i="31"/>
  <c r="J140" i="31"/>
  <c r="M140" i="31"/>
  <c r="J139" i="31"/>
  <c r="N139" i="31"/>
  <c r="J138" i="31"/>
  <c r="L138" i="31"/>
  <c r="O138" i="31"/>
  <c r="J137" i="31"/>
  <c r="O137" i="31"/>
  <c r="J136" i="31"/>
  <c r="O136" i="31"/>
  <c r="M136" i="31"/>
  <c r="P136" i="31"/>
  <c r="J135" i="31"/>
  <c r="L135" i="31"/>
  <c r="J134" i="31"/>
  <c r="M134" i="31"/>
  <c r="L134" i="31"/>
  <c r="J133" i="31"/>
  <c r="J132" i="31"/>
  <c r="M132" i="31"/>
  <c r="J131" i="31"/>
  <c r="L131" i="31"/>
  <c r="J130" i="31"/>
  <c r="M130" i="31"/>
  <c r="J129" i="31"/>
  <c r="L129" i="31"/>
  <c r="J128" i="31"/>
  <c r="L128" i="31"/>
  <c r="J127" i="31"/>
  <c r="M127" i="31"/>
  <c r="J126" i="31"/>
  <c r="L126" i="31"/>
  <c r="J125" i="31"/>
  <c r="M125" i="31"/>
  <c r="L125" i="31"/>
  <c r="J124" i="31"/>
  <c r="L124" i="31"/>
  <c r="J123" i="31"/>
  <c r="M123" i="31"/>
  <c r="J122" i="31"/>
  <c r="L122" i="31"/>
  <c r="J121" i="31"/>
  <c r="L121" i="31"/>
  <c r="J120" i="31"/>
  <c r="L120" i="31"/>
  <c r="J119" i="31"/>
  <c r="M119" i="31"/>
  <c r="J118" i="31"/>
  <c r="L118" i="31"/>
  <c r="J117" i="31"/>
  <c r="J116" i="31"/>
  <c r="M116" i="31"/>
  <c r="L116" i="31"/>
  <c r="J115" i="31"/>
  <c r="M115" i="31"/>
  <c r="J114" i="31"/>
  <c r="L114" i="31"/>
  <c r="J113" i="31"/>
  <c r="M113" i="31"/>
  <c r="L113" i="31"/>
  <c r="J112" i="31"/>
  <c r="L112" i="31"/>
  <c r="J111" i="31"/>
  <c r="M111" i="31"/>
  <c r="J110" i="31"/>
  <c r="L110" i="31"/>
  <c r="J109" i="31"/>
  <c r="M109" i="31"/>
  <c r="J108" i="31"/>
  <c r="L108" i="31"/>
  <c r="J107" i="31"/>
  <c r="M107" i="31"/>
  <c r="J106" i="31"/>
  <c r="M106" i="31"/>
  <c r="J105" i="31"/>
  <c r="L105" i="31"/>
  <c r="J104" i="31"/>
  <c r="M104" i="31"/>
  <c r="J103" i="31"/>
  <c r="M103" i="31"/>
  <c r="J102" i="31"/>
  <c r="M102" i="31"/>
  <c r="J101" i="31"/>
  <c r="L101" i="31"/>
  <c r="J100" i="31"/>
  <c r="L100" i="31"/>
  <c r="M100" i="31"/>
  <c r="J99" i="31"/>
  <c r="M99" i="31"/>
  <c r="J98" i="31"/>
  <c r="M98" i="31"/>
  <c r="J97" i="31"/>
  <c r="J96" i="31"/>
  <c r="L96" i="31"/>
  <c r="J95" i="31"/>
  <c r="M95" i="31"/>
  <c r="J94" i="31"/>
  <c r="O94" i="31"/>
  <c r="O269" i="31"/>
  <c r="J93" i="31"/>
  <c r="M93" i="31"/>
  <c r="J92" i="31"/>
  <c r="M92" i="31"/>
  <c r="J91" i="31"/>
  <c r="L91" i="31"/>
  <c r="J90" i="31"/>
  <c r="L90" i="31"/>
  <c r="J89" i="31"/>
  <c r="L89" i="31"/>
  <c r="J88" i="31"/>
  <c r="L88" i="31"/>
  <c r="J87" i="31"/>
  <c r="L87" i="31"/>
  <c r="J86" i="31"/>
  <c r="J85" i="31"/>
  <c r="M85" i="31"/>
  <c r="L85" i="31"/>
  <c r="J84" i="31"/>
  <c r="M84" i="31"/>
  <c r="J83" i="31"/>
  <c r="M83" i="31"/>
  <c r="J82" i="31"/>
  <c r="L82" i="31"/>
  <c r="J81" i="31"/>
  <c r="M81" i="31"/>
  <c r="J80" i="31"/>
  <c r="M80" i="31"/>
  <c r="J79" i="31"/>
  <c r="M79" i="31"/>
  <c r="J78" i="31"/>
  <c r="L78" i="31"/>
  <c r="J77" i="31"/>
  <c r="M77" i="31"/>
  <c r="J76" i="31"/>
  <c r="M76" i="31"/>
  <c r="J75" i="31"/>
  <c r="L75" i="31"/>
  <c r="J74" i="31"/>
  <c r="L74" i="31"/>
  <c r="J73" i="31"/>
  <c r="M73" i="31"/>
  <c r="J72" i="31"/>
  <c r="L72" i="31"/>
  <c r="J71" i="31"/>
  <c r="M71" i="31"/>
  <c r="J70" i="31"/>
  <c r="L70" i="31"/>
  <c r="J69" i="31"/>
  <c r="L69" i="31"/>
  <c r="J68" i="31"/>
  <c r="M68" i="31"/>
  <c r="J67" i="31"/>
  <c r="L67" i="31"/>
  <c r="J66" i="31"/>
  <c r="J65" i="31"/>
  <c r="L65" i="31"/>
  <c r="J64" i="31"/>
  <c r="L64" i="31"/>
  <c r="J63" i="31"/>
  <c r="M63" i="31"/>
  <c r="J62" i="31"/>
  <c r="L62" i="31"/>
  <c r="J61" i="31"/>
  <c r="M61" i="31"/>
  <c r="J60" i="31"/>
  <c r="M60" i="31"/>
  <c r="J59" i="31"/>
  <c r="M59" i="31"/>
  <c r="J58" i="31"/>
  <c r="L58" i="31"/>
  <c r="J57" i="31"/>
  <c r="M57" i="31"/>
  <c r="J56" i="31"/>
  <c r="M56" i="31"/>
  <c r="J55" i="31"/>
  <c r="L55" i="31"/>
  <c r="J54" i="31"/>
  <c r="L54" i="31"/>
  <c r="J53" i="31"/>
  <c r="J52" i="31"/>
  <c r="L52" i="31"/>
  <c r="J51" i="31"/>
  <c r="L51" i="31"/>
  <c r="J50" i="31"/>
  <c r="L50" i="31"/>
  <c r="J49" i="31"/>
  <c r="L49" i="31"/>
  <c r="J48" i="31"/>
  <c r="J47" i="31"/>
  <c r="M47" i="31"/>
  <c r="L47" i="31"/>
  <c r="J46" i="31"/>
  <c r="M46" i="31"/>
  <c r="J45" i="31"/>
  <c r="M45" i="31"/>
  <c r="J44" i="31"/>
  <c r="M44" i="31"/>
  <c r="J43" i="31"/>
  <c r="L43" i="31"/>
  <c r="J42" i="31"/>
  <c r="L42" i="31"/>
  <c r="J41" i="31"/>
  <c r="M41" i="31"/>
  <c r="J40" i="31"/>
  <c r="M40" i="31"/>
  <c r="J39" i="31"/>
  <c r="J38" i="31"/>
  <c r="M38" i="31"/>
  <c r="L38" i="31"/>
  <c r="J37" i="31"/>
  <c r="M37" i="31"/>
  <c r="J36" i="31"/>
  <c r="M36" i="31"/>
  <c r="J35" i="31"/>
  <c r="M35" i="31"/>
  <c r="L35" i="31"/>
  <c r="J34" i="31"/>
  <c r="L34" i="31"/>
  <c r="J33" i="31"/>
  <c r="M33" i="31"/>
  <c r="J32" i="31"/>
  <c r="M32" i="31"/>
  <c r="J31" i="31"/>
  <c r="M31" i="31"/>
  <c r="J30" i="31"/>
  <c r="L30" i="31"/>
  <c r="J29" i="31"/>
  <c r="L29" i="31"/>
  <c r="J28" i="31"/>
  <c r="M28" i="31"/>
  <c r="J27" i="31"/>
  <c r="M27" i="31"/>
  <c r="J26" i="31"/>
  <c r="J25" i="31"/>
  <c r="M25" i="31"/>
  <c r="L25" i="31"/>
  <c r="J24" i="31"/>
  <c r="M24" i="31"/>
  <c r="J23" i="31"/>
  <c r="M23" i="31"/>
  <c r="J22" i="31"/>
  <c r="L22" i="31"/>
  <c r="J21" i="31"/>
  <c r="L21" i="31"/>
  <c r="J20" i="31"/>
  <c r="M20" i="31"/>
  <c r="J19" i="31"/>
  <c r="M19" i="31"/>
  <c r="J18" i="31"/>
  <c r="L18" i="31"/>
  <c r="J17" i="31"/>
  <c r="M17" i="31"/>
  <c r="J16" i="31"/>
  <c r="M16" i="31"/>
  <c r="J15" i="31"/>
  <c r="M15" i="31"/>
  <c r="J14" i="31"/>
  <c r="L14" i="31"/>
  <c r="J13" i="31"/>
  <c r="J12" i="31"/>
  <c r="L12" i="31"/>
  <c r="J11" i="31"/>
  <c r="M11" i="31"/>
  <c r="J10" i="31"/>
  <c r="M10" i="31"/>
  <c r="J9" i="31"/>
  <c r="L9" i="31"/>
  <c r="J8" i="31"/>
  <c r="L8" i="31"/>
  <c r="J7" i="31"/>
  <c r="M7" i="31"/>
  <c r="J6" i="31"/>
  <c r="L6" i="31"/>
  <c r="J5" i="31"/>
  <c r="M5" i="31"/>
  <c r="J4" i="31"/>
  <c r="L4" i="31"/>
  <c r="M3" i="31"/>
  <c r="M9" i="31"/>
  <c r="L17" i="31"/>
  <c r="L76" i="31"/>
  <c r="L81" i="31"/>
  <c r="L104" i="31"/>
  <c r="M8" i="31"/>
  <c r="M12" i="31"/>
  <c r="N34" i="31"/>
  <c r="N8" i="31"/>
  <c r="M22" i="31"/>
  <c r="M52" i="31"/>
  <c r="M65" i="31"/>
  <c r="L71" i="31"/>
  <c r="M82" i="31"/>
  <c r="M96" i="31"/>
  <c r="M121" i="31"/>
  <c r="L136" i="31"/>
  <c r="O139" i="31"/>
  <c r="P225" i="31"/>
  <c r="O237" i="31"/>
  <c r="M238" i="31"/>
  <c r="N256" i="31"/>
  <c r="O157" i="31"/>
  <c r="L160" i="31"/>
  <c r="N166" i="31"/>
  <c r="L169" i="31"/>
  <c r="M179" i="31"/>
  <c r="N189" i="31"/>
  <c r="L192" i="31"/>
  <c r="N201" i="31"/>
  <c r="L225" i="31"/>
  <c r="L226" i="31"/>
  <c r="M234" i="31"/>
  <c r="M250" i="31"/>
  <c r="L252" i="31"/>
  <c r="M14" i="31"/>
  <c r="M78" i="31"/>
  <c r="M42" i="31"/>
  <c r="M62" i="31"/>
  <c r="N67" i="31"/>
  <c r="N76" i="31"/>
  <c r="N269" i="31"/>
  <c r="M90" i="31"/>
  <c r="L93" i="31"/>
  <c r="M139" i="31"/>
  <c r="M155" i="31"/>
  <c r="M152" i="31"/>
  <c r="M153" i="31"/>
  <c r="M154" i="31"/>
  <c r="N192" i="31"/>
  <c r="P205" i="31"/>
  <c r="L213" i="31"/>
  <c r="Q218" i="31"/>
  <c r="M225" i="31"/>
  <c r="Q226" i="31"/>
  <c r="N234" i="31"/>
  <c r="L238" i="31"/>
  <c r="L248" i="31"/>
  <c r="N250" i="31"/>
  <c r="N254" i="31"/>
  <c r="M256" i="31"/>
  <c r="L13" i="31"/>
  <c r="M13" i="31"/>
  <c r="L33" i="31"/>
  <c r="M48" i="31"/>
  <c r="N48" i="31"/>
  <c r="M4" i="31"/>
  <c r="L7" i="31"/>
  <c r="N13" i="31"/>
  <c r="M18" i="31"/>
  <c r="M43" i="31"/>
  <c r="L66" i="31"/>
  <c r="M66" i="31"/>
  <c r="M89" i="31"/>
  <c r="L99" i="31"/>
  <c r="M21" i="31"/>
  <c r="L26" i="31"/>
  <c r="M26" i="31"/>
  <c r="M29" i="31"/>
  <c r="M34" i="31"/>
  <c r="M54" i="31"/>
  <c r="L57" i="31"/>
  <c r="M72" i="31"/>
  <c r="L77" i="31"/>
  <c r="L97" i="31"/>
  <c r="M97" i="31"/>
  <c r="L102" i="31"/>
  <c r="M117" i="31"/>
  <c r="L117" i="31"/>
  <c r="M129" i="31"/>
  <c r="O129" i="31"/>
  <c r="L39" i="31"/>
  <c r="M39" i="31"/>
  <c r="L53" i="31"/>
  <c r="M53" i="31"/>
  <c r="M148" i="31"/>
  <c r="M149" i="31"/>
  <c r="O148" i="31"/>
  <c r="N148" i="31"/>
  <c r="L61" i="31"/>
  <c r="L109" i="31"/>
  <c r="M124" i="31"/>
  <c r="L133" i="31"/>
  <c r="M133" i="31"/>
  <c r="N149" i="31"/>
  <c r="O149" i="31"/>
  <c r="L163" i="31"/>
  <c r="M163" i="31"/>
  <c r="M164" i="31"/>
  <c r="O163" i="31"/>
  <c r="N266" i="31"/>
  <c r="M30" i="31"/>
  <c r="N53" i="31"/>
  <c r="M58" i="31"/>
  <c r="L46" i="31"/>
  <c r="L86" i="31"/>
  <c r="M86" i="31"/>
  <c r="M94" i="31"/>
  <c r="L130" i="31"/>
  <c r="M142" i="31"/>
  <c r="L142" i="31"/>
  <c r="L158" i="31"/>
  <c r="O158" i="31"/>
  <c r="M105" i="31"/>
  <c r="M108" i="31"/>
  <c r="N140" i="31"/>
  <c r="N150" i="31"/>
  <c r="M157" i="31"/>
  <c r="L166" i="31"/>
  <c r="M177" i="31"/>
  <c r="P180" i="31"/>
  <c r="N193" i="31"/>
  <c r="L196" i="31"/>
  <c r="N200" i="31"/>
  <c r="M205" i="31"/>
  <c r="M206" i="31"/>
  <c r="M209" i="31"/>
  <c r="L210" i="31"/>
  <c r="Q210" i="31"/>
  <c r="P213" i="31"/>
  <c r="M214" i="31"/>
  <c r="L217" i="31"/>
  <c r="P218" i="31"/>
  <c r="O219" i="31"/>
  <c r="M221" i="31"/>
  <c r="L222" i="31"/>
  <c r="Q222" i="31"/>
  <c r="Q225" i="31"/>
  <c r="N226" i="31"/>
  <c r="P228" i="31"/>
  <c r="P229" i="31"/>
  <c r="M230" i="31"/>
  <c r="M233" i="31"/>
  <c r="L234" i="31"/>
  <c r="L236" i="31"/>
  <c r="Q238" i="31"/>
  <c r="L240" i="31"/>
  <c r="N242" i="31"/>
  <c r="L244" i="31"/>
  <c r="M246" i="31"/>
  <c r="N248" i="31"/>
  <c r="L250" i="31"/>
  <c r="N252" i="31"/>
  <c r="Q254" i="31"/>
  <c r="L256" i="31"/>
  <c r="N258" i="31"/>
  <c r="O177" i="31"/>
  <c r="Q180" i="31"/>
  <c r="Q273" i="31"/>
  <c r="N206" i="31"/>
  <c r="P209" i="31"/>
  <c r="Q213" i="31"/>
  <c r="N214" i="31"/>
  <c r="P221" i="31"/>
  <c r="P226" i="31"/>
  <c r="Q229" i="31"/>
  <c r="N230" i="31"/>
  <c r="P233" i="31"/>
  <c r="Q242" i="31"/>
  <c r="N246" i="31"/>
  <c r="Q248" i="31"/>
  <c r="Q252" i="31"/>
  <c r="Q258" i="31"/>
  <c r="P206" i="31"/>
  <c r="Q209" i="31"/>
  <c r="P214" i="31"/>
  <c r="Q221" i="31"/>
  <c r="P230" i="31"/>
  <c r="Q233" i="31"/>
  <c r="Q246" i="31"/>
  <c r="L258" i="31"/>
  <c r="M138" i="31"/>
  <c r="L162" i="31"/>
  <c r="L177" i="31"/>
  <c r="N188" i="31"/>
  <c r="N197" i="31"/>
  <c r="L200" i="31"/>
  <c r="L206" i="31"/>
  <c r="Q206" i="31"/>
  <c r="L209" i="31"/>
  <c r="P210" i="31"/>
  <c r="M213" i="31"/>
  <c r="L214" i="31"/>
  <c r="Q214" i="31"/>
  <c r="Q217" i="31"/>
  <c r="L221" i="31"/>
  <c r="P222" i="31"/>
  <c r="M226" i="31"/>
  <c r="O228" i="31"/>
  <c r="M229" i="31"/>
  <c r="L230" i="31"/>
  <c r="Q230" i="31"/>
  <c r="L233" i="31"/>
  <c r="Q234" i="31"/>
  <c r="Q236" i="31"/>
  <c r="Q240" i="31"/>
  <c r="M242" i="31"/>
  <c r="Q244" i="31"/>
  <c r="L246" i="31"/>
  <c r="M248" i="31"/>
  <c r="Q250" i="31"/>
  <c r="M252" i="31"/>
  <c r="Q256" i="31"/>
  <c r="M258" i="31"/>
  <c r="M173" i="31"/>
  <c r="M172" i="31"/>
  <c r="L11" i="31"/>
  <c r="L16" i="31"/>
  <c r="L20" i="31"/>
  <c r="L37" i="31"/>
  <c r="L41" i="31"/>
  <c r="L56" i="31"/>
  <c r="L5" i="31"/>
  <c r="M6" i="31"/>
  <c r="M266" i="31"/>
  <c r="L10" i="31"/>
  <c r="L15" i="31"/>
  <c r="L19" i="31"/>
  <c r="L23" i="31"/>
  <c r="L27" i="31"/>
  <c r="L31" i="31"/>
  <c r="L36" i="31"/>
  <c r="L40" i="31"/>
  <c r="L44" i="31"/>
  <c r="L48" i="31"/>
  <c r="M50" i="31"/>
  <c r="M51" i="31"/>
  <c r="L59" i="31"/>
  <c r="L63" i="31"/>
  <c r="M64" i="31"/>
  <c r="L68" i="31"/>
  <c r="M69" i="31"/>
  <c r="M70" i="31"/>
  <c r="L73" i="31"/>
  <c r="M74" i="31"/>
  <c r="M75" i="31"/>
  <c r="L79" i="31"/>
  <c r="L83" i="31"/>
  <c r="M88" i="31"/>
  <c r="L95" i="31"/>
  <c r="L98" i="31"/>
  <c r="M101" i="31"/>
  <c r="L103" i="31"/>
  <c r="L106" i="31"/>
  <c r="M112" i="31"/>
  <c r="M120" i="31"/>
  <c r="M128" i="31"/>
  <c r="O135" i="31"/>
  <c r="M137" i="31"/>
  <c r="M159" i="31"/>
  <c r="M158" i="31"/>
  <c r="O165" i="31"/>
  <c r="M174" i="31"/>
  <c r="N191" i="31"/>
  <c r="M49" i="31"/>
  <c r="N50" i="31"/>
  <c r="N267" i="31"/>
  <c r="M55" i="31"/>
  <c r="M67" i="31"/>
  <c r="N69" i="31"/>
  <c r="N74" i="31"/>
  <c r="M87" i="31"/>
  <c r="M91" i="31"/>
  <c r="L94" i="31"/>
  <c r="N106" i="31"/>
  <c r="N270" i="31"/>
  <c r="L111" i="31"/>
  <c r="M114" i="31"/>
  <c r="L119" i="31"/>
  <c r="M122" i="31"/>
  <c r="L127" i="31"/>
  <c r="M131" i="31"/>
  <c r="P135" i="31"/>
  <c r="P271" i="31"/>
  <c r="L139" i="31"/>
  <c r="L140" i="31"/>
  <c r="M161" i="31"/>
  <c r="L167" i="31"/>
  <c r="M170" i="31"/>
  <c r="L172" i="31"/>
  <c r="O174" i="31"/>
  <c r="N175" i="31"/>
  <c r="N272" i="31"/>
  <c r="P176" i="31"/>
  <c r="L189" i="31"/>
  <c r="N190" i="31"/>
  <c r="L193" i="31"/>
  <c r="N194" i="31"/>
  <c r="L197" i="31"/>
  <c r="N198" i="31"/>
  <c r="L201" i="31"/>
  <c r="P215" i="31"/>
  <c r="L215" i="31"/>
  <c r="Q215" i="31"/>
  <c r="M215" i="31"/>
  <c r="O215" i="31"/>
  <c r="O220" i="31"/>
  <c r="L224" i="31"/>
  <c r="M239" i="31"/>
  <c r="N239" i="31"/>
  <c r="O239" i="31"/>
  <c r="Q239" i="31"/>
  <c r="M146" i="31"/>
  <c r="Q174" i="31"/>
  <c r="Q272" i="31"/>
  <c r="Q208" i="31"/>
  <c r="M208" i="31"/>
  <c r="N208" i="31"/>
  <c r="P208" i="31"/>
  <c r="P223" i="31"/>
  <c r="L223" i="31"/>
  <c r="Q223" i="31"/>
  <c r="M223" i="31"/>
  <c r="O223" i="31"/>
  <c r="M243" i="31"/>
  <c r="Q243" i="31"/>
  <c r="L243" i="31"/>
  <c r="N243" i="31"/>
  <c r="O243" i="31"/>
  <c r="M259" i="31"/>
  <c r="Q259" i="31"/>
  <c r="L259" i="31"/>
  <c r="N259" i="31"/>
  <c r="O259" i="31"/>
  <c r="L32" i="31"/>
  <c r="L80" i="31"/>
  <c r="L84" i="31"/>
  <c r="L92" i="31"/>
  <c r="L107" i="31"/>
  <c r="M110" i="31"/>
  <c r="L115" i="31"/>
  <c r="M118" i="31"/>
  <c r="L123" i="31"/>
  <c r="M126" i="31"/>
  <c r="L132" i="31"/>
  <c r="M135" i="31"/>
  <c r="L137" i="31"/>
  <c r="M156" i="31"/>
  <c r="L165" i="31"/>
  <c r="L164" i="31"/>
  <c r="L168" i="31"/>
  <c r="L171" i="31"/>
  <c r="L174" i="31"/>
  <c r="M176" i="31"/>
  <c r="L178" i="31"/>
  <c r="L187" i="31"/>
  <c r="L191" i="31"/>
  <c r="L195" i="31"/>
  <c r="L199" i="31"/>
  <c r="M202" i="31"/>
  <c r="N202" i="31"/>
  <c r="P207" i="31"/>
  <c r="L207" i="31"/>
  <c r="Q207" i="31"/>
  <c r="O207" i="31"/>
  <c r="L208" i="31"/>
  <c r="Q212" i="31"/>
  <c r="M212" i="31"/>
  <c r="N212" i="31"/>
  <c r="L212" i="31"/>
  <c r="Q216" i="31"/>
  <c r="M216" i="31"/>
  <c r="N216" i="31"/>
  <c r="P216" i="31"/>
  <c r="P231" i="31"/>
  <c r="L231" i="31"/>
  <c r="Q231" i="31"/>
  <c r="M231" i="31"/>
  <c r="N231" i="31"/>
  <c r="O231" i="31"/>
  <c r="L24" i="31"/>
  <c r="L28" i="31"/>
  <c r="L45" i="31"/>
  <c r="L60" i="31"/>
  <c r="L141" i="31"/>
  <c r="O156" i="31"/>
  <c r="O272" i="31"/>
  <c r="L173" i="31"/>
  <c r="M175" i="31"/>
  <c r="O176" i="31"/>
  <c r="O273" i="31"/>
  <c r="M178" i="31"/>
  <c r="N187" i="31"/>
  <c r="L190" i="31"/>
  <c r="L194" i="31"/>
  <c r="N195" i="31"/>
  <c r="L198" i="31"/>
  <c r="N199" i="31"/>
  <c r="L202" i="31"/>
  <c r="N205" i="31"/>
  <c r="O205" i="31"/>
  <c r="Q205" i="31"/>
  <c r="M207" i="31"/>
  <c r="O208" i="31"/>
  <c r="O212" i="31"/>
  <c r="L216" i="31"/>
  <c r="Q220" i="31"/>
  <c r="M220" i="31"/>
  <c r="N220" i="31"/>
  <c r="L220" i="31"/>
  <c r="Q224" i="31"/>
  <c r="M224" i="31"/>
  <c r="N224" i="31"/>
  <c r="P224" i="31"/>
  <c r="Q232" i="31"/>
  <c r="M232" i="31"/>
  <c r="N232" i="31"/>
  <c r="O232" i="31"/>
  <c r="P232" i="31"/>
  <c r="M241" i="31"/>
  <c r="Q241" i="31"/>
  <c r="N241" i="31"/>
  <c r="L241" i="31"/>
  <c r="O241" i="31"/>
  <c r="M251" i="31"/>
  <c r="Q251" i="31"/>
  <c r="L251" i="31"/>
  <c r="N251" i="31"/>
  <c r="O251" i="31"/>
  <c r="O276" i="31"/>
  <c r="Q204" i="31"/>
  <c r="M204" i="31"/>
  <c r="P204" i="31"/>
  <c r="P211" i="31"/>
  <c r="L211" i="31"/>
  <c r="Q211" i="31"/>
  <c r="M211" i="31"/>
  <c r="P219" i="31"/>
  <c r="L219" i="31"/>
  <c r="Q219" i="31"/>
  <c r="M219" i="31"/>
  <c r="P227" i="31"/>
  <c r="P275" i="31"/>
  <c r="L227" i="31"/>
  <c r="Q227" i="31"/>
  <c r="M227" i="31"/>
  <c r="M237" i="31"/>
  <c r="N237" i="31"/>
  <c r="M247" i="31"/>
  <c r="Q247" i="31"/>
  <c r="L247" i="31"/>
  <c r="N247" i="31"/>
  <c r="M255" i="31"/>
  <c r="Q255" i="31"/>
  <c r="L255" i="31"/>
  <c r="N255" i="31"/>
  <c r="M262" i="31"/>
  <c r="L262" i="31"/>
  <c r="M245" i="31"/>
  <c r="Q245" i="31"/>
  <c r="L245" i="31"/>
  <c r="N245" i="31"/>
  <c r="M253" i="31"/>
  <c r="Q253" i="31"/>
  <c r="L253" i="31"/>
  <c r="N253" i="31"/>
  <c r="Q228" i="31"/>
  <c r="M228" i="31"/>
  <c r="N228" i="31"/>
  <c r="M235" i="31"/>
  <c r="N235" i="31"/>
  <c r="M249" i="31"/>
  <c r="Q249" i="31"/>
  <c r="L249" i="31"/>
  <c r="N249" i="31"/>
  <c r="M257" i="31"/>
  <c r="Q257" i="31"/>
  <c r="L257" i="31"/>
  <c r="N257" i="31"/>
  <c r="O209" i="31"/>
  <c r="O213" i="31"/>
  <c r="O217" i="31"/>
  <c r="O221" i="31"/>
  <c r="O225" i="31"/>
  <c r="O229" i="31"/>
  <c r="O233" i="31"/>
  <c r="M261" i="31"/>
  <c r="U197" i="15"/>
  <c r="P273" i="31"/>
  <c r="M269" i="31"/>
  <c r="O271" i="31"/>
  <c r="M275" i="31"/>
  <c r="O275" i="31"/>
  <c r="Q275" i="31"/>
  <c r="M274" i="31"/>
  <c r="L272" i="31"/>
  <c r="L268" i="31"/>
  <c r="O274" i="31"/>
  <c r="N274" i="31"/>
  <c r="M272" i="31"/>
  <c r="M271" i="31"/>
  <c r="L269" i="31"/>
  <c r="L275" i="31"/>
  <c r="L270" i="31"/>
  <c r="L271" i="31"/>
  <c r="L267" i="31"/>
  <c r="M276" i="31"/>
  <c r="L273" i="31"/>
  <c r="N275" i="31"/>
  <c r="N268" i="31"/>
  <c r="M267" i="31"/>
  <c r="L266" i="31"/>
  <c r="N276" i="31"/>
  <c r="M273" i="31"/>
  <c r="Q274" i="31"/>
  <c r="Q276" i="31"/>
  <c r="N273" i="31"/>
  <c r="M268" i="31"/>
  <c r="M270" i="31"/>
  <c r="L274" i="31"/>
  <c r="P274" i="31"/>
  <c r="L276" i="31"/>
  <c r="L4" i="29"/>
  <c r="M4" i="29"/>
  <c r="N4" i="29"/>
  <c r="O4" i="29"/>
  <c r="P4" i="29"/>
  <c r="Q4" i="29"/>
  <c r="R4" i="29"/>
  <c r="S4" i="29"/>
  <c r="T4" i="29"/>
  <c r="V4" i="29"/>
  <c r="W4" i="29"/>
  <c r="X4" i="29"/>
  <c r="Z4" i="29"/>
  <c r="L151" i="29"/>
  <c r="M151" i="29"/>
  <c r="N151" i="29"/>
  <c r="O151" i="29"/>
  <c r="F150" i="29"/>
  <c r="F151" i="29"/>
  <c r="P151" i="29"/>
  <c r="Q151" i="29"/>
  <c r="R151" i="29"/>
  <c r="S151" i="29"/>
  <c r="T151" i="29"/>
  <c r="V151" i="29"/>
  <c r="W151" i="29"/>
  <c r="X151" i="29"/>
  <c r="Z151" i="29"/>
  <c r="L150" i="29"/>
  <c r="M150" i="29"/>
  <c r="N150" i="29"/>
  <c r="O150" i="29"/>
  <c r="P150" i="29"/>
  <c r="Q150" i="29"/>
  <c r="R150" i="29"/>
  <c r="S150" i="29"/>
  <c r="T150" i="29"/>
  <c r="V150" i="29"/>
  <c r="W150" i="29"/>
  <c r="X150" i="29"/>
  <c r="Z150" i="29"/>
  <c r="L149" i="29"/>
  <c r="M149" i="29"/>
  <c r="N149" i="29"/>
  <c r="O149" i="29"/>
  <c r="P149" i="29"/>
  <c r="Q149" i="29"/>
  <c r="R149" i="29"/>
  <c r="S149" i="29"/>
  <c r="T149" i="29"/>
  <c r="V149" i="29"/>
  <c r="W149" i="29"/>
  <c r="X149" i="29"/>
  <c r="Z149" i="29"/>
  <c r="L148" i="29"/>
  <c r="M148" i="29"/>
  <c r="N148" i="29"/>
  <c r="O148" i="29"/>
  <c r="P148" i="29"/>
  <c r="Q148" i="29"/>
  <c r="R148" i="29"/>
  <c r="S148" i="29"/>
  <c r="T148" i="29"/>
  <c r="V148" i="29"/>
  <c r="W148" i="29"/>
  <c r="X148" i="29"/>
  <c r="Z148" i="29"/>
  <c r="L147" i="29"/>
  <c r="M147" i="29"/>
  <c r="N147" i="29"/>
  <c r="O147" i="29"/>
  <c r="P147" i="29"/>
  <c r="Q147" i="29"/>
  <c r="H145" i="29"/>
  <c r="H146" i="29"/>
  <c r="H147" i="29"/>
  <c r="R147" i="29"/>
  <c r="I145" i="29"/>
  <c r="I146" i="29"/>
  <c r="I147" i="29"/>
  <c r="S147" i="29"/>
  <c r="J145" i="29"/>
  <c r="J146" i="29"/>
  <c r="J147" i="29"/>
  <c r="T147" i="29"/>
  <c r="V147" i="29"/>
  <c r="W147" i="29"/>
  <c r="X147" i="29"/>
  <c r="Z147" i="29"/>
  <c r="L146" i="29"/>
  <c r="M146" i="29"/>
  <c r="N146" i="29"/>
  <c r="O146" i="29"/>
  <c r="F145" i="29"/>
  <c r="F146" i="29"/>
  <c r="P146" i="29"/>
  <c r="Q146" i="29"/>
  <c r="R146" i="29"/>
  <c r="S146" i="29"/>
  <c r="T146" i="29"/>
  <c r="V146" i="29"/>
  <c r="W146" i="29"/>
  <c r="X146" i="29"/>
  <c r="Z146" i="29"/>
  <c r="L145" i="29"/>
  <c r="M145" i="29"/>
  <c r="N145" i="29"/>
  <c r="O145" i="29"/>
  <c r="P145" i="29"/>
  <c r="Q145" i="29"/>
  <c r="R145" i="29"/>
  <c r="S145" i="29"/>
  <c r="T145" i="29"/>
  <c r="V145" i="29"/>
  <c r="X145" i="29"/>
  <c r="Z145" i="29"/>
  <c r="L144" i="29"/>
  <c r="M144" i="29"/>
  <c r="N144" i="29"/>
  <c r="O144" i="29"/>
  <c r="P144" i="29"/>
  <c r="G143" i="29"/>
  <c r="G144" i="29"/>
  <c r="Q144" i="29"/>
  <c r="R144" i="29"/>
  <c r="S144" i="29"/>
  <c r="T144" i="29"/>
  <c r="V144" i="29"/>
  <c r="X144" i="29"/>
  <c r="Z144" i="29"/>
  <c r="L143" i="29"/>
  <c r="M143" i="29"/>
  <c r="N143" i="29"/>
  <c r="O143" i="29"/>
  <c r="P143" i="29"/>
  <c r="Q143" i="29"/>
  <c r="H140" i="29"/>
  <c r="H141" i="29"/>
  <c r="H142" i="29"/>
  <c r="H143" i="29"/>
  <c r="R143" i="29"/>
  <c r="I140" i="29"/>
  <c r="I141" i="29"/>
  <c r="I142" i="29"/>
  <c r="I143" i="29"/>
  <c r="S143" i="29"/>
  <c r="T143" i="29"/>
  <c r="V143" i="29"/>
  <c r="W143" i="29"/>
  <c r="X143" i="29"/>
  <c r="Z143" i="29"/>
  <c r="L142" i="29"/>
  <c r="M142" i="29"/>
  <c r="N142" i="29"/>
  <c r="O142" i="29"/>
  <c r="P142" i="29"/>
  <c r="Q142" i="29"/>
  <c r="R142" i="29"/>
  <c r="S142" i="29"/>
  <c r="T142" i="29"/>
  <c r="V142" i="29"/>
  <c r="W142" i="29"/>
  <c r="X142" i="29"/>
  <c r="Z142" i="29"/>
  <c r="L141" i="29"/>
  <c r="M141" i="29"/>
  <c r="N141" i="29"/>
  <c r="O141" i="29"/>
  <c r="P141" i="29"/>
  <c r="Q141" i="29"/>
  <c r="R141" i="29"/>
  <c r="S141" i="29"/>
  <c r="T141" i="29"/>
  <c r="V141" i="29"/>
  <c r="W141" i="29"/>
  <c r="X141" i="29"/>
  <c r="Z141" i="29"/>
  <c r="L140" i="29"/>
  <c r="M140" i="29"/>
  <c r="N140" i="29"/>
  <c r="O140" i="29"/>
  <c r="P140" i="29"/>
  <c r="Q140" i="29"/>
  <c r="R140" i="29"/>
  <c r="S140" i="29"/>
  <c r="T140" i="29"/>
  <c r="V140" i="29"/>
  <c r="W140" i="29"/>
  <c r="X140" i="29"/>
  <c r="Z140" i="29"/>
  <c r="L139" i="29"/>
  <c r="M139" i="29"/>
  <c r="N139" i="29"/>
  <c r="O139" i="29"/>
  <c r="P139" i="29"/>
  <c r="Q139" i="29"/>
  <c r="R139" i="29"/>
  <c r="S139" i="29"/>
  <c r="T139" i="29"/>
  <c r="V139" i="29"/>
  <c r="W139" i="29"/>
  <c r="X139" i="29"/>
  <c r="Z139" i="29"/>
  <c r="L138" i="29"/>
  <c r="M138" i="29"/>
  <c r="N138" i="29"/>
  <c r="O138" i="29"/>
  <c r="P138" i="29"/>
  <c r="Q138" i="29"/>
  <c r="H137" i="29"/>
  <c r="H138" i="29"/>
  <c r="R138" i="29"/>
  <c r="I137" i="29"/>
  <c r="I138" i="29"/>
  <c r="S138" i="29"/>
  <c r="T138" i="29"/>
  <c r="V138" i="29"/>
  <c r="W138" i="29"/>
  <c r="X138" i="29"/>
  <c r="Z138" i="29"/>
  <c r="L137" i="29"/>
  <c r="M137" i="29"/>
  <c r="N137" i="29"/>
  <c r="O137" i="29"/>
  <c r="P137" i="29"/>
  <c r="Q137" i="29"/>
  <c r="R137" i="29"/>
  <c r="S137" i="29"/>
  <c r="T137" i="29"/>
  <c r="V137" i="29"/>
  <c r="W137" i="29"/>
  <c r="X137" i="29"/>
  <c r="Z137" i="29"/>
  <c r="L136" i="29"/>
  <c r="M136" i="29"/>
  <c r="N136" i="29"/>
  <c r="O136" i="29"/>
  <c r="P136" i="29"/>
  <c r="Q136" i="29"/>
  <c r="R136" i="29"/>
  <c r="S136" i="29"/>
  <c r="T136" i="29"/>
  <c r="V136" i="29"/>
  <c r="W136" i="29"/>
  <c r="X136" i="29"/>
  <c r="Z136" i="29"/>
  <c r="L135" i="29"/>
  <c r="M135" i="29"/>
  <c r="N135" i="29"/>
  <c r="O135" i="29"/>
  <c r="P135" i="29"/>
  <c r="Q135" i="29"/>
  <c r="R135" i="29"/>
  <c r="S135" i="29"/>
  <c r="T135" i="29"/>
  <c r="V135" i="29"/>
  <c r="W135" i="29"/>
  <c r="X135" i="29"/>
  <c r="Z135" i="29"/>
  <c r="L134" i="29"/>
  <c r="M134" i="29"/>
  <c r="N134" i="29"/>
  <c r="O134" i="29"/>
  <c r="P134" i="29"/>
  <c r="Q134" i="29"/>
  <c r="R134" i="29"/>
  <c r="S134" i="29"/>
  <c r="T134" i="29"/>
  <c r="V134" i="29"/>
  <c r="W134" i="29"/>
  <c r="X134" i="29"/>
  <c r="Z134" i="29"/>
  <c r="L133" i="29"/>
  <c r="M133" i="29"/>
  <c r="N133" i="29"/>
  <c r="O133" i="29"/>
  <c r="P133" i="29"/>
  <c r="Q133" i="29"/>
  <c r="R133" i="29"/>
  <c r="S133" i="29"/>
  <c r="T133" i="29"/>
  <c r="V133" i="29"/>
  <c r="W133" i="29"/>
  <c r="X133" i="29"/>
  <c r="Z133" i="29"/>
  <c r="L132" i="29"/>
  <c r="M132" i="29"/>
  <c r="N132" i="29"/>
  <c r="O132" i="29"/>
  <c r="P132" i="29"/>
  <c r="Q132" i="29"/>
  <c r="R132" i="29"/>
  <c r="S132" i="29"/>
  <c r="T132" i="29"/>
  <c r="V132" i="29"/>
  <c r="W132" i="29"/>
  <c r="X132" i="29"/>
  <c r="Z132" i="29"/>
  <c r="L131" i="29"/>
  <c r="M131" i="29"/>
  <c r="N131" i="29"/>
  <c r="O131" i="29"/>
  <c r="P131" i="29"/>
  <c r="Q131" i="29"/>
  <c r="R131" i="29"/>
  <c r="S131" i="29"/>
  <c r="T131" i="29"/>
  <c r="V131" i="29"/>
  <c r="W131" i="29"/>
  <c r="X131" i="29"/>
  <c r="Z131" i="29"/>
  <c r="L130" i="29"/>
  <c r="M130" i="29"/>
  <c r="N130" i="29"/>
  <c r="O130" i="29"/>
  <c r="P130" i="29"/>
  <c r="G127" i="29"/>
  <c r="G128" i="29"/>
  <c r="G129" i="29"/>
  <c r="G130" i="29"/>
  <c r="Q130" i="29"/>
  <c r="R130" i="29"/>
  <c r="S130" i="29"/>
  <c r="T130" i="29"/>
  <c r="V130" i="29"/>
  <c r="W130" i="29"/>
  <c r="X130" i="29"/>
  <c r="Z130" i="29"/>
  <c r="L129" i="29"/>
  <c r="M129" i="29"/>
  <c r="N129" i="29"/>
  <c r="O129" i="29"/>
  <c r="P129" i="29"/>
  <c r="Q129" i="29"/>
  <c r="R129" i="29"/>
  <c r="S129" i="29"/>
  <c r="T129" i="29"/>
  <c r="V129" i="29"/>
  <c r="W129" i="29"/>
  <c r="X129" i="29"/>
  <c r="Z129" i="29"/>
  <c r="L128" i="29"/>
  <c r="M128" i="29"/>
  <c r="N128" i="29"/>
  <c r="O128" i="29"/>
  <c r="P128" i="29"/>
  <c r="Q128" i="29"/>
  <c r="R128" i="29"/>
  <c r="S128" i="29"/>
  <c r="T128" i="29"/>
  <c r="V128" i="29"/>
  <c r="W128" i="29"/>
  <c r="X128" i="29"/>
  <c r="Z128" i="29"/>
  <c r="L127" i="29"/>
  <c r="M127" i="29"/>
  <c r="N127" i="29"/>
  <c r="O127" i="29"/>
  <c r="P127" i="29"/>
  <c r="Q127" i="29"/>
  <c r="R127" i="29"/>
  <c r="S127" i="29"/>
  <c r="T127" i="29"/>
  <c r="V127" i="29"/>
  <c r="W127" i="29"/>
  <c r="X127" i="29"/>
  <c r="Z127" i="29"/>
  <c r="L126" i="29"/>
  <c r="M126" i="29"/>
  <c r="N126" i="29"/>
  <c r="O126" i="29"/>
  <c r="P126" i="29"/>
  <c r="Q126" i="29"/>
  <c r="R126" i="29"/>
  <c r="S126" i="29"/>
  <c r="T126" i="29"/>
  <c r="V126" i="29"/>
  <c r="W126" i="29"/>
  <c r="X126" i="29"/>
  <c r="Z126" i="29"/>
  <c r="L125" i="29"/>
  <c r="M125" i="29"/>
  <c r="N125" i="29"/>
  <c r="O125" i="29"/>
  <c r="P125" i="29"/>
  <c r="Q125" i="29"/>
  <c r="R125" i="29"/>
  <c r="S125" i="29"/>
  <c r="T125" i="29"/>
  <c r="V125" i="29"/>
  <c r="W125" i="29"/>
  <c r="X125" i="29"/>
  <c r="Z125" i="29"/>
  <c r="L124" i="29"/>
  <c r="M124" i="29"/>
  <c r="N124" i="29"/>
  <c r="O124" i="29"/>
  <c r="P124" i="29"/>
  <c r="Q124" i="29"/>
  <c r="R124" i="29"/>
  <c r="S124" i="29"/>
  <c r="T124" i="29"/>
  <c r="V124" i="29"/>
  <c r="W124" i="29"/>
  <c r="X124" i="29"/>
  <c r="Z124" i="29"/>
  <c r="L123" i="29"/>
  <c r="M123" i="29"/>
  <c r="N123" i="29"/>
  <c r="O123" i="29"/>
  <c r="F123" i="29"/>
  <c r="P123" i="29"/>
  <c r="Q123" i="29"/>
  <c r="R123" i="29"/>
  <c r="S123" i="29"/>
  <c r="T123" i="29"/>
  <c r="V123" i="29"/>
  <c r="W123" i="29"/>
  <c r="X123" i="29"/>
  <c r="Z123" i="29"/>
  <c r="L122" i="29"/>
  <c r="M122" i="29"/>
  <c r="N122" i="29"/>
  <c r="O122" i="29"/>
  <c r="P122" i="29"/>
  <c r="Q122" i="29"/>
  <c r="R122" i="29"/>
  <c r="I121" i="29"/>
  <c r="I122" i="29"/>
  <c r="S122" i="29"/>
  <c r="T122" i="29"/>
  <c r="V122" i="29"/>
  <c r="W122" i="29"/>
  <c r="X122" i="29"/>
  <c r="Z122" i="29"/>
  <c r="L121" i="29"/>
  <c r="M121" i="29"/>
  <c r="N121" i="29"/>
  <c r="O121" i="29"/>
  <c r="P121" i="29"/>
  <c r="Q121" i="29"/>
  <c r="R121" i="29"/>
  <c r="S121" i="29"/>
  <c r="T121" i="29"/>
  <c r="V121" i="29"/>
  <c r="W121" i="29"/>
  <c r="X121" i="29"/>
  <c r="Z121" i="29"/>
  <c r="L120" i="29"/>
  <c r="M120" i="29"/>
  <c r="N120" i="29"/>
  <c r="O120" i="29"/>
  <c r="F120" i="29"/>
  <c r="P120" i="29"/>
  <c r="G120" i="29"/>
  <c r="Q120" i="29"/>
  <c r="R120" i="29"/>
  <c r="S120" i="29"/>
  <c r="T120" i="29"/>
  <c r="V120" i="29"/>
  <c r="W120" i="29"/>
  <c r="X120" i="29"/>
  <c r="Z120" i="29"/>
  <c r="L119" i="29"/>
  <c r="M119" i="29"/>
  <c r="N119" i="29"/>
  <c r="O119" i="29"/>
  <c r="P119" i="29"/>
  <c r="Q119" i="29"/>
  <c r="R119" i="29"/>
  <c r="S119" i="29"/>
  <c r="T119" i="29"/>
  <c r="V119" i="29"/>
  <c r="W119" i="29"/>
  <c r="X119" i="29"/>
  <c r="Z119" i="29"/>
  <c r="L118" i="29"/>
  <c r="M118" i="29"/>
  <c r="N118" i="29"/>
  <c r="O118" i="29"/>
  <c r="P118" i="29"/>
  <c r="Q118" i="29"/>
  <c r="R118" i="29"/>
  <c r="S118" i="29"/>
  <c r="T118" i="29"/>
  <c r="V118" i="29"/>
  <c r="W118" i="29"/>
  <c r="X118" i="29"/>
  <c r="Z118" i="29"/>
  <c r="L117" i="29"/>
  <c r="M117" i="29"/>
  <c r="N117" i="29"/>
  <c r="O117" i="29"/>
  <c r="F117" i="29"/>
  <c r="P117" i="29"/>
  <c r="Q117" i="29"/>
  <c r="R117" i="29"/>
  <c r="S117" i="29"/>
  <c r="T117" i="29"/>
  <c r="V117" i="29"/>
  <c r="W117" i="29"/>
  <c r="X117" i="29"/>
  <c r="Z117" i="29"/>
  <c r="L116" i="29"/>
  <c r="M116" i="29"/>
  <c r="N116" i="29"/>
  <c r="O116" i="29"/>
  <c r="P116" i="29"/>
  <c r="Q116" i="29"/>
  <c r="R116" i="29"/>
  <c r="S116" i="29"/>
  <c r="T116" i="29"/>
  <c r="V116" i="29"/>
  <c r="W116" i="29"/>
  <c r="X116" i="29"/>
  <c r="Z116" i="29"/>
  <c r="L115" i="29"/>
  <c r="M115" i="29"/>
  <c r="N115" i="29"/>
  <c r="O115" i="29"/>
  <c r="P115" i="29"/>
  <c r="Q115" i="29"/>
  <c r="R115" i="29"/>
  <c r="S115" i="29"/>
  <c r="T115" i="29"/>
  <c r="V115" i="29"/>
  <c r="W115" i="29"/>
  <c r="X115" i="29"/>
  <c r="Z115" i="29"/>
  <c r="L114" i="29"/>
  <c r="M114" i="29"/>
  <c r="N114" i="29"/>
  <c r="O114" i="29"/>
  <c r="F114" i="29"/>
  <c r="P114" i="29"/>
  <c r="Q114" i="29"/>
  <c r="R114" i="29"/>
  <c r="S114" i="29"/>
  <c r="T114" i="29"/>
  <c r="V114" i="29"/>
  <c r="W114" i="29"/>
  <c r="X114" i="29"/>
  <c r="Z114" i="29"/>
  <c r="L113" i="29"/>
  <c r="M113" i="29"/>
  <c r="N113" i="29"/>
  <c r="O113" i="29"/>
  <c r="P113" i="29"/>
  <c r="Q113" i="29"/>
  <c r="R113" i="29"/>
  <c r="S113" i="29"/>
  <c r="T113" i="29"/>
  <c r="V113" i="29"/>
  <c r="W113" i="29"/>
  <c r="X113" i="29"/>
  <c r="Z113" i="29"/>
  <c r="L112" i="29"/>
  <c r="M112" i="29"/>
  <c r="N112" i="29"/>
  <c r="O112" i="29"/>
  <c r="F112" i="29"/>
  <c r="P112" i="29"/>
  <c r="G111" i="29"/>
  <c r="G112" i="29"/>
  <c r="Q112" i="29"/>
  <c r="R112" i="29"/>
  <c r="S112" i="29"/>
  <c r="T112" i="29"/>
  <c r="V112" i="29"/>
  <c r="W112" i="29"/>
  <c r="X112" i="29"/>
  <c r="Z112" i="29"/>
  <c r="L111" i="29"/>
  <c r="M111" i="29"/>
  <c r="N111" i="29"/>
  <c r="O111" i="29"/>
  <c r="P111" i="29"/>
  <c r="Q111" i="29"/>
  <c r="R111" i="29"/>
  <c r="S111" i="29"/>
  <c r="T111" i="29"/>
  <c r="V111" i="29"/>
  <c r="W111" i="29"/>
  <c r="X111" i="29"/>
  <c r="Z111" i="29"/>
  <c r="L110" i="29"/>
  <c r="M110" i="29"/>
  <c r="N110" i="29"/>
  <c r="O110" i="29"/>
  <c r="P110" i="29"/>
  <c r="Q110" i="29"/>
  <c r="R110" i="29"/>
  <c r="S110" i="29"/>
  <c r="T110" i="29"/>
  <c r="V110" i="29"/>
  <c r="W110" i="29"/>
  <c r="X110" i="29"/>
  <c r="Z110" i="29"/>
  <c r="L109" i="29"/>
  <c r="M109" i="29"/>
  <c r="N109" i="29"/>
  <c r="O109" i="29"/>
  <c r="P109" i="29"/>
  <c r="Q109" i="29"/>
  <c r="R109" i="29"/>
  <c r="S109" i="29"/>
  <c r="T109" i="29"/>
  <c r="V109" i="29"/>
  <c r="W109" i="29"/>
  <c r="X109" i="29"/>
  <c r="Z109" i="29"/>
  <c r="L108" i="29"/>
  <c r="M108" i="29"/>
  <c r="N108" i="29"/>
  <c r="O108" i="29"/>
  <c r="P108" i="29"/>
  <c r="Q108" i="29"/>
  <c r="R108" i="29"/>
  <c r="S108" i="29"/>
  <c r="T108" i="29"/>
  <c r="V108" i="29"/>
  <c r="W108" i="29"/>
  <c r="X108" i="29"/>
  <c r="Z108" i="29"/>
  <c r="L107" i="29"/>
  <c r="M107" i="29"/>
  <c r="N107" i="29"/>
  <c r="O107" i="29"/>
  <c r="P107" i="29"/>
  <c r="Q107" i="29"/>
  <c r="R107" i="29"/>
  <c r="S107" i="29"/>
  <c r="T107" i="29"/>
  <c r="V107" i="29"/>
  <c r="W107" i="29"/>
  <c r="X107" i="29"/>
  <c r="Z107" i="29"/>
  <c r="L106" i="29"/>
  <c r="M106" i="29"/>
  <c r="N106" i="29"/>
  <c r="O106" i="29"/>
  <c r="P106" i="29"/>
  <c r="G106" i="29"/>
  <c r="Q106" i="29"/>
  <c r="R106" i="29"/>
  <c r="S106" i="29"/>
  <c r="T106" i="29"/>
  <c r="V106" i="29"/>
  <c r="W106" i="29"/>
  <c r="X106" i="29"/>
  <c r="Z106" i="29"/>
  <c r="L105" i="29"/>
  <c r="M105" i="29"/>
  <c r="N105" i="29"/>
  <c r="O105" i="29"/>
  <c r="F104" i="29"/>
  <c r="F105" i="29"/>
  <c r="P105" i="29"/>
  <c r="Q105" i="29"/>
  <c r="R105" i="29"/>
  <c r="S105" i="29"/>
  <c r="T105" i="29"/>
  <c r="V105" i="29"/>
  <c r="W105" i="29"/>
  <c r="X105" i="29"/>
  <c r="Z105" i="29"/>
  <c r="L104" i="29"/>
  <c r="M104" i="29"/>
  <c r="N104" i="29"/>
  <c r="O104" i="29"/>
  <c r="P104" i="29"/>
  <c r="G104" i="29"/>
  <c r="Q104" i="29"/>
  <c r="R104" i="29"/>
  <c r="S104" i="29"/>
  <c r="T104" i="29"/>
  <c r="V104" i="29"/>
  <c r="W104" i="29"/>
  <c r="X104" i="29"/>
  <c r="Z104" i="29"/>
  <c r="L103" i="29"/>
  <c r="M103" i="29"/>
  <c r="N103" i="29"/>
  <c r="O103" i="29"/>
  <c r="P103" i="29"/>
  <c r="Q103" i="29"/>
  <c r="R103" i="29"/>
  <c r="S103" i="29"/>
  <c r="T103" i="29"/>
  <c r="V103" i="29"/>
  <c r="W103" i="29"/>
  <c r="X103" i="29"/>
  <c r="Z103" i="29"/>
  <c r="L102" i="29"/>
  <c r="M102" i="29"/>
  <c r="N102" i="29"/>
  <c r="O102" i="29"/>
  <c r="P102" i="29"/>
  <c r="G101" i="29"/>
  <c r="G102" i="29"/>
  <c r="Q102" i="29"/>
  <c r="R102" i="29"/>
  <c r="S102" i="29"/>
  <c r="T102" i="29"/>
  <c r="V102" i="29"/>
  <c r="W102" i="29"/>
  <c r="X102" i="29"/>
  <c r="Z102" i="29"/>
  <c r="L101" i="29"/>
  <c r="M101" i="29"/>
  <c r="N101" i="29"/>
  <c r="O101" i="29"/>
  <c r="F101" i="29"/>
  <c r="P101" i="29"/>
  <c r="Q101" i="29"/>
  <c r="R101" i="29"/>
  <c r="S101" i="29"/>
  <c r="T101" i="29"/>
  <c r="V101" i="29"/>
  <c r="W101" i="29"/>
  <c r="X101" i="29"/>
  <c r="Z101" i="29"/>
  <c r="L100" i="29"/>
  <c r="M100" i="29"/>
  <c r="N100" i="29"/>
  <c r="O100" i="29"/>
  <c r="P100" i="29"/>
  <c r="Q100" i="29"/>
  <c r="R100" i="29"/>
  <c r="S100" i="29"/>
  <c r="T100" i="29"/>
  <c r="V100" i="29"/>
  <c r="W100" i="29"/>
  <c r="X100" i="29"/>
  <c r="Z100" i="29"/>
  <c r="L99" i="29"/>
  <c r="M99" i="29"/>
  <c r="N99" i="29"/>
  <c r="O99" i="29"/>
  <c r="P99" i="29"/>
  <c r="Q99" i="29"/>
  <c r="R99" i="29"/>
  <c r="S99" i="29"/>
  <c r="T99" i="29"/>
  <c r="V99" i="29"/>
  <c r="W99" i="29"/>
  <c r="X99" i="29"/>
  <c r="Z99" i="29"/>
  <c r="L98" i="29"/>
  <c r="M98" i="29"/>
  <c r="N98" i="29"/>
  <c r="O98" i="29"/>
  <c r="P98" i="29"/>
  <c r="Q98" i="29"/>
  <c r="R98" i="29"/>
  <c r="S98" i="29"/>
  <c r="T98" i="29"/>
  <c r="V98" i="29"/>
  <c r="W98" i="29"/>
  <c r="X98" i="29"/>
  <c r="Z98" i="29"/>
  <c r="L97" i="29"/>
  <c r="M97" i="29"/>
  <c r="N97" i="29"/>
  <c r="O97" i="29"/>
  <c r="P97" i="29"/>
  <c r="G97" i="29"/>
  <c r="Q97" i="29"/>
  <c r="R97" i="29"/>
  <c r="S97" i="29"/>
  <c r="T97" i="29"/>
  <c r="V97" i="29"/>
  <c r="W97" i="29"/>
  <c r="X97" i="29"/>
  <c r="Z97" i="29"/>
  <c r="L96" i="29"/>
  <c r="M96" i="29"/>
  <c r="N96" i="29"/>
  <c r="O96" i="29"/>
  <c r="P96" i="29"/>
  <c r="Q96" i="29"/>
  <c r="R96" i="29"/>
  <c r="S96" i="29"/>
  <c r="T96" i="29"/>
  <c r="V96" i="29"/>
  <c r="W96" i="29"/>
  <c r="X96" i="29"/>
  <c r="Z96" i="29"/>
  <c r="L95" i="29"/>
  <c r="M95" i="29"/>
  <c r="N95" i="29"/>
  <c r="O95" i="29"/>
  <c r="P95" i="29"/>
  <c r="Q95" i="29"/>
  <c r="R95" i="29"/>
  <c r="S95" i="29"/>
  <c r="T95" i="29"/>
  <c r="V95" i="29"/>
  <c r="W95" i="29"/>
  <c r="X95" i="29"/>
  <c r="Z95" i="29"/>
  <c r="L94" i="29"/>
  <c r="M94" i="29"/>
  <c r="N94" i="29"/>
  <c r="O94" i="29"/>
  <c r="P94" i="29"/>
  <c r="Q94" i="29"/>
  <c r="R94" i="29"/>
  <c r="S94" i="29"/>
  <c r="T94" i="29"/>
  <c r="V94" i="29"/>
  <c r="W94" i="29"/>
  <c r="X94" i="29"/>
  <c r="Z94" i="29"/>
  <c r="L93" i="29"/>
  <c r="M93" i="29"/>
  <c r="N93" i="29"/>
  <c r="O93" i="29"/>
  <c r="P93" i="29"/>
  <c r="Q93" i="29"/>
  <c r="R93" i="29"/>
  <c r="S93" i="29"/>
  <c r="T93" i="29"/>
  <c r="V93" i="29"/>
  <c r="W93" i="29"/>
  <c r="X93" i="29"/>
  <c r="Z93" i="29"/>
  <c r="L92" i="29"/>
  <c r="M92" i="29"/>
  <c r="N92" i="29"/>
  <c r="O92" i="29"/>
  <c r="P92" i="29"/>
  <c r="Q92" i="29"/>
  <c r="R92" i="29"/>
  <c r="S92" i="29"/>
  <c r="T92" i="29"/>
  <c r="V92" i="29"/>
  <c r="W92" i="29"/>
  <c r="X92" i="29"/>
  <c r="Z92" i="29"/>
  <c r="L91" i="29"/>
  <c r="M91" i="29"/>
  <c r="N91" i="29"/>
  <c r="O91" i="29"/>
  <c r="P91" i="29"/>
  <c r="Q91" i="29"/>
  <c r="R91" i="29"/>
  <c r="I91" i="29"/>
  <c r="S91" i="29"/>
  <c r="T91" i="29"/>
  <c r="V91" i="29"/>
  <c r="W91" i="29"/>
  <c r="X91" i="29"/>
  <c r="Z91" i="29"/>
  <c r="L90" i="29"/>
  <c r="M90" i="29"/>
  <c r="N90" i="29"/>
  <c r="O90" i="29"/>
  <c r="P90" i="29"/>
  <c r="Q90" i="29"/>
  <c r="R90" i="29"/>
  <c r="S90" i="29"/>
  <c r="T90" i="29"/>
  <c r="V90" i="29"/>
  <c r="W90" i="29"/>
  <c r="X90" i="29"/>
  <c r="Z90" i="29"/>
  <c r="L89" i="29"/>
  <c r="M89" i="29"/>
  <c r="N89" i="29"/>
  <c r="O89" i="29"/>
  <c r="P89" i="29"/>
  <c r="Q89" i="29"/>
  <c r="R89" i="29"/>
  <c r="I89" i="29"/>
  <c r="S89" i="29"/>
  <c r="T89" i="29"/>
  <c r="V89" i="29"/>
  <c r="W89" i="29"/>
  <c r="X89" i="29"/>
  <c r="Z89" i="29"/>
  <c r="L88" i="29"/>
  <c r="M88" i="29"/>
  <c r="N88" i="29"/>
  <c r="O88" i="29"/>
  <c r="P88" i="29"/>
  <c r="Q88" i="29"/>
  <c r="R88" i="29"/>
  <c r="S88" i="29"/>
  <c r="T88" i="29"/>
  <c r="V88" i="29"/>
  <c r="W88" i="29"/>
  <c r="X88" i="29"/>
  <c r="Z88" i="29"/>
  <c r="L87" i="29"/>
  <c r="M87" i="29"/>
  <c r="N87" i="29"/>
  <c r="O87" i="29"/>
  <c r="P87" i="29"/>
  <c r="Q87" i="29"/>
  <c r="R87" i="29"/>
  <c r="S87" i="29"/>
  <c r="T87" i="29"/>
  <c r="V87" i="29"/>
  <c r="W87" i="29"/>
  <c r="X87" i="29"/>
  <c r="Z87" i="29"/>
  <c r="L86" i="29"/>
  <c r="M86" i="29"/>
  <c r="N86" i="29"/>
  <c r="O86" i="29"/>
  <c r="P86" i="29"/>
  <c r="Q86" i="29"/>
  <c r="R86" i="29"/>
  <c r="S86" i="29"/>
  <c r="T86" i="29"/>
  <c r="V86" i="29"/>
  <c r="W86" i="29"/>
  <c r="X86" i="29"/>
  <c r="Z86" i="29"/>
  <c r="L85" i="29"/>
  <c r="M85" i="29"/>
  <c r="N85" i="29"/>
  <c r="O85" i="29"/>
  <c r="P85" i="29"/>
  <c r="Q85" i="29"/>
  <c r="R85" i="29"/>
  <c r="S85" i="29"/>
  <c r="T85" i="29"/>
  <c r="V85" i="29"/>
  <c r="W85" i="29"/>
  <c r="X85" i="29"/>
  <c r="Z85" i="29"/>
  <c r="L84" i="29"/>
  <c r="M84" i="29"/>
  <c r="N84" i="29"/>
  <c r="O84" i="29"/>
  <c r="P84" i="29"/>
  <c r="Q84" i="29"/>
  <c r="R84" i="29"/>
  <c r="S84" i="29"/>
  <c r="T84" i="29"/>
  <c r="V84" i="29"/>
  <c r="W84" i="29"/>
  <c r="X84" i="29"/>
  <c r="Z84" i="29"/>
  <c r="L83" i="29"/>
  <c r="M83" i="29"/>
  <c r="N83" i="29"/>
  <c r="O83" i="29"/>
  <c r="P83" i="29"/>
  <c r="Q83" i="29"/>
  <c r="R83" i="29"/>
  <c r="S83" i="29"/>
  <c r="T83" i="29"/>
  <c r="V83" i="29"/>
  <c r="W83" i="29"/>
  <c r="X83" i="29"/>
  <c r="Z83" i="29"/>
  <c r="L82" i="29"/>
  <c r="M82" i="29"/>
  <c r="N82" i="29"/>
  <c r="O82" i="29"/>
  <c r="P82" i="29"/>
  <c r="Q82" i="29"/>
  <c r="R82" i="29"/>
  <c r="I81" i="29"/>
  <c r="I82" i="29"/>
  <c r="S82" i="29"/>
  <c r="T82" i="29"/>
  <c r="V82" i="29"/>
  <c r="W82" i="29"/>
  <c r="X82" i="29"/>
  <c r="Z82" i="29"/>
  <c r="L81" i="29"/>
  <c r="M81" i="29"/>
  <c r="N81" i="29"/>
  <c r="O81" i="29"/>
  <c r="P81" i="29"/>
  <c r="Q81" i="29"/>
  <c r="R81" i="29"/>
  <c r="S81" i="29"/>
  <c r="T81" i="29"/>
  <c r="V81" i="29"/>
  <c r="W81" i="29"/>
  <c r="X81" i="29"/>
  <c r="Z81" i="29"/>
  <c r="L80" i="29"/>
  <c r="M80" i="29"/>
  <c r="N80" i="29"/>
  <c r="O80" i="29"/>
  <c r="P80" i="29"/>
  <c r="Q80" i="29"/>
  <c r="R80" i="29"/>
  <c r="S80" i="29"/>
  <c r="T80" i="29"/>
  <c r="V80" i="29"/>
  <c r="W80" i="29"/>
  <c r="X80" i="29"/>
  <c r="Z80" i="29"/>
  <c r="L79" i="29"/>
  <c r="M79" i="29"/>
  <c r="N79" i="29"/>
  <c r="O79" i="29"/>
  <c r="P79" i="29"/>
  <c r="Q79" i="29"/>
  <c r="R79" i="29"/>
  <c r="S79" i="29"/>
  <c r="T79" i="29"/>
  <c r="V79" i="29"/>
  <c r="W79" i="29"/>
  <c r="X79" i="29"/>
  <c r="Z79" i="29"/>
  <c r="L78" i="29"/>
  <c r="M78" i="29"/>
  <c r="N78" i="29"/>
  <c r="O78" i="29"/>
  <c r="P78" i="29"/>
  <c r="Q78" i="29"/>
  <c r="R78" i="29"/>
  <c r="S78" i="29"/>
  <c r="T78" i="29"/>
  <c r="V78" i="29"/>
  <c r="W78" i="29"/>
  <c r="X78" i="29"/>
  <c r="Z78" i="29"/>
  <c r="L77" i="29"/>
  <c r="M77" i="29"/>
  <c r="N77" i="29"/>
  <c r="O77" i="29"/>
  <c r="P77" i="29"/>
  <c r="Q77" i="29"/>
  <c r="R77" i="29"/>
  <c r="S77" i="29"/>
  <c r="T77" i="29"/>
  <c r="V77" i="29"/>
  <c r="W77" i="29"/>
  <c r="X77" i="29"/>
  <c r="Z77" i="29"/>
  <c r="L76" i="29"/>
  <c r="M76" i="29"/>
  <c r="N76" i="29"/>
  <c r="O76" i="29"/>
  <c r="P76" i="29"/>
  <c r="Q76" i="29"/>
  <c r="R76" i="29"/>
  <c r="S76" i="29"/>
  <c r="T76" i="29"/>
  <c r="V76" i="29"/>
  <c r="W76" i="29"/>
  <c r="X76" i="29"/>
  <c r="Z76" i="29"/>
  <c r="L75" i="29"/>
  <c r="M75" i="29"/>
  <c r="N75" i="29"/>
  <c r="O75" i="29"/>
  <c r="P75" i="29"/>
  <c r="Q75" i="29"/>
  <c r="R75" i="29"/>
  <c r="S75" i="29"/>
  <c r="T75" i="29"/>
  <c r="V75" i="29"/>
  <c r="W75" i="29"/>
  <c r="X75" i="29"/>
  <c r="Z75" i="29"/>
  <c r="L74" i="29"/>
  <c r="M74" i="29"/>
  <c r="N74" i="29"/>
  <c r="O74" i="29"/>
  <c r="P74" i="29"/>
  <c r="Q74" i="29"/>
  <c r="R74" i="29"/>
  <c r="I74" i="29"/>
  <c r="S74" i="29"/>
  <c r="T74" i="29"/>
  <c r="V74" i="29"/>
  <c r="W74" i="29"/>
  <c r="X74" i="29"/>
  <c r="Z74" i="29"/>
  <c r="L73" i="29"/>
  <c r="M73" i="29"/>
  <c r="N73" i="29"/>
  <c r="O73" i="29"/>
  <c r="P73" i="29"/>
  <c r="Q73" i="29"/>
  <c r="R73" i="29"/>
  <c r="S73" i="29"/>
  <c r="T73" i="29"/>
  <c r="V73" i="29"/>
  <c r="W73" i="29"/>
  <c r="X73" i="29"/>
  <c r="Z73" i="29"/>
  <c r="L72" i="29"/>
  <c r="M72" i="29"/>
  <c r="N72" i="29"/>
  <c r="O72" i="29"/>
  <c r="P72" i="29"/>
  <c r="Q72" i="29"/>
  <c r="R72" i="29"/>
  <c r="S72" i="29"/>
  <c r="T72" i="29"/>
  <c r="V72" i="29"/>
  <c r="W72" i="29"/>
  <c r="X72" i="29"/>
  <c r="Z72" i="29"/>
  <c r="L71" i="29"/>
  <c r="M71" i="29"/>
  <c r="N71" i="29"/>
  <c r="O71" i="29"/>
  <c r="P71" i="29"/>
  <c r="G71" i="29"/>
  <c r="Q71" i="29"/>
  <c r="R71" i="29"/>
  <c r="S71" i="29"/>
  <c r="T71" i="29"/>
  <c r="V71" i="29"/>
  <c r="W71" i="29"/>
  <c r="X71" i="29"/>
  <c r="Z71" i="29"/>
  <c r="L70" i="29"/>
  <c r="M70" i="29"/>
  <c r="N70" i="29"/>
  <c r="O70" i="29"/>
  <c r="P70" i="29"/>
  <c r="Q70" i="29"/>
  <c r="H69" i="29"/>
  <c r="H70" i="29"/>
  <c r="R70" i="29"/>
  <c r="I69" i="29"/>
  <c r="I70" i="29"/>
  <c r="S70" i="29"/>
  <c r="T70" i="29"/>
  <c r="V70" i="29"/>
  <c r="W70" i="29"/>
  <c r="X70" i="29"/>
  <c r="Z70" i="29"/>
  <c r="L69" i="29"/>
  <c r="M69" i="29"/>
  <c r="N69" i="29"/>
  <c r="O69" i="29"/>
  <c r="P69" i="29"/>
  <c r="G65" i="29"/>
  <c r="G66" i="29"/>
  <c r="G67" i="29"/>
  <c r="G68" i="29"/>
  <c r="G69" i="29"/>
  <c r="Q69" i="29"/>
  <c r="R69" i="29"/>
  <c r="S69" i="29"/>
  <c r="T69" i="29"/>
  <c r="V69" i="29"/>
  <c r="W69" i="29"/>
  <c r="X69" i="29"/>
  <c r="Z69" i="29"/>
  <c r="L68" i="29"/>
  <c r="M68" i="29"/>
  <c r="N68" i="29"/>
  <c r="O68" i="29"/>
  <c r="F68" i="29"/>
  <c r="P68" i="29"/>
  <c r="Q68" i="29"/>
  <c r="R68" i="29"/>
  <c r="S68" i="29"/>
  <c r="T68" i="29"/>
  <c r="V68" i="29"/>
  <c r="X68" i="29"/>
  <c r="Z68" i="29"/>
  <c r="L67" i="29"/>
  <c r="M67" i="29"/>
  <c r="N67" i="29"/>
  <c r="O67" i="29"/>
  <c r="P67" i="29"/>
  <c r="Q67" i="29"/>
  <c r="R67" i="29"/>
  <c r="I67" i="29"/>
  <c r="S67" i="29"/>
  <c r="J58" i="29"/>
  <c r="J59" i="29"/>
  <c r="J60" i="29"/>
  <c r="J61" i="29"/>
  <c r="J62" i="29"/>
  <c r="J63" i="29"/>
  <c r="J64" i="29"/>
  <c r="J65" i="29"/>
  <c r="J66" i="29"/>
  <c r="J67" i="29"/>
  <c r="T67" i="29"/>
  <c r="V67" i="29"/>
  <c r="X67" i="29"/>
  <c r="Z67" i="29"/>
  <c r="L66" i="29"/>
  <c r="M66" i="29"/>
  <c r="N66" i="29"/>
  <c r="O66" i="29"/>
  <c r="F66" i="29"/>
  <c r="P66" i="29"/>
  <c r="Q66" i="29"/>
  <c r="R66" i="29"/>
  <c r="S66" i="29"/>
  <c r="T66" i="29"/>
  <c r="V66" i="29"/>
  <c r="W66" i="29"/>
  <c r="X66" i="29"/>
  <c r="Z66" i="29"/>
  <c r="L65" i="29"/>
  <c r="M65" i="29"/>
  <c r="N65" i="29"/>
  <c r="O65" i="29"/>
  <c r="P65" i="29"/>
  <c r="Q65" i="29"/>
  <c r="R65" i="29"/>
  <c r="S65" i="29"/>
  <c r="T65" i="29"/>
  <c r="V65" i="29"/>
  <c r="W65" i="29"/>
  <c r="X65" i="29"/>
  <c r="Z65" i="29"/>
  <c r="L64" i="29"/>
  <c r="M64" i="29"/>
  <c r="N64" i="29"/>
  <c r="O64" i="29"/>
  <c r="P64" i="29"/>
  <c r="Q64" i="29"/>
  <c r="R64" i="29"/>
  <c r="S64" i="29"/>
  <c r="T64" i="29"/>
  <c r="V64" i="29"/>
  <c r="W64" i="29"/>
  <c r="X64" i="29"/>
  <c r="Z64" i="29"/>
  <c r="L63" i="29"/>
  <c r="M63" i="29"/>
  <c r="N63" i="29"/>
  <c r="O63" i="29"/>
  <c r="P63" i="29"/>
  <c r="Q63" i="29"/>
  <c r="R63" i="29"/>
  <c r="S63" i="29"/>
  <c r="T63" i="29"/>
  <c r="V63" i="29"/>
  <c r="W63" i="29"/>
  <c r="X63" i="29"/>
  <c r="Z63" i="29"/>
  <c r="L62" i="29"/>
  <c r="M62" i="29"/>
  <c r="N62" i="29"/>
  <c r="O62" i="29"/>
  <c r="P62" i="29"/>
  <c r="G61" i="29"/>
  <c r="G62" i="29"/>
  <c r="Q62" i="29"/>
  <c r="R62" i="29"/>
  <c r="S62" i="29"/>
  <c r="T62" i="29"/>
  <c r="V62" i="29"/>
  <c r="W62" i="29"/>
  <c r="X62" i="29"/>
  <c r="Z62" i="29"/>
  <c r="L61" i="29"/>
  <c r="M61" i="29"/>
  <c r="N61" i="29"/>
  <c r="O61" i="29"/>
  <c r="P61" i="29"/>
  <c r="Q61" i="29"/>
  <c r="R61" i="29"/>
  <c r="I60" i="29"/>
  <c r="I61" i="29"/>
  <c r="S61" i="29"/>
  <c r="T61" i="29"/>
  <c r="V61" i="29"/>
  <c r="W61" i="29"/>
  <c r="X61" i="29"/>
  <c r="Z61" i="29"/>
  <c r="L60" i="29"/>
  <c r="M60" i="29"/>
  <c r="N60" i="29"/>
  <c r="O60" i="29"/>
  <c r="P60" i="29"/>
  <c r="Q60" i="29"/>
  <c r="R60" i="29"/>
  <c r="S60" i="29"/>
  <c r="T60" i="29"/>
  <c r="V60" i="29"/>
  <c r="W60" i="29"/>
  <c r="X60" i="29"/>
  <c r="Z60" i="29"/>
  <c r="L59" i="29"/>
  <c r="M59" i="29"/>
  <c r="N59" i="29"/>
  <c r="O59" i="29"/>
  <c r="P59" i="29"/>
  <c r="Q59" i="29"/>
  <c r="R59" i="29"/>
  <c r="S59" i="29"/>
  <c r="T59" i="29"/>
  <c r="V59" i="29"/>
  <c r="X59" i="29"/>
  <c r="Z59" i="29"/>
  <c r="L58" i="29"/>
  <c r="M58" i="29"/>
  <c r="N58" i="29"/>
  <c r="O58" i="29"/>
  <c r="P58" i="29"/>
  <c r="Q58" i="29"/>
  <c r="H55" i="29"/>
  <c r="H56" i="29"/>
  <c r="H57" i="29"/>
  <c r="H58" i="29"/>
  <c r="R58" i="29"/>
  <c r="I58" i="29"/>
  <c r="S58" i="29"/>
  <c r="T58" i="29"/>
  <c r="V58" i="29"/>
  <c r="W58" i="29"/>
  <c r="X58" i="29"/>
  <c r="Z58" i="29"/>
  <c r="L57" i="29"/>
  <c r="M57" i="29"/>
  <c r="N57" i="29"/>
  <c r="O57" i="29"/>
  <c r="F54" i="29"/>
  <c r="F55" i="29"/>
  <c r="F56" i="29"/>
  <c r="F57" i="29"/>
  <c r="P57" i="29"/>
  <c r="Q57" i="29"/>
  <c r="R57" i="29"/>
  <c r="S57" i="29"/>
  <c r="T57" i="29"/>
  <c r="V57" i="29"/>
  <c r="W57" i="29"/>
  <c r="X57" i="29"/>
  <c r="Z57" i="29"/>
  <c r="L56" i="29"/>
  <c r="M56" i="29"/>
  <c r="N56" i="29"/>
  <c r="O56" i="29"/>
  <c r="P56" i="29"/>
  <c r="Q56" i="29"/>
  <c r="R56" i="29"/>
  <c r="S56" i="29"/>
  <c r="T56" i="29"/>
  <c r="V56" i="29"/>
  <c r="W56" i="29"/>
  <c r="X56" i="29"/>
  <c r="Z56" i="29"/>
  <c r="L55" i="29"/>
  <c r="M55" i="29"/>
  <c r="N55" i="29"/>
  <c r="O55" i="29"/>
  <c r="P55" i="29"/>
  <c r="Q55" i="29"/>
  <c r="R55" i="29"/>
  <c r="S55" i="29"/>
  <c r="T55" i="29"/>
  <c r="V55" i="29"/>
  <c r="W55" i="29"/>
  <c r="X55" i="29"/>
  <c r="Z55" i="29"/>
  <c r="L54" i="29"/>
  <c r="M54" i="29"/>
  <c r="N54" i="29"/>
  <c r="O54" i="29"/>
  <c r="P54" i="29"/>
  <c r="Q54" i="29"/>
  <c r="R54" i="29"/>
  <c r="S54" i="29"/>
  <c r="T54" i="29"/>
  <c r="V54" i="29"/>
  <c r="W54" i="29"/>
  <c r="X54" i="29"/>
  <c r="Z54" i="29"/>
  <c r="L53" i="29"/>
  <c r="M53" i="29"/>
  <c r="N53" i="29"/>
  <c r="O53" i="29"/>
  <c r="P53" i="29"/>
  <c r="Q53" i="29"/>
  <c r="R53" i="29"/>
  <c r="S53" i="29"/>
  <c r="T53" i="29"/>
  <c r="V53" i="29"/>
  <c r="W53" i="29"/>
  <c r="X53" i="29"/>
  <c r="Z53" i="29"/>
  <c r="L52" i="29"/>
  <c r="M52" i="29"/>
  <c r="N52" i="29"/>
  <c r="O52" i="29"/>
  <c r="F52" i="29"/>
  <c r="P52" i="29"/>
  <c r="Q52" i="29"/>
  <c r="R52" i="29"/>
  <c r="S52" i="29"/>
  <c r="J49" i="29"/>
  <c r="J50" i="29"/>
  <c r="J51" i="29"/>
  <c r="J52" i="29"/>
  <c r="T52" i="29"/>
  <c r="V52" i="29"/>
  <c r="W52" i="29"/>
  <c r="X52" i="29"/>
  <c r="Z52" i="29"/>
  <c r="L51" i="29"/>
  <c r="M51" i="29"/>
  <c r="N51" i="29"/>
  <c r="O51" i="29"/>
  <c r="P51" i="29"/>
  <c r="Q51" i="29"/>
  <c r="R51" i="29"/>
  <c r="S51" i="29"/>
  <c r="T51" i="29"/>
  <c r="V51" i="29"/>
  <c r="W51" i="29"/>
  <c r="X51" i="29"/>
  <c r="Z51" i="29"/>
  <c r="L50" i="29"/>
  <c r="M50" i="29"/>
  <c r="N50" i="29"/>
  <c r="O50" i="29"/>
  <c r="F49" i="29"/>
  <c r="F50" i="29"/>
  <c r="P50" i="29"/>
  <c r="Q50" i="29"/>
  <c r="R50" i="29"/>
  <c r="S50" i="29"/>
  <c r="T50" i="29"/>
  <c r="V50" i="29"/>
  <c r="X50" i="29"/>
  <c r="Z50" i="29"/>
  <c r="L49" i="29"/>
  <c r="M49" i="29"/>
  <c r="N49" i="29"/>
  <c r="O49" i="29"/>
  <c r="P49" i="29"/>
  <c r="Q49" i="29"/>
  <c r="R49" i="29"/>
  <c r="S49" i="29"/>
  <c r="T49" i="29"/>
  <c r="V49" i="29"/>
  <c r="X49" i="29"/>
  <c r="Z49" i="29"/>
  <c r="L48" i="29"/>
  <c r="M48" i="29"/>
  <c r="N48" i="29"/>
  <c r="O48" i="29"/>
  <c r="P48" i="29"/>
  <c r="Q48" i="29"/>
  <c r="R48" i="29"/>
  <c r="S48" i="29"/>
  <c r="T48" i="29"/>
  <c r="V48" i="29"/>
  <c r="X48" i="29"/>
  <c r="Z48" i="29"/>
  <c r="L47" i="29"/>
  <c r="M47" i="29"/>
  <c r="N47" i="29"/>
  <c r="O47" i="29"/>
  <c r="P47" i="29"/>
  <c r="Q47" i="29"/>
  <c r="H45" i="29"/>
  <c r="H46" i="29"/>
  <c r="H47" i="29"/>
  <c r="R47" i="29"/>
  <c r="S47" i="29"/>
  <c r="T47" i="29"/>
  <c r="V47" i="29"/>
  <c r="W47" i="29"/>
  <c r="X47" i="29"/>
  <c r="Z47" i="29"/>
  <c r="L46" i="29"/>
  <c r="M46" i="29"/>
  <c r="N46" i="29"/>
  <c r="O46" i="29"/>
  <c r="P46" i="29"/>
  <c r="Q46" i="29"/>
  <c r="R46" i="29"/>
  <c r="S46" i="29"/>
  <c r="T46" i="29"/>
  <c r="V46" i="29"/>
  <c r="W46" i="29"/>
  <c r="X46" i="29"/>
  <c r="Z46" i="29"/>
  <c r="L45" i="29"/>
  <c r="M45" i="29"/>
  <c r="N45" i="29"/>
  <c r="O45" i="29"/>
  <c r="P45" i="29"/>
  <c r="Q45" i="29"/>
  <c r="R45" i="29"/>
  <c r="S45" i="29"/>
  <c r="T45" i="29"/>
  <c r="V45" i="29"/>
  <c r="W45" i="29"/>
  <c r="X45" i="29"/>
  <c r="Z45" i="29"/>
  <c r="L44" i="29"/>
  <c r="M44" i="29"/>
  <c r="N44" i="29"/>
  <c r="O44" i="29"/>
  <c r="P44" i="29"/>
  <c r="Q44" i="29"/>
  <c r="R44" i="29"/>
  <c r="S44" i="29"/>
  <c r="T44" i="29"/>
  <c r="V44" i="29"/>
  <c r="W44" i="29"/>
  <c r="X44" i="29"/>
  <c r="Z44" i="29"/>
  <c r="L43" i="29"/>
  <c r="M43" i="29"/>
  <c r="N43" i="29"/>
  <c r="O43" i="29"/>
  <c r="P43" i="29"/>
  <c r="Q43" i="29"/>
  <c r="R43" i="29"/>
  <c r="S43" i="29"/>
  <c r="T43" i="29"/>
  <c r="V43" i="29"/>
  <c r="W43" i="29"/>
  <c r="X43" i="29"/>
  <c r="Z43" i="29"/>
  <c r="L42" i="29"/>
  <c r="M42" i="29"/>
  <c r="N42" i="29"/>
  <c r="O42" i="29"/>
  <c r="P42" i="29"/>
  <c r="Q42" i="29"/>
  <c r="H42" i="29"/>
  <c r="R42" i="29"/>
  <c r="S42" i="29"/>
  <c r="T42" i="29"/>
  <c r="V42" i="29"/>
  <c r="W42" i="29"/>
  <c r="X42" i="29"/>
  <c r="Z42" i="29"/>
  <c r="L41" i="29"/>
  <c r="M41" i="29"/>
  <c r="N41" i="29"/>
  <c r="O41" i="29"/>
  <c r="P41" i="29"/>
  <c r="Q41" i="29"/>
  <c r="R41" i="29"/>
  <c r="S41" i="29"/>
  <c r="T41" i="29"/>
  <c r="V41" i="29"/>
  <c r="W41" i="29"/>
  <c r="X41" i="29"/>
  <c r="Z41" i="29"/>
  <c r="L40" i="29"/>
  <c r="M40" i="29"/>
  <c r="N40" i="29"/>
  <c r="O40" i="29"/>
  <c r="P40" i="29"/>
  <c r="Q40" i="29"/>
  <c r="R40" i="29"/>
  <c r="S40" i="29"/>
  <c r="J40" i="29"/>
  <c r="T40" i="29"/>
  <c r="V40" i="29"/>
  <c r="W40" i="29"/>
  <c r="X40" i="29"/>
  <c r="Z40" i="29"/>
  <c r="L39" i="29"/>
  <c r="M39" i="29"/>
  <c r="N39" i="29"/>
  <c r="O39" i="29"/>
  <c r="P39" i="29"/>
  <c r="G38" i="29"/>
  <c r="G39" i="29"/>
  <c r="Q39" i="29"/>
  <c r="H38" i="29"/>
  <c r="H39" i="29"/>
  <c r="R39" i="29"/>
  <c r="S39" i="29"/>
  <c r="T39" i="29"/>
  <c r="V39" i="29"/>
  <c r="W39" i="29"/>
  <c r="X39" i="29"/>
  <c r="Z39" i="29"/>
  <c r="L38" i="29"/>
  <c r="M38" i="29"/>
  <c r="N38" i="29"/>
  <c r="O38" i="29"/>
  <c r="P38" i="29"/>
  <c r="Q38" i="29"/>
  <c r="R38" i="29"/>
  <c r="I38" i="29"/>
  <c r="S38" i="29"/>
  <c r="J38" i="29"/>
  <c r="T38" i="29"/>
  <c r="V38" i="29"/>
  <c r="W38" i="29"/>
  <c r="X38" i="29"/>
  <c r="Z38" i="29"/>
  <c r="L37" i="29"/>
  <c r="M37" i="29"/>
  <c r="N37" i="29"/>
  <c r="O37" i="29"/>
  <c r="P37" i="29"/>
  <c r="Q37" i="29"/>
  <c r="R37" i="29"/>
  <c r="S37" i="29"/>
  <c r="T37" i="29"/>
  <c r="V37" i="29"/>
  <c r="W37" i="29"/>
  <c r="X37" i="29"/>
  <c r="Z37" i="29"/>
  <c r="L36" i="29"/>
  <c r="M36" i="29"/>
  <c r="N36" i="29"/>
  <c r="O36" i="29"/>
  <c r="P36" i="29"/>
  <c r="Q36" i="29"/>
  <c r="R36" i="29"/>
  <c r="S36" i="29"/>
  <c r="T36" i="29"/>
  <c r="V36" i="29"/>
  <c r="W36" i="29"/>
  <c r="X36" i="29"/>
  <c r="Z36" i="29"/>
  <c r="L35" i="29"/>
  <c r="M35" i="29"/>
  <c r="N35" i="29"/>
  <c r="O35" i="29"/>
  <c r="P35" i="29"/>
  <c r="Q35" i="29"/>
  <c r="R35" i="29"/>
  <c r="S35" i="29"/>
  <c r="T35" i="29"/>
  <c r="V35" i="29"/>
  <c r="W35" i="29"/>
  <c r="X35" i="29"/>
  <c r="Z35" i="29"/>
  <c r="L34" i="29"/>
  <c r="M34" i="29"/>
  <c r="N34" i="29"/>
  <c r="O34" i="29"/>
  <c r="P34" i="29"/>
  <c r="Q34" i="29"/>
  <c r="R34" i="29"/>
  <c r="S34" i="29"/>
  <c r="T34" i="29"/>
  <c r="V34" i="29"/>
  <c r="W34" i="29"/>
  <c r="X34" i="29"/>
  <c r="Z34" i="29"/>
  <c r="L33" i="29"/>
  <c r="M33" i="29"/>
  <c r="N33" i="29"/>
  <c r="O33" i="29"/>
  <c r="F33" i="29"/>
  <c r="P33" i="29"/>
  <c r="Q33" i="29"/>
  <c r="R33" i="29"/>
  <c r="I33" i="29"/>
  <c r="S33" i="29"/>
  <c r="T33" i="29"/>
  <c r="V33" i="29"/>
  <c r="W33" i="29"/>
  <c r="X33" i="29"/>
  <c r="Z33" i="29"/>
  <c r="L32" i="29"/>
  <c r="M32" i="29"/>
  <c r="N32" i="29"/>
  <c r="O32" i="29"/>
  <c r="P32" i="29"/>
  <c r="Q32" i="29"/>
  <c r="R32" i="29"/>
  <c r="S32" i="29"/>
  <c r="T32" i="29"/>
  <c r="V32" i="29"/>
  <c r="W32" i="29"/>
  <c r="X32" i="29"/>
  <c r="Z32" i="29"/>
  <c r="L31" i="29"/>
  <c r="M31" i="29"/>
  <c r="N31" i="29"/>
  <c r="O31" i="29"/>
  <c r="F30" i="29"/>
  <c r="F31" i="29"/>
  <c r="P31" i="29"/>
  <c r="G29" i="29"/>
  <c r="G30" i="29"/>
  <c r="G31" i="29"/>
  <c r="Q31" i="29"/>
  <c r="H30" i="29"/>
  <c r="H31" i="29"/>
  <c r="R31" i="29"/>
  <c r="I30" i="29"/>
  <c r="I31" i="29"/>
  <c r="S31" i="29"/>
  <c r="T31" i="29"/>
  <c r="V31" i="29"/>
  <c r="W31" i="29"/>
  <c r="X31" i="29"/>
  <c r="Z31" i="29"/>
  <c r="L30" i="29"/>
  <c r="M30" i="29"/>
  <c r="N30" i="29"/>
  <c r="O30" i="29"/>
  <c r="P30" i="29"/>
  <c r="Q30" i="29"/>
  <c r="R30" i="29"/>
  <c r="S30" i="29"/>
  <c r="T30" i="29"/>
  <c r="V30" i="29"/>
  <c r="W30" i="29"/>
  <c r="X30" i="29"/>
  <c r="Z30" i="29"/>
  <c r="L29" i="29"/>
  <c r="M29" i="29"/>
  <c r="N29" i="29"/>
  <c r="O29" i="29"/>
  <c r="P29" i="29"/>
  <c r="Q29" i="29"/>
  <c r="R29" i="29"/>
  <c r="S29" i="29"/>
  <c r="T29" i="29"/>
  <c r="V29" i="29"/>
  <c r="W29" i="29"/>
  <c r="X29" i="29"/>
  <c r="Z29" i="29"/>
  <c r="L28" i="29"/>
  <c r="M28" i="29"/>
  <c r="N28" i="29"/>
  <c r="O28" i="29"/>
  <c r="P28" i="29"/>
  <c r="Q28" i="29"/>
  <c r="R28" i="29"/>
  <c r="S28" i="29"/>
  <c r="T28" i="29"/>
  <c r="V28" i="29"/>
  <c r="W28" i="29"/>
  <c r="X28" i="29"/>
  <c r="Z28" i="29"/>
  <c r="L27" i="29"/>
  <c r="M27" i="29"/>
  <c r="N27" i="29"/>
  <c r="O27" i="29"/>
  <c r="P27" i="29"/>
  <c r="Q27" i="29"/>
  <c r="R27" i="29"/>
  <c r="S27" i="29"/>
  <c r="T27" i="29"/>
  <c r="V27" i="29"/>
  <c r="W27" i="29"/>
  <c r="X27" i="29"/>
  <c r="Z27" i="29"/>
  <c r="L26" i="29"/>
  <c r="M26" i="29"/>
  <c r="N26" i="29"/>
  <c r="O26" i="29"/>
  <c r="P26" i="29"/>
  <c r="G26" i="29"/>
  <c r="Q26" i="29"/>
  <c r="H26" i="29"/>
  <c r="R26" i="29"/>
  <c r="I26" i="29"/>
  <c r="S26" i="29"/>
  <c r="J26" i="29"/>
  <c r="T26" i="29"/>
  <c r="V26" i="29"/>
  <c r="W26" i="29"/>
  <c r="X26" i="29"/>
  <c r="Z26" i="29"/>
  <c r="L25" i="29"/>
  <c r="M25" i="29"/>
  <c r="N25" i="29"/>
  <c r="O25" i="29"/>
  <c r="P25" i="29"/>
  <c r="Q25" i="29"/>
  <c r="R25" i="29"/>
  <c r="S25" i="29"/>
  <c r="T25" i="29"/>
  <c r="V25" i="29"/>
  <c r="W25" i="29"/>
  <c r="X25" i="29"/>
  <c r="Z25" i="29"/>
  <c r="L24" i="29"/>
  <c r="M24" i="29"/>
  <c r="N24" i="29"/>
  <c r="O24" i="29"/>
  <c r="P24" i="29"/>
  <c r="Q24" i="29"/>
  <c r="R24" i="29"/>
  <c r="S24" i="29"/>
  <c r="T24" i="29"/>
  <c r="V24" i="29"/>
  <c r="W24" i="29"/>
  <c r="X24" i="29"/>
  <c r="Z24" i="29"/>
  <c r="L23" i="29"/>
  <c r="M23" i="29"/>
  <c r="N23" i="29"/>
  <c r="O23" i="29"/>
  <c r="P23" i="29"/>
  <c r="Q23" i="29"/>
  <c r="R23" i="29"/>
  <c r="S23" i="29"/>
  <c r="T23" i="29"/>
  <c r="V23" i="29"/>
  <c r="W23" i="29"/>
  <c r="X23" i="29"/>
  <c r="Z23" i="29"/>
  <c r="L22" i="29"/>
  <c r="M22" i="29"/>
  <c r="N22" i="29"/>
  <c r="O22" i="29"/>
  <c r="P22" i="29"/>
  <c r="G21" i="29"/>
  <c r="G22" i="29"/>
  <c r="Q22" i="29"/>
  <c r="R22" i="29"/>
  <c r="S22" i="29"/>
  <c r="T22" i="29"/>
  <c r="V22" i="29"/>
  <c r="W22" i="29"/>
  <c r="X22" i="29"/>
  <c r="Z22" i="29"/>
  <c r="L21" i="29"/>
  <c r="M21" i="29"/>
  <c r="N21" i="29"/>
  <c r="O21" i="29"/>
  <c r="P21" i="29"/>
  <c r="Q21" i="29"/>
  <c r="R21" i="29"/>
  <c r="S21" i="29"/>
  <c r="T21" i="29"/>
  <c r="V21" i="29"/>
  <c r="W21" i="29"/>
  <c r="X21" i="29"/>
  <c r="Z21" i="29"/>
  <c r="L20" i="29"/>
  <c r="M20" i="29"/>
  <c r="N20" i="29"/>
  <c r="O20" i="29"/>
  <c r="P20" i="29"/>
  <c r="Q20" i="29"/>
  <c r="R20" i="29"/>
  <c r="S20" i="29"/>
  <c r="T20" i="29"/>
  <c r="V20" i="29"/>
  <c r="W20" i="29"/>
  <c r="X20" i="29"/>
  <c r="Z20" i="29"/>
  <c r="L19" i="29"/>
  <c r="M19" i="29"/>
  <c r="N19" i="29"/>
  <c r="O19" i="29"/>
  <c r="P19" i="29"/>
  <c r="Q19" i="29"/>
  <c r="H18" i="29"/>
  <c r="H19" i="29"/>
  <c r="R19" i="29"/>
  <c r="I18" i="29"/>
  <c r="I19" i="29"/>
  <c r="S19" i="29"/>
  <c r="T19" i="29"/>
  <c r="V19" i="29"/>
  <c r="W19" i="29"/>
  <c r="X19" i="29"/>
  <c r="Z19" i="29"/>
  <c r="L18" i="29"/>
  <c r="M18" i="29"/>
  <c r="N18" i="29"/>
  <c r="O18" i="29"/>
  <c r="P18" i="29"/>
  <c r="Q18" i="29"/>
  <c r="R18" i="29"/>
  <c r="S18" i="29"/>
  <c r="T18" i="29"/>
  <c r="V18" i="29"/>
  <c r="W18" i="29"/>
  <c r="X18" i="29"/>
  <c r="Z18" i="29"/>
  <c r="L17" i="29"/>
  <c r="M17" i="29"/>
  <c r="N17" i="29"/>
  <c r="O17" i="29"/>
  <c r="F17" i="29"/>
  <c r="P17" i="29"/>
  <c r="Q17" i="29"/>
  <c r="R17" i="29"/>
  <c r="S17" i="29"/>
  <c r="J17" i="29"/>
  <c r="T17" i="29"/>
  <c r="V17" i="29"/>
  <c r="X17" i="29"/>
  <c r="Z17" i="29"/>
  <c r="L16" i="29"/>
  <c r="M16" i="29"/>
  <c r="N16" i="29"/>
  <c r="O16" i="29"/>
  <c r="P16" i="29"/>
  <c r="Q16" i="29"/>
  <c r="R16" i="29"/>
  <c r="S16" i="29"/>
  <c r="T16" i="29"/>
  <c r="V16" i="29"/>
  <c r="X16" i="29"/>
  <c r="Z16" i="29"/>
  <c r="L15" i="29"/>
  <c r="M15" i="29"/>
  <c r="N15" i="29"/>
  <c r="O15" i="29"/>
  <c r="P15" i="29"/>
  <c r="G15" i="29"/>
  <c r="Q15" i="29"/>
  <c r="H11" i="29"/>
  <c r="H12" i="29"/>
  <c r="H13" i="29"/>
  <c r="H14" i="29"/>
  <c r="H15" i="29"/>
  <c r="R15" i="29"/>
  <c r="I11" i="29"/>
  <c r="I12" i="29"/>
  <c r="I13" i="29"/>
  <c r="I14" i="29"/>
  <c r="I15" i="29"/>
  <c r="S15" i="29"/>
  <c r="T15" i="29"/>
  <c r="V15" i="29"/>
  <c r="W15" i="29"/>
  <c r="X15" i="29"/>
  <c r="Z15" i="29"/>
  <c r="L14" i="29"/>
  <c r="M14" i="29"/>
  <c r="N14" i="29"/>
  <c r="O14" i="29"/>
  <c r="P14" i="29"/>
  <c r="Q14" i="29"/>
  <c r="R14" i="29"/>
  <c r="S14" i="29"/>
  <c r="T14" i="29"/>
  <c r="V14" i="29"/>
  <c r="W14" i="29"/>
  <c r="X14" i="29"/>
  <c r="Z14" i="29"/>
  <c r="L13" i="29"/>
  <c r="M13" i="29"/>
  <c r="N13" i="29"/>
  <c r="O13" i="29"/>
  <c r="P13" i="29"/>
  <c r="Q13" i="29"/>
  <c r="R13" i="29"/>
  <c r="S13" i="29"/>
  <c r="T13" i="29"/>
  <c r="V13" i="29"/>
  <c r="W13" i="29"/>
  <c r="X13" i="29"/>
  <c r="Z13" i="29"/>
  <c r="L12" i="29"/>
  <c r="M12" i="29"/>
  <c r="N12" i="29"/>
  <c r="O12" i="29"/>
  <c r="P12" i="29"/>
  <c r="G12" i="29"/>
  <c r="Q12" i="29"/>
  <c r="R12" i="29"/>
  <c r="S12" i="29"/>
  <c r="T12" i="29"/>
  <c r="V12" i="29"/>
  <c r="W12" i="29"/>
  <c r="X12" i="29"/>
  <c r="Z12" i="29"/>
  <c r="L11" i="29"/>
  <c r="M11" i="29"/>
  <c r="N11" i="29"/>
  <c r="O11" i="29"/>
  <c r="P11" i="29"/>
  <c r="Q11" i="29"/>
  <c r="R11" i="29"/>
  <c r="S11" i="29"/>
  <c r="T11" i="29"/>
  <c r="V11" i="29"/>
  <c r="W11" i="29"/>
  <c r="X11" i="29"/>
  <c r="Z11" i="29"/>
  <c r="L10" i="29"/>
  <c r="M10" i="29"/>
  <c r="N10" i="29"/>
  <c r="O10" i="29"/>
  <c r="P10" i="29"/>
  <c r="G10" i="29"/>
  <c r="Q10" i="29"/>
  <c r="R10" i="29"/>
  <c r="S10" i="29"/>
  <c r="T10" i="29"/>
  <c r="V10" i="29"/>
  <c r="W10" i="29"/>
  <c r="X10" i="29"/>
  <c r="Z10" i="29"/>
  <c r="L9" i="29"/>
  <c r="M9" i="29"/>
  <c r="N9" i="29"/>
  <c r="O9" i="29"/>
  <c r="P9" i="29"/>
  <c r="Q9" i="29"/>
  <c r="R9" i="29"/>
  <c r="S9" i="29"/>
  <c r="T9" i="29"/>
  <c r="V9" i="29"/>
  <c r="W9" i="29"/>
  <c r="X9" i="29"/>
  <c r="Z9" i="29"/>
  <c r="L8" i="29"/>
  <c r="M8" i="29"/>
  <c r="N8" i="29"/>
  <c r="O8" i="29"/>
  <c r="P8" i="29"/>
  <c r="G7" i="29"/>
  <c r="G8" i="29"/>
  <c r="Q8" i="29"/>
  <c r="H8" i="29"/>
  <c r="R8" i="29"/>
  <c r="S8" i="29"/>
  <c r="T8" i="29"/>
  <c r="V8" i="29"/>
  <c r="W8" i="29"/>
  <c r="X8" i="29"/>
  <c r="Z8" i="29"/>
  <c r="L7" i="29"/>
  <c r="M7" i="29"/>
  <c r="N7" i="29"/>
  <c r="O7" i="29"/>
  <c r="P7" i="29"/>
  <c r="Q7" i="29"/>
  <c r="R7" i="29"/>
  <c r="S7" i="29"/>
  <c r="T7" i="29"/>
  <c r="V7" i="29"/>
  <c r="W7" i="29"/>
  <c r="X7" i="29"/>
  <c r="Z7" i="29"/>
  <c r="L6" i="29"/>
  <c r="M6" i="29"/>
  <c r="N6" i="29"/>
  <c r="O6" i="29"/>
  <c r="P6" i="29"/>
  <c r="Q6" i="29"/>
  <c r="R6" i="29"/>
  <c r="S6" i="29"/>
  <c r="T6" i="29"/>
  <c r="V6" i="29"/>
  <c r="W6" i="29"/>
  <c r="X6" i="29"/>
  <c r="Z6" i="29"/>
  <c r="L5" i="29"/>
  <c r="M5" i="29"/>
  <c r="N5" i="29"/>
  <c r="O5" i="29"/>
  <c r="P5" i="29"/>
  <c r="Q5" i="29"/>
  <c r="R5" i="29"/>
  <c r="S5" i="29"/>
  <c r="T5" i="29"/>
  <c r="V5" i="29"/>
  <c r="W5" i="29"/>
  <c r="X5" i="29"/>
  <c r="Z5" i="29"/>
  <c r="AA4" i="29"/>
  <c r="AA151" i="29"/>
  <c r="AA150" i="29"/>
  <c r="AA149" i="29"/>
  <c r="AA148" i="29"/>
  <c r="AA147" i="29"/>
  <c r="AA146" i="29"/>
  <c r="AA145" i="29"/>
  <c r="AA144" i="29"/>
  <c r="AA143" i="29"/>
  <c r="AA142" i="29"/>
  <c r="AA141" i="29"/>
  <c r="AA140" i="29"/>
  <c r="AA139" i="29"/>
  <c r="AA138" i="29"/>
  <c r="AA137" i="29"/>
  <c r="AA136" i="29"/>
  <c r="AA135" i="29"/>
  <c r="AA134" i="29"/>
  <c r="AA133" i="29"/>
  <c r="AA132" i="29"/>
  <c r="AA131" i="29"/>
  <c r="AA130" i="29"/>
  <c r="AA129" i="29"/>
  <c r="AA128" i="29"/>
  <c r="AA127" i="29"/>
  <c r="AA126" i="29"/>
  <c r="AA125" i="29"/>
  <c r="AA124" i="29"/>
  <c r="AA123" i="29"/>
  <c r="AA122" i="29"/>
  <c r="AA121" i="29"/>
  <c r="AA120" i="29"/>
  <c r="AA119" i="29"/>
  <c r="AA118" i="29"/>
  <c r="AA117" i="29"/>
  <c r="AA116" i="29"/>
  <c r="AA115" i="29"/>
  <c r="AA114" i="29"/>
  <c r="AA113" i="29"/>
  <c r="AA112" i="29"/>
  <c r="AA111" i="29"/>
  <c r="AA110" i="29"/>
  <c r="AA109" i="29"/>
  <c r="AA108" i="29"/>
  <c r="AA107" i="29"/>
  <c r="AA106" i="29"/>
  <c r="AA105" i="29"/>
  <c r="AA104" i="29"/>
  <c r="AA103" i="29"/>
  <c r="AA102" i="29"/>
  <c r="AA101" i="29"/>
  <c r="AA100" i="29"/>
  <c r="AA99" i="29"/>
  <c r="AA98" i="29"/>
  <c r="AA97" i="29"/>
  <c r="AA96" i="29"/>
  <c r="AA95" i="29"/>
  <c r="AA94" i="29"/>
  <c r="AA93" i="29"/>
  <c r="AA92" i="29"/>
  <c r="AA91" i="29"/>
  <c r="AA90" i="29"/>
  <c r="AA89" i="29"/>
  <c r="AA88" i="29"/>
  <c r="AA87" i="29"/>
  <c r="AA86" i="29"/>
  <c r="AA85" i="29"/>
  <c r="AA84" i="29"/>
  <c r="AA83" i="29"/>
  <c r="AA82" i="29"/>
  <c r="AA81" i="29"/>
  <c r="AA80" i="29"/>
  <c r="AA79" i="29"/>
  <c r="AA78" i="29"/>
  <c r="AA77" i="29"/>
  <c r="AA76" i="29"/>
  <c r="AA75" i="29"/>
  <c r="AA74" i="29"/>
  <c r="AA73" i="29"/>
  <c r="AA72" i="29"/>
  <c r="AA71" i="29"/>
  <c r="AA70" i="29"/>
  <c r="AA69" i="29"/>
  <c r="AA68" i="29"/>
  <c r="AA67" i="29"/>
  <c r="AA66" i="29"/>
  <c r="AA65" i="29"/>
  <c r="AA64" i="29"/>
  <c r="AA63" i="29"/>
  <c r="AA62" i="29"/>
  <c r="AA61" i="29"/>
  <c r="AA60" i="29"/>
  <c r="AA59" i="29"/>
  <c r="AA58" i="29"/>
  <c r="AA57" i="29"/>
  <c r="AA56" i="29"/>
  <c r="AA55" i="29"/>
  <c r="AA54" i="29"/>
  <c r="AA53" i="29"/>
  <c r="AA52" i="29"/>
  <c r="AA51" i="29"/>
  <c r="AA50" i="29"/>
  <c r="AA49" i="29"/>
  <c r="AA48" i="29"/>
  <c r="AA47" i="29"/>
  <c r="AA46" i="29"/>
  <c r="AA45" i="29"/>
  <c r="AA44" i="29"/>
  <c r="AA43" i="29"/>
  <c r="AA42" i="29"/>
  <c r="AA41" i="29"/>
  <c r="AA40" i="29"/>
  <c r="AA39" i="29"/>
  <c r="AA38" i="29"/>
  <c r="AA37" i="29"/>
  <c r="AA36" i="29"/>
  <c r="AA35" i="29"/>
  <c r="AA34" i="29"/>
  <c r="AA33" i="29"/>
  <c r="AA32" i="29"/>
  <c r="AA31" i="29"/>
  <c r="AA30" i="29"/>
  <c r="AA29" i="29"/>
  <c r="AA28" i="29"/>
  <c r="AA27" i="29"/>
  <c r="AA26" i="29"/>
  <c r="AA25" i="29"/>
  <c r="AA24" i="29"/>
  <c r="AA23" i="29"/>
  <c r="AA22" i="29"/>
  <c r="AA21" i="29"/>
  <c r="AA20" i="29"/>
  <c r="AA19" i="29"/>
  <c r="AA18" i="29"/>
  <c r="AA17" i="29"/>
  <c r="AA16" i="29"/>
  <c r="AA15" i="29"/>
  <c r="AA14" i="29"/>
  <c r="AA13" i="29"/>
  <c r="AA12" i="29"/>
  <c r="AA11" i="29"/>
  <c r="AA10" i="29"/>
  <c r="AA9" i="29"/>
  <c r="AA8" i="29"/>
  <c r="AA7" i="29"/>
  <c r="AA6" i="29"/>
  <c r="AA5" i="29"/>
  <c r="O21" i="24"/>
  <c r="O51" i="24"/>
  <c r="O101" i="24"/>
  <c r="Q151" i="23"/>
  <c r="N39" i="23"/>
  <c r="P103" i="15"/>
  <c r="P102" i="15"/>
  <c r="J139" i="21"/>
  <c r="Q154" i="15"/>
  <c r="L264" i="29"/>
  <c r="M264" i="29"/>
  <c r="N264" i="29"/>
  <c r="O264" i="29"/>
  <c r="P264" i="29"/>
  <c r="Q264" i="29"/>
  <c r="R264" i="29"/>
  <c r="S264" i="29"/>
  <c r="T264" i="29"/>
  <c r="V264" i="29"/>
  <c r="W264" i="29"/>
  <c r="X264" i="29"/>
  <c r="B263" i="29"/>
  <c r="L263" i="29"/>
  <c r="M263" i="29"/>
  <c r="N263" i="29"/>
  <c r="O263" i="29"/>
  <c r="P263" i="29"/>
  <c r="Q263" i="29"/>
  <c r="H263" i="29"/>
  <c r="R263" i="29"/>
  <c r="S263" i="29"/>
  <c r="T263" i="29"/>
  <c r="V263" i="29"/>
  <c r="W263" i="29"/>
  <c r="X263" i="29"/>
  <c r="L262" i="29"/>
  <c r="M262" i="29"/>
  <c r="N262" i="29"/>
  <c r="O262" i="29"/>
  <c r="P262" i="29"/>
  <c r="Q262" i="29"/>
  <c r="R262" i="29"/>
  <c r="S262" i="29"/>
  <c r="T262" i="29"/>
  <c r="V262" i="29"/>
  <c r="W262" i="29"/>
  <c r="X262" i="29"/>
  <c r="L261" i="29"/>
  <c r="M261" i="29"/>
  <c r="N261" i="29"/>
  <c r="O261" i="29"/>
  <c r="P261" i="29"/>
  <c r="Q261" i="29"/>
  <c r="R261" i="29"/>
  <c r="S261" i="29"/>
  <c r="T261" i="29"/>
  <c r="V261" i="29"/>
  <c r="W261" i="29"/>
  <c r="X261" i="29"/>
  <c r="L260" i="29"/>
  <c r="M260" i="29"/>
  <c r="N260" i="29"/>
  <c r="O260" i="29"/>
  <c r="F257" i="29"/>
  <c r="F258" i="29"/>
  <c r="F259" i="29"/>
  <c r="F260" i="29"/>
  <c r="P260" i="29"/>
  <c r="Q260" i="29"/>
  <c r="R260" i="29"/>
  <c r="S260" i="29"/>
  <c r="T260" i="29"/>
  <c r="V260" i="29"/>
  <c r="W260" i="29"/>
  <c r="X260" i="29"/>
  <c r="L259" i="29"/>
  <c r="M259" i="29"/>
  <c r="N259" i="29"/>
  <c r="O259" i="29"/>
  <c r="P259" i="29"/>
  <c r="Q259" i="29"/>
  <c r="R259" i="29"/>
  <c r="S259" i="29"/>
  <c r="T259" i="29"/>
  <c r="V259" i="29"/>
  <c r="W259" i="29"/>
  <c r="X259" i="29"/>
  <c r="L258" i="29"/>
  <c r="M258" i="29"/>
  <c r="N258" i="29"/>
  <c r="O258" i="29"/>
  <c r="P258" i="29"/>
  <c r="Q258" i="29"/>
  <c r="R258" i="29"/>
  <c r="S258" i="29"/>
  <c r="J257" i="29"/>
  <c r="J258" i="29"/>
  <c r="T258" i="29"/>
  <c r="V258" i="29"/>
  <c r="W258" i="29"/>
  <c r="X258" i="29"/>
  <c r="L257" i="29"/>
  <c r="M257" i="29"/>
  <c r="N257" i="29"/>
  <c r="O257" i="29"/>
  <c r="P257" i="29"/>
  <c r="Q257" i="29"/>
  <c r="R257" i="29"/>
  <c r="S257" i="29"/>
  <c r="T257" i="29"/>
  <c r="V257" i="29"/>
  <c r="W257" i="29"/>
  <c r="X257" i="29"/>
  <c r="L256" i="29"/>
  <c r="M256" i="29"/>
  <c r="N256" i="29"/>
  <c r="O256" i="29"/>
  <c r="P256" i="29"/>
  <c r="Q256" i="29"/>
  <c r="R256" i="29"/>
  <c r="S256" i="29"/>
  <c r="T256" i="29"/>
  <c r="V256" i="29"/>
  <c r="W256" i="29"/>
  <c r="X256" i="29"/>
  <c r="L255" i="29"/>
  <c r="M255" i="29"/>
  <c r="N255" i="29"/>
  <c r="O255" i="29"/>
  <c r="F254" i="29"/>
  <c r="F255" i="29"/>
  <c r="P255" i="29"/>
  <c r="Q255" i="29"/>
  <c r="R255" i="29"/>
  <c r="S255" i="29"/>
  <c r="J254" i="29"/>
  <c r="J255" i="29"/>
  <c r="T255" i="29"/>
  <c r="V255" i="29"/>
  <c r="W255" i="29"/>
  <c r="X255" i="29"/>
  <c r="L254" i="29"/>
  <c r="M254" i="29"/>
  <c r="N254" i="29"/>
  <c r="O254" i="29"/>
  <c r="P254" i="29"/>
  <c r="Q254" i="29"/>
  <c r="R254" i="29"/>
  <c r="S254" i="29"/>
  <c r="T254" i="29"/>
  <c r="V254" i="29"/>
  <c r="W254" i="29"/>
  <c r="X254" i="29"/>
  <c r="L253" i="29"/>
  <c r="M253" i="29"/>
  <c r="N253" i="29"/>
  <c r="O253" i="29"/>
  <c r="P253" i="29"/>
  <c r="Q253" i="29"/>
  <c r="R253" i="29"/>
  <c r="S253" i="29"/>
  <c r="T253" i="29"/>
  <c r="V253" i="29"/>
  <c r="X253" i="29"/>
  <c r="L252" i="29"/>
  <c r="M252" i="29"/>
  <c r="N252" i="29"/>
  <c r="O252" i="29"/>
  <c r="P252" i="29"/>
  <c r="Q252" i="29"/>
  <c r="R252" i="29"/>
  <c r="S252" i="29"/>
  <c r="T252" i="29"/>
  <c r="V252" i="29"/>
  <c r="X252" i="29"/>
  <c r="L251" i="29"/>
  <c r="M251" i="29"/>
  <c r="N251" i="29"/>
  <c r="O251" i="29"/>
  <c r="P251" i="29"/>
  <c r="Q251" i="29"/>
  <c r="R251" i="29"/>
  <c r="S251" i="29"/>
  <c r="T251" i="29"/>
  <c r="V251" i="29"/>
  <c r="X251" i="29"/>
  <c r="L250" i="29"/>
  <c r="M250" i="29"/>
  <c r="N250" i="29"/>
  <c r="O250" i="29"/>
  <c r="P250" i="29"/>
  <c r="Q250" i="29"/>
  <c r="R250" i="29"/>
  <c r="S250" i="29"/>
  <c r="T250" i="29"/>
  <c r="V250" i="29"/>
  <c r="X250" i="29"/>
  <c r="L249" i="29"/>
  <c r="M249" i="29"/>
  <c r="N249" i="29"/>
  <c r="O249" i="29"/>
  <c r="P249" i="29"/>
  <c r="Q249" i="29"/>
  <c r="R249" i="29"/>
  <c r="S249" i="29"/>
  <c r="T249" i="29"/>
  <c r="V249" i="29"/>
  <c r="X249" i="29"/>
  <c r="L248" i="29"/>
  <c r="M248" i="29"/>
  <c r="N248" i="29"/>
  <c r="O248" i="29"/>
  <c r="P248" i="29"/>
  <c r="Q248" i="29"/>
  <c r="R248" i="29"/>
  <c r="S248" i="29"/>
  <c r="T248" i="29"/>
  <c r="V248" i="29"/>
  <c r="X248" i="29"/>
  <c r="L247" i="29"/>
  <c r="M247" i="29"/>
  <c r="N247" i="29"/>
  <c r="O247" i="29"/>
  <c r="P247" i="29"/>
  <c r="Q247" i="29"/>
  <c r="R247" i="29"/>
  <c r="S247" i="29"/>
  <c r="T247" i="29"/>
  <c r="V247" i="29"/>
  <c r="X247" i="29"/>
  <c r="L246" i="29"/>
  <c r="M246" i="29"/>
  <c r="N246" i="29"/>
  <c r="O246" i="29"/>
  <c r="P246" i="29"/>
  <c r="G246" i="29"/>
  <c r="Q246" i="29"/>
  <c r="R246" i="29"/>
  <c r="S246" i="29"/>
  <c r="T246" i="29"/>
  <c r="V246" i="29"/>
  <c r="X246" i="29"/>
  <c r="L245" i="29"/>
  <c r="M245" i="29"/>
  <c r="N245" i="29"/>
  <c r="O245" i="29"/>
  <c r="P245" i="29"/>
  <c r="Q245" i="29"/>
  <c r="R245" i="29"/>
  <c r="S245" i="29"/>
  <c r="T245" i="29"/>
  <c r="V245" i="29"/>
  <c r="X245" i="29"/>
  <c r="L244" i="29"/>
  <c r="M244" i="29"/>
  <c r="N244" i="29"/>
  <c r="O244" i="29"/>
  <c r="P244" i="29"/>
  <c r="Q244" i="29"/>
  <c r="R244" i="29"/>
  <c r="S244" i="29"/>
  <c r="T244" i="29"/>
  <c r="V244" i="29"/>
  <c r="X244" i="29"/>
  <c r="L243" i="29"/>
  <c r="M243" i="29"/>
  <c r="N243" i="29"/>
  <c r="O243" i="29"/>
  <c r="P243" i="29"/>
  <c r="Q243" i="29"/>
  <c r="R243" i="29"/>
  <c r="S243" i="29"/>
  <c r="T243" i="29"/>
  <c r="V243" i="29"/>
  <c r="X243" i="29"/>
  <c r="L242" i="29"/>
  <c r="M242" i="29"/>
  <c r="N242" i="29"/>
  <c r="O242" i="29"/>
  <c r="P242" i="29"/>
  <c r="Q242" i="29"/>
  <c r="R242" i="29"/>
  <c r="S242" i="29"/>
  <c r="T242" i="29"/>
  <c r="V242" i="29"/>
  <c r="X242" i="29"/>
  <c r="L241" i="29"/>
  <c r="M241" i="29"/>
  <c r="N241" i="29"/>
  <c r="O241" i="29"/>
  <c r="P241" i="29"/>
  <c r="Q241" i="29"/>
  <c r="R241" i="29"/>
  <c r="S241" i="29"/>
  <c r="T241" i="29"/>
  <c r="V241" i="29"/>
  <c r="X241" i="29"/>
  <c r="L240" i="29"/>
  <c r="M240" i="29"/>
  <c r="N240" i="29"/>
  <c r="O240" i="29"/>
  <c r="P240" i="29"/>
  <c r="Q240" i="29"/>
  <c r="R240" i="29"/>
  <c r="S240" i="29"/>
  <c r="T240" i="29"/>
  <c r="V240" i="29"/>
  <c r="X240" i="29"/>
  <c r="L239" i="29"/>
  <c r="M239" i="29"/>
  <c r="N239" i="29"/>
  <c r="O239" i="29"/>
  <c r="P239" i="29"/>
  <c r="Q239" i="29"/>
  <c r="R239" i="29"/>
  <c r="S239" i="29"/>
  <c r="T239" i="29"/>
  <c r="V239" i="29"/>
  <c r="X239" i="29"/>
  <c r="L238" i="29"/>
  <c r="M238" i="29"/>
  <c r="N238" i="29"/>
  <c r="O238" i="29"/>
  <c r="P238" i="29"/>
  <c r="Q238" i="29"/>
  <c r="R238" i="29"/>
  <c r="S238" i="29"/>
  <c r="T238" i="29"/>
  <c r="V238" i="29"/>
  <c r="X238" i="29"/>
  <c r="L237" i="29"/>
  <c r="M237" i="29"/>
  <c r="N237" i="29"/>
  <c r="O237" i="29"/>
  <c r="P237" i="29"/>
  <c r="Q237" i="29"/>
  <c r="R237" i="29"/>
  <c r="S237" i="29"/>
  <c r="T237" i="29"/>
  <c r="V237" i="29"/>
  <c r="X237" i="29"/>
  <c r="L236" i="29"/>
  <c r="M236" i="29"/>
  <c r="N236" i="29"/>
  <c r="O236" i="29"/>
  <c r="P236" i="29"/>
  <c r="Q236" i="29"/>
  <c r="R236" i="29"/>
  <c r="S236" i="29"/>
  <c r="T236" i="29"/>
  <c r="V236" i="29"/>
  <c r="X236" i="29"/>
  <c r="L235" i="29"/>
  <c r="M235" i="29"/>
  <c r="N235" i="29"/>
  <c r="O235" i="29"/>
  <c r="P235" i="29"/>
  <c r="Q235" i="29"/>
  <c r="R235" i="29"/>
  <c r="S235" i="29"/>
  <c r="T235" i="29"/>
  <c r="V235" i="29"/>
  <c r="X235" i="29"/>
  <c r="L234" i="29"/>
  <c r="M234" i="29"/>
  <c r="N234" i="29"/>
  <c r="O234" i="29"/>
  <c r="P234" i="29"/>
  <c r="Q234" i="29"/>
  <c r="R234" i="29"/>
  <c r="S234" i="29"/>
  <c r="T234" i="29"/>
  <c r="V234" i="29"/>
  <c r="X234" i="29"/>
  <c r="L233" i="29"/>
  <c r="M233" i="29"/>
  <c r="N233" i="29"/>
  <c r="O233" i="29"/>
  <c r="P233" i="29"/>
  <c r="Q233" i="29"/>
  <c r="R233" i="29"/>
  <c r="S233" i="29"/>
  <c r="T233" i="29"/>
  <c r="V233" i="29"/>
  <c r="X233" i="29"/>
  <c r="L232" i="29"/>
  <c r="M232" i="29"/>
  <c r="N232" i="29"/>
  <c r="O232" i="29"/>
  <c r="P232" i="29"/>
  <c r="Q232" i="29"/>
  <c r="R232" i="29"/>
  <c r="S232" i="29"/>
  <c r="T232" i="29"/>
  <c r="V232" i="29"/>
  <c r="W232" i="29"/>
  <c r="X232" i="29"/>
  <c r="L231" i="29"/>
  <c r="M231" i="29"/>
  <c r="N231" i="29"/>
  <c r="O231" i="29"/>
  <c r="P231" i="29"/>
  <c r="Q231" i="29"/>
  <c r="R231" i="29"/>
  <c r="S231" i="29"/>
  <c r="T231" i="29"/>
  <c r="V231" i="29"/>
  <c r="W231" i="29"/>
  <c r="X231" i="29"/>
  <c r="L230" i="29"/>
  <c r="M230" i="29"/>
  <c r="N230" i="29"/>
  <c r="O230" i="29"/>
  <c r="P230" i="29"/>
  <c r="Q230" i="29"/>
  <c r="R230" i="29"/>
  <c r="S230" i="29"/>
  <c r="T230" i="29"/>
  <c r="V230" i="29"/>
  <c r="W230" i="29"/>
  <c r="X230" i="29"/>
  <c r="L229" i="29"/>
  <c r="M229" i="29"/>
  <c r="N229" i="29"/>
  <c r="O229" i="29"/>
  <c r="P229" i="29"/>
  <c r="Q229" i="29"/>
  <c r="R229" i="29"/>
  <c r="S229" i="29"/>
  <c r="T229" i="29"/>
  <c r="V229" i="29"/>
  <c r="W229" i="29"/>
  <c r="X229" i="29"/>
  <c r="L228" i="29"/>
  <c r="M228" i="29"/>
  <c r="N228" i="29"/>
  <c r="O228" i="29"/>
  <c r="P228" i="29"/>
  <c r="Q228" i="29"/>
  <c r="R228" i="29"/>
  <c r="S228" i="29"/>
  <c r="T228" i="29"/>
  <c r="V228" i="29"/>
  <c r="W228" i="29"/>
  <c r="X228" i="29"/>
  <c r="L227" i="29"/>
  <c r="M227" i="29"/>
  <c r="N227" i="29"/>
  <c r="O227" i="29"/>
  <c r="P227" i="29"/>
  <c r="Q227" i="29"/>
  <c r="R227" i="29"/>
  <c r="S227" i="29"/>
  <c r="T227" i="29"/>
  <c r="V227" i="29"/>
  <c r="W227" i="29"/>
  <c r="X227" i="29"/>
  <c r="L226" i="29"/>
  <c r="M226" i="29"/>
  <c r="N226" i="29"/>
  <c r="O226" i="29"/>
  <c r="P226" i="29"/>
  <c r="Q226" i="29"/>
  <c r="R226" i="29"/>
  <c r="S226" i="29"/>
  <c r="T226" i="29"/>
  <c r="V226" i="29"/>
  <c r="W226" i="29"/>
  <c r="X226" i="29"/>
  <c r="L225" i="29"/>
  <c r="M225" i="29"/>
  <c r="N225" i="29"/>
  <c r="O225" i="29"/>
  <c r="P225" i="29"/>
  <c r="Q225" i="29"/>
  <c r="R225" i="29"/>
  <c r="S225" i="29"/>
  <c r="T225" i="29"/>
  <c r="V225" i="29"/>
  <c r="W225" i="29"/>
  <c r="X225" i="29"/>
  <c r="L224" i="29"/>
  <c r="M224" i="29"/>
  <c r="N224" i="29"/>
  <c r="O224" i="29"/>
  <c r="P224" i="29"/>
  <c r="Q224" i="29"/>
  <c r="R224" i="29"/>
  <c r="S224" i="29"/>
  <c r="T224" i="29"/>
  <c r="V224" i="29"/>
  <c r="W224" i="29"/>
  <c r="X224" i="29"/>
  <c r="L223" i="29"/>
  <c r="M223" i="29"/>
  <c r="N223" i="29"/>
  <c r="O223" i="29"/>
  <c r="P223" i="29"/>
  <c r="Q223" i="29"/>
  <c r="R223" i="29"/>
  <c r="S223" i="29"/>
  <c r="T223" i="29"/>
  <c r="V223" i="29"/>
  <c r="W223" i="29"/>
  <c r="X223" i="29"/>
  <c r="L222" i="29"/>
  <c r="M222" i="29"/>
  <c r="N222" i="29"/>
  <c r="O222" i="29"/>
  <c r="P222" i="29"/>
  <c r="Q222" i="29"/>
  <c r="R222" i="29"/>
  <c r="S222" i="29"/>
  <c r="T222" i="29"/>
  <c r="V222" i="29"/>
  <c r="W222" i="29"/>
  <c r="X222" i="29"/>
  <c r="L221" i="29"/>
  <c r="M221" i="29"/>
  <c r="N221" i="29"/>
  <c r="O221" i="29"/>
  <c r="P221" i="29"/>
  <c r="Q221" i="29"/>
  <c r="R221" i="29"/>
  <c r="S221" i="29"/>
  <c r="T221" i="29"/>
  <c r="V221" i="29"/>
  <c r="W221" i="29"/>
  <c r="X221" i="29"/>
  <c r="L220" i="29"/>
  <c r="M220" i="29"/>
  <c r="N220" i="29"/>
  <c r="O220" i="29"/>
  <c r="P220" i="29"/>
  <c r="Q220" i="29"/>
  <c r="R220" i="29"/>
  <c r="S220" i="29"/>
  <c r="T220" i="29"/>
  <c r="V220" i="29"/>
  <c r="X220" i="29"/>
  <c r="L219" i="29"/>
  <c r="M219" i="29"/>
  <c r="N219" i="29"/>
  <c r="O219" i="29"/>
  <c r="P219" i="29"/>
  <c r="Q219" i="29"/>
  <c r="R219" i="29"/>
  <c r="S219" i="29"/>
  <c r="T219" i="29"/>
  <c r="V219" i="29"/>
  <c r="X219" i="29"/>
  <c r="L218" i="29"/>
  <c r="M218" i="29"/>
  <c r="N218" i="29"/>
  <c r="O218" i="29"/>
  <c r="P218" i="29"/>
  <c r="Q218" i="29"/>
  <c r="R218" i="29"/>
  <c r="S218" i="29"/>
  <c r="T218" i="29"/>
  <c r="V218" i="29"/>
  <c r="X218" i="29"/>
  <c r="L217" i="29"/>
  <c r="M217" i="29"/>
  <c r="N217" i="29"/>
  <c r="O217" i="29"/>
  <c r="P217" i="29"/>
  <c r="Q217" i="29"/>
  <c r="H217" i="29"/>
  <c r="R217" i="29"/>
  <c r="I217" i="29"/>
  <c r="S217" i="29"/>
  <c r="T217" i="29"/>
  <c r="V217" i="29"/>
  <c r="X217" i="29"/>
  <c r="L216" i="29"/>
  <c r="M216" i="29"/>
  <c r="N216" i="29"/>
  <c r="O216" i="29"/>
  <c r="P216" i="29"/>
  <c r="Q216" i="29"/>
  <c r="R216" i="29"/>
  <c r="S216" i="29"/>
  <c r="T216" i="29"/>
  <c r="V216" i="29"/>
  <c r="X216" i="29"/>
  <c r="L215" i="29"/>
  <c r="M215" i="29"/>
  <c r="N215" i="29"/>
  <c r="O215" i="29"/>
  <c r="P215" i="29"/>
  <c r="Q215" i="29"/>
  <c r="R215" i="29"/>
  <c r="S215" i="29"/>
  <c r="T215" i="29"/>
  <c r="V215" i="29"/>
  <c r="X215" i="29"/>
  <c r="L214" i="29"/>
  <c r="M214" i="29"/>
  <c r="N214" i="29"/>
  <c r="O214" i="29"/>
  <c r="P214" i="29"/>
  <c r="Q214" i="29"/>
  <c r="R214" i="29"/>
  <c r="S214" i="29"/>
  <c r="T214" i="29"/>
  <c r="V214" i="29"/>
  <c r="X214" i="29"/>
  <c r="L213" i="29"/>
  <c r="M213" i="29"/>
  <c r="N213" i="29"/>
  <c r="O213" i="29"/>
  <c r="P213" i="29"/>
  <c r="Q213" i="29"/>
  <c r="H212" i="29"/>
  <c r="H213" i="29"/>
  <c r="R213" i="29"/>
  <c r="I212" i="29"/>
  <c r="I213" i="29"/>
  <c r="S213" i="29"/>
  <c r="T213" i="29"/>
  <c r="V213" i="29"/>
  <c r="X213" i="29"/>
  <c r="L212" i="29"/>
  <c r="M212" i="29"/>
  <c r="N212" i="29"/>
  <c r="O212" i="29"/>
  <c r="P212" i="29"/>
  <c r="Q212" i="29"/>
  <c r="R212" i="29"/>
  <c r="S212" i="29"/>
  <c r="T212" i="29"/>
  <c r="V212" i="29"/>
  <c r="X212" i="29"/>
  <c r="L211" i="29"/>
  <c r="M211" i="29"/>
  <c r="N211" i="29"/>
  <c r="O211" i="29"/>
  <c r="F211" i="29"/>
  <c r="P211" i="29"/>
  <c r="G211" i="29"/>
  <c r="Q211" i="29"/>
  <c r="R211" i="29"/>
  <c r="S211" i="29"/>
  <c r="T211" i="29"/>
  <c r="V211" i="29"/>
  <c r="X211" i="29"/>
  <c r="L210" i="29"/>
  <c r="M210" i="29"/>
  <c r="N210" i="29"/>
  <c r="O210" i="29"/>
  <c r="P210" i="29"/>
  <c r="Q210" i="29"/>
  <c r="H209" i="29"/>
  <c r="H210" i="29"/>
  <c r="R210" i="29"/>
  <c r="I209" i="29"/>
  <c r="I210" i="29"/>
  <c r="S210" i="29"/>
  <c r="T210" i="29"/>
  <c r="V210" i="29"/>
  <c r="X210" i="29"/>
  <c r="L209" i="29"/>
  <c r="M209" i="29"/>
  <c r="N209" i="29"/>
  <c r="O209" i="29"/>
  <c r="F209" i="29"/>
  <c r="P209" i="29"/>
  <c r="G209" i="29"/>
  <c r="Q209" i="29"/>
  <c r="R209" i="29"/>
  <c r="S209" i="29"/>
  <c r="T209" i="29"/>
  <c r="V209" i="29"/>
  <c r="X209" i="29"/>
  <c r="L208" i="29"/>
  <c r="M208" i="29"/>
  <c r="N208" i="29"/>
  <c r="O208" i="29"/>
  <c r="P208" i="29"/>
  <c r="Q208" i="29"/>
  <c r="R208" i="29"/>
  <c r="S208" i="29"/>
  <c r="T208" i="29"/>
  <c r="V208" i="29"/>
  <c r="X208" i="29"/>
  <c r="L207" i="29"/>
  <c r="M207" i="29"/>
  <c r="N207" i="29"/>
  <c r="O207" i="29"/>
  <c r="P207" i="29"/>
  <c r="G207" i="29"/>
  <c r="Q207" i="29"/>
  <c r="H207" i="29"/>
  <c r="R207" i="29"/>
  <c r="I207" i="29"/>
  <c r="S207" i="29"/>
  <c r="T207" i="29"/>
  <c r="V207" i="29"/>
  <c r="W207" i="29"/>
  <c r="X207" i="29"/>
  <c r="L206" i="29"/>
  <c r="M206" i="29"/>
  <c r="N206" i="29"/>
  <c r="O206" i="29"/>
  <c r="P206" i="29"/>
  <c r="Q206" i="29"/>
  <c r="R206" i="29"/>
  <c r="S206" i="29"/>
  <c r="T206" i="29"/>
  <c r="V206" i="29"/>
  <c r="W206" i="29"/>
  <c r="X206" i="29"/>
  <c r="L205" i="29"/>
  <c r="M205" i="29"/>
  <c r="N205" i="29"/>
  <c r="O205" i="29"/>
  <c r="P205" i="29"/>
  <c r="Q205" i="29"/>
  <c r="R205" i="29"/>
  <c r="S205" i="29"/>
  <c r="T205" i="29"/>
  <c r="V205" i="29"/>
  <c r="W205" i="29"/>
  <c r="X205" i="29"/>
  <c r="L204" i="29"/>
  <c r="M204" i="29"/>
  <c r="N204" i="29"/>
  <c r="O204" i="29"/>
  <c r="P204" i="29"/>
  <c r="Q204" i="29"/>
  <c r="R204" i="29"/>
  <c r="S204" i="29"/>
  <c r="T204" i="29"/>
  <c r="V204" i="29"/>
  <c r="W204" i="29"/>
  <c r="X204" i="29"/>
  <c r="L203" i="29"/>
  <c r="M203" i="29"/>
  <c r="N203" i="29"/>
  <c r="O203" i="29"/>
  <c r="P203" i="29"/>
  <c r="Q203" i="29"/>
  <c r="R203" i="29"/>
  <c r="S203" i="29"/>
  <c r="T203" i="29"/>
  <c r="V203" i="29"/>
  <c r="W203" i="29"/>
  <c r="X203" i="29"/>
  <c r="L202" i="29"/>
  <c r="M202" i="29"/>
  <c r="N202" i="29"/>
  <c r="O202" i="29"/>
  <c r="P202" i="29"/>
  <c r="Q202" i="29"/>
  <c r="R202" i="29"/>
  <c r="S202" i="29"/>
  <c r="T202" i="29"/>
  <c r="V202" i="29"/>
  <c r="W202" i="29"/>
  <c r="X202" i="29"/>
  <c r="L201" i="29"/>
  <c r="M201" i="29"/>
  <c r="N201" i="29"/>
  <c r="O201" i="29"/>
  <c r="P201" i="29"/>
  <c r="Q201" i="29"/>
  <c r="R201" i="29"/>
  <c r="S201" i="29"/>
  <c r="T201" i="29"/>
  <c r="V201" i="29"/>
  <c r="W201" i="29"/>
  <c r="X201" i="29"/>
  <c r="L200" i="29"/>
  <c r="M200" i="29"/>
  <c r="N200" i="29"/>
  <c r="O200" i="29"/>
  <c r="P200" i="29"/>
  <c r="Q200" i="29"/>
  <c r="R200" i="29"/>
  <c r="S200" i="29"/>
  <c r="T200" i="29"/>
  <c r="V200" i="29"/>
  <c r="W200" i="29"/>
  <c r="X200" i="29"/>
  <c r="L199" i="29"/>
  <c r="M199" i="29"/>
  <c r="N199" i="29"/>
  <c r="O199" i="29"/>
  <c r="P199" i="29"/>
  <c r="Q199" i="29"/>
  <c r="R199" i="29"/>
  <c r="S199" i="29"/>
  <c r="T199" i="29"/>
  <c r="V199" i="29"/>
  <c r="W199" i="29"/>
  <c r="X199" i="29"/>
  <c r="L198" i="29"/>
  <c r="M198" i="29"/>
  <c r="N198" i="29"/>
  <c r="O198" i="29"/>
  <c r="P198" i="29"/>
  <c r="Q198" i="29"/>
  <c r="R198" i="29"/>
  <c r="S198" i="29"/>
  <c r="T198" i="29"/>
  <c r="V198" i="29"/>
  <c r="W198" i="29"/>
  <c r="X198" i="29"/>
  <c r="L197" i="29"/>
  <c r="M197" i="29"/>
  <c r="N197" i="29"/>
  <c r="O197" i="29"/>
  <c r="P197" i="29"/>
  <c r="Q197" i="29"/>
  <c r="R197" i="29"/>
  <c r="S197" i="29"/>
  <c r="T197" i="29"/>
  <c r="V197" i="29"/>
  <c r="W197" i="29"/>
  <c r="X197" i="29"/>
  <c r="L196" i="29"/>
  <c r="M196" i="29"/>
  <c r="N196" i="29"/>
  <c r="O196" i="29"/>
  <c r="P196" i="29"/>
  <c r="Q196" i="29"/>
  <c r="R196" i="29"/>
  <c r="S196" i="29"/>
  <c r="T196" i="29"/>
  <c r="V196" i="29"/>
  <c r="W196" i="29"/>
  <c r="X196" i="29"/>
  <c r="L195" i="29"/>
  <c r="M195" i="29"/>
  <c r="N195" i="29"/>
  <c r="O195" i="29"/>
  <c r="P195" i="29"/>
  <c r="Q195" i="29"/>
  <c r="R195" i="29"/>
  <c r="S195" i="29"/>
  <c r="T195" i="29"/>
  <c r="V195" i="29"/>
  <c r="W195" i="29"/>
  <c r="X195" i="29"/>
  <c r="L194" i="29"/>
  <c r="M194" i="29"/>
  <c r="N194" i="29"/>
  <c r="O194" i="29"/>
  <c r="P194" i="29"/>
  <c r="Q194" i="29"/>
  <c r="R194" i="29"/>
  <c r="S194" i="29"/>
  <c r="T194" i="29"/>
  <c r="V194" i="29"/>
  <c r="W194" i="29"/>
  <c r="X194" i="29"/>
  <c r="L193" i="29"/>
  <c r="M193" i="29"/>
  <c r="N193" i="29"/>
  <c r="O193" i="29"/>
  <c r="P193" i="29"/>
  <c r="Q193" i="29"/>
  <c r="R193" i="29"/>
  <c r="S193" i="29"/>
  <c r="T193" i="29"/>
  <c r="V193" i="29"/>
  <c r="W193" i="29"/>
  <c r="X193" i="29"/>
  <c r="L192" i="29"/>
  <c r="M192" i="29"/>
  <c r="N192" i="29"/>
  <c r="O192" i="29"/>
  <c r="P192" i="29"/>
  <c r="Q192" i="29"/>
  <c r="R192" i="29"/>
  <c r="S192" i="29"/>
  <c r="T192" i="29"/>
  <c r="V192" i="29"/>
  <c r="W192" i="29"/>
  <c r="X192" i="29"/>
  <c r="L191" i="29"/>
  <c r="M191" i="29"/>
  <c r="N191" i="29"/>
  <c r="O191" i="29"/>
  <c r="P191" i="29"/>
  <c r="Q191" i="29"/>
  <c r="R191" i="29"/>
  <c r="S191" i="29"/>
  <c r="T191" i="29"/>
  <c r="V191" i="29"/>
  <c r="W191" i="29"/>
  <c r="X191" i="29"/>
  <c r="L190" i="29"/>
  <c r="M190" i="29"/>
  <c r="N190" i="29"/>
  <c r="O190" i="29"/>
  <c r="P190" i="29"/>
  <c r="Q190" i="29"/>
  <c r="R190" i="29"/>
  <c r="S190" i="29"/>
  <c r="T190" i="29"/>
  <c r="V190" i="29"/>
  <c r="W190" i="29"/>
  <c r="X190" i="29"/>
  <c r="L189" i="29"/>
  <c r="M189" i="29"/>
  <c r="N189" i="29"/>
  <c r="O189" i="29"/>
  <c r="P189" i="29"/>
  <c r="Q189" i="29"/>
  <c r="R189" i="29"/>
  <c r="S189" i="29"/>
  <c r="T189" i="29"/>
  <c r="V189" i="29"/>
  <c r="W189" i="29"/>
  <c r="X189" i="29"/>
  <c r="L188" i="29"/>
  <c r="M188" i="29"/>
  <c r="N188" i="29"/>
  <c r="O188" i="29"/>
  <c r="P188" i="29"/>
  <c r="Q188" i="29"/>
  <c r="R188" i="29"/>
  <c r="S188" i="29"/>
  <c r="T188" i="29"/>
  <c r="V188" i="29"/>
  <c r="W188" i="29"/>
  <c r="X188" i="29"/>
  <c r="L187" i="29"/>
  <c r="M187" i="29"/>
  <c r="N187" i="29"/>
  <c r="O187" i="29"/>
  <c r="P187" i="29"/>
  <c r="Q187" i="29"/>
  <c r="R187" i="29"/>
  <c r="S187" i="29"/>
  <c r="T187" i="29"/>
  <c r="V187" i="29"/>
  <c r="W187" i="29"/>
  <c r="X187" i="29"/>
  <c r="L186" i="29"/>
  <c r="M186" i="29"/>
  <c r="N186" i="29"/>
  <c r="O186" i="29"/>
  <c r="P186" i="29"/>
  <c r="Q186" i="29"/>
  <c r="R186" i="29"/>
  <c r="S186" i="29"/>
  <c r="T186" i="29"/>
  <c r="V186" i="29"/>
  <c r="X186" i="29"/>
  <c r="L185" i="29"/>
  <c r="M185" i="29"/>
  <c r="N185" i="29"/>
  <c r="O185" i="29"/>
  <c r="P185" i="29"/>
  <c r="Q185" i="29"/>
  <c r="R185" i="29"/>
  <c r="S185" i="29"/>
  <c r="T185" i="29"/>
  <c r="V185" i="29"/>
  <c r="W185" i="29"/>
  <c r="X185" i="29"/>
  <c r="L184" i="29"/>
  <c r="M184" i="29"/>
  <c r="N184" i="29"/>
  <c r="O184" i="29"/>
  <c r="P184" i="29"/>
  <c r="Q184" i="29"/>
  <c r="R184" i="29"/>
  <c r="S184" i="29"/>
  <c r="T184" i="29"/>
  <c r="V184" i="29"/>
  <c r="W184" i="29"/>
  <c r="X184" i="29"/>
  <c r="L183" i="29"/>
  <c r="M183" i="29"/>
  <c r="N183" i="29"/>
  <c r="O183" i="29"/>
  <c r="P183" i="29"/>
  <c r="Q183" i="29"/>
  <c r="R183" i="29"/>
  <c r="S183" i="29"/>
  <c r="T183" i="29"/>
  <c r="V183" i="29"/>
  <c r="W183" i="29"/>
  <c r="X183" i="29"/>
  <c r="L182" i="29"/>
  <c r="M182" i="29"/>
  <c r="N182" i="29"/>
  <c r="O182" i="29"/>
  <c r="P182" i="29"/>
  <c r="Q182" i="29"/>
  <c r="R182" i="29"/>
  <c r="S182" i="29"/>
  <c r="T182" i="29"/>
  <c r="V182" i="29"/>
  <c r="W182" i="29"/>
  <c r="X182" i="29"/>
  <c r="L181" i="29"/>
  <c r="M181" i="29"/>
  <c r="N181" i="29"/>
  <c r="O181" i="29"/>
  <c r="P181" i="29"/>
  <c r="Q181" i="29"/>
  <c r="R181" i="29"/>
  <c r="S181" i="29"/>
  <c r="T181" i="29"/>
  <c r="V181" i="29"/>
  <c r="W181" i="29"/>
  <c r="X181" i="29"/>
  <c r="L180" i="29"/>
  <c r="M180" i="29"/>
  <c r="N180" i="29"/>
  <c r="O180" i="29"/>
  <c r="P180" i="29"/>
  <c r="Q180" i="29"/>
  <c r="R180" i="29"/>
  <c r="S180" i="29"/>
  <c r="T180" i="29"/>
  <c r="V180" i="29"/>
  <c r="W180" i="29"/>
  <c r="X180" i="29"/>
  <c r="L179" i="29"/>
  <c r="M179" i="29"/>
  <c r="N179" i="29"/>
  <c r="O179" i="29"/>
  <c r="P179" i="29"/>
  <c r="Q179" i="29"/>
  <c r="R179" i="29"/>
  <c r="S179" i="29"/>
  <c r="T179" i="29"/>
  <c r="V179" i="29"/>
  <c r="W179" i="29"/>
  <c r="X179" i="29"/>
  <c r="L178" i="29"/>
  <c r="M178" i="29"/>
  <c r="N178" i="29"/>
  <c r="O178" i="29"/>
  <c r="P178" i="29"/>
  <c r="Q178" i="29"/>
  <c r="H177" i="29"/>
  <c r="H178" i="29"/>
  <c r="R178" i="29"/>
  <c r="S178" i="29"/>
  <c r="T178" i="29"/>
  <c r="V178" i="29"/>
  <c r="W178" i="29"/>
  <c r="X178" i="29"/>
  <c r="L177" i="29"/>
  <c r="M177" i="29"/>
  <c r="N177" i="29"/>
  <c r="O177" i="29"/>
  <c r="P177" i="29"/>
  <c r="Q177" i="29"/>
  <c r="R177" i="29"/>
  <c r="I177" i="29"/>
  <c r="S177" i="29"/>
  <c r="T177" i="29"/>
  <c r="V177" i="29"/>
  <c r="W177" i="29"/>
  <c r="X177" i="29"/>
  <c r="L176" i="29"/>
  <c r="M176" i="29"/>
  <c r="N176" i="29"/>
  <c r="O176" i="29"/>
  <c r="P176" i="29"/>
  <c r="Q176" i="29"/>
  <c r="R176" i="29"/>
  <c r="S176" i="29"/>
  <c r="T176" i="29"/>
  <c r="V176" i="29"/>
  <c r="W176" i="29"/>
  <c r="X176" i="29"/>
  <c r="L175" i="29"/>
  <c r="M175" i="29"/>
  <c r="N175" i="29"/>
  <c r="O175" i="29"/>
  <c r="F175" i="29"/>
  <c r="P175" i="29"/>
  <c r="Q175" i="29"/>
  <c r="H175" i="29"/>
  <c r="R175" i="29"/>
  <c r="I175" i="29"/>
  <c r="S175" i="29"/>
  <c r="T175" i="29"/>
  <c r="V175" i="29"/>
  <c r="W175" i="29"/>
  <c r="X175" i="29"/>
  <c r="L174" i="29"/>
  <c r="M174" i="29"/>
  <c r="N174" i="29"/>
  <c r="O174" i="29"/>
  <c r="P174" i="29"/>
  <c r="Q174" i="29"/>
  <c r="R174" i="29"/>
  <c r="S174" i="29"/>
  <c r="T174" i="29"/>
  <c r="V174" i="29"/>
  <c r="W174" i="29"/>
  <c r="X174" i="29"/>
  <c r="L173" i="29"/>
  <c r="M173" i="29"/>
  <c r="N173" i="29"/>
  <c r="O173" i="29"/>
  <c r="P173" i="29"/>
  <c r="Q173" i="29"/>
  <c r="R173" i="29"/>
  <c r="S173" i="29"/>
  <c r="T173" i="29"/>
  <c r="V173" i="29"/>
  <c r="W173" i="29"/>
  <c r="X173" i="29"/>
  <c r="L172" i="29"/>
  <c r="M172" i="29"/>
  <c r="N172" i="29"/>
  <c r="O172" i="29"/>
  <c r="P172" i="29"/>
  <c r="Q172" i="29"/>
  <c r="R172" i="29"/>
  <c r="S172" i="29"/>
  <c r="T172" i="29"/>
  <c r="V172" i="29"/>
  <c r="W172" i="29"/>
  <c r="X172" i="29"/>
  <c r="L171" i="29"/>
  <c r="M171" i="29"/>
  <c r="N171" i="29"/>
  <c r="O171" i="29"/>
  <c r="P171" i="29"/>
  <c r="Q171" i="29"/>
  <c r="R171" i="29"/>
  <c r="S171" i="29"/>
  <c r="T171" i="29"/>
  <c r="V171" i="29"/>
  <c r="W171" i="29"/>
  <c r="X171" i="29"/>
  <c r="L170" i="29"/>
  <c r="M170" i="29"/>
  <c r="N170" i="29"/>
  <c r="O170" i="29"/>
  <c r="P170" i="29"/>
  <c r="Q170" i="29"/>
  <c r="R170" i="29"/>
  <c r="S170" i="29"/>
  <c r="T170" i="29"/>
  <c r="V170" i="29"/>
  <c r="W170" i="29"/>
  <c r="X170" i="29"/>
  <c r="L169" i="29"/>
  <c r="M169" i="29"/>
  <c r="N169" i="29"/>
  <c r="O169" i="29"/>
  <c r="P169" i="29"/>
  <c r="Q169" i="29"/>
  <c r="R169" i="29"/>
  <c r="S169" i="29"/>
  <c r="T169" i="29"/>
  <c r="V169" i="29"/>
  <c r="W169" i="29"/>
  <c r="X169" i="29"/>
  <c r="L168" i="29"/>
  <c r="M168" i="29"/>
  <c r="N168" i="29"/>
  <c r="O168" i="29"/>
  <c r="P168" i="29"/>
  <c r="Q168" i="29"/>
  <c r="R168" i="29"/>
  <c r="S168" i="29"/>
  <c r="T168" i="29"/>
  <c r="V168" i="29"/>
  <c r="W168" i="29"/>
  <c r="X168" i="29"/>
  <c r="L167" i="29"/>
  <c r="M167" i="29"/>
  <c r="N167" i="29"/>
  <c r="O167" i="29"/>
  <c r="P167" i="29"/>
  <c r="Q167" i="29"/>
  <c r="R167" i="29"/>
  <c r="S167" i="29"/>
  <c r="T167" i="29"/>
  <c r="V167" i="29"/>
  <c r="W167" i="29"/>
  <c r="X167" i="29"/>
  <c r="L166" i="29"/>
  <c r="M166" i="29"/>
  <c r="N166" i="29"/>
  <c r="O166" i="29"/>
  <c r="P166" i="29"/>
  <c r="Q166" i="29"/>
  <c r="R166" i="29"/>
  <c r="S166" i="29"/>
  <c r="T166" i="29"/>
  <c r="V166" i="29"/>
  <c r="W166" i="29"/>
  <c r="X166" i="29"/>
  <c r="L165" i="29"/>
  <c r="M165" i="29"/>
  <c r="N165" i="29"/>
  <c r="O165" i="29"/>
  <c r="P165" i="29"/>
  <c r="Q165" i="29"/>
  <c r="R165" i="29"/>
  <c r="S165" i="29"/>
  <c r="T165" i="29"/>
  <c r="V165" i="29"/>
  <c r="W165" i="29"/>
  <c r="X165" i="29"/>
  <c r="L164" i="29"/>
  <c r="M164" i="29"/>
  <c r="N164" i="29"/>
  <c r="O164" i="29"/>
  <c r="P164" i="29"/>
  <c r="Q164" i="29"/>
  <c r="R164" i="29"/>
  <c r="S164" i="29"/>
  <c r="T164" i="29"/>
  <c r="V164" i="29"/>
  <c r="W164" i="29"/>
  <c r="X164" i="29"/>
  <c r="L163" i="29"/>
  <c r="M163" i="29"/>
  <c r="N163" i="29"/>
  <c r="O163" i="29"/>
  <c r="P163" i="29"/>
  <c r="Q163" i="29"/>
  <c r="R163" i="29"/>
  <c r="S163" i="29"/>
  <c r="T163" i="29"/>
  <c r="V163" i="29"/>
  <c r="W163" i="29"/>
  <c r="X163" i="29"/>
  <c r="L162" i="29"/>
  <c r="M162" i="29"/>
  <c r="N162" i="29"/>
  <c r="O162" i="29"/>
  <c r="P162" i="29"/>
  <c r="Q162" i="29"/>
  <c r="R162" i="29"/>
  <c r="S162" i="29"/>
  <c r="T162" i="29"/>
  <c r="V162" i="29"/>
  <c r="W162" i="29"/>
  <c r="X162" i="29"/>
  <c r="L156" i="29"/>
  <c r="M156" i="29"/>
  <c r="N156" i="29"/>
  <c r="O156" i="29"/>
  <c r="P156" i="29"/>
  <c r="Q156" i="29"/>
  <c r="R156" i="29"/>
  <c r="S156" i="29"/>
  <c r="T156" i="29"/>
  <c r="V156" i="29"/>
  <c r="W156" i="29"/>
  <c r="X156" i="29"/>
  <c r="L155" i="29"/>
  <c r="M155" i="29"/>
  <c r="N155" i="29"/>
  <c r="O155" i="29"/>
  <c r="P155" i="29"/>
  <c r="Q155" i="29"/>
  <c r="R155" i="29"/>
  <c r="S155" i="29"/>
  <c r="T155" i="29"/>
  <c r="V155" i="29"/>
  <c r="W155" i="29"/>
  <c r="X155" i="29"/>
  <c r="L154" i="29"/>
  <c r="M154" i="29"/>
  <c r="N154" i="29"/>
  <c r="O154" i="29"/>
  <c r="P154" i="29"/>
  <c r="Q154" i="29"/>
  <c r="R154" i="29"/>
  <c r="S154" i="29"/>
  <c r="T154" i="29"/>
  <c r="V154" i="29"/>
  <c r="W154" i="29"/>
  <c r="X154" i="29"/>
  <c r="L153" i="29"/>
  <c r="M153" i="29"/>
  <c r="N153" i="29"/>
  <c r="O153" i="29"/>
  <c r="F153" i="29"/>
  <c r="P153" i="29"/>
  <c r="Q153" i="29"/>
  <c r="R153" i="29"/>
  <c r="S153" i="29"/>
  <c r="T153" i="29"/>
  <c r="V153" i="29"/>
  <c r="W153" i="29"/>
  <c r="X153" i="29"/>
  <c r="L152" i="29"/>
  <c r="M152" i="29"/>
  <c r="N152" i="29"/>
  <c r="O152" i="29"/>
  <c r="P152" i="29"/>
  <c r="Q152" i="29"/>
  <c r="R152" i="29"/>
  <c r="S152" i="29"/>
  <c r="T152" i="29"/>
  <c r="V152" i="29"/>
  <c r="W152" i="29"/>
  <c r="X152" i="29"/>
  <c r="L161" i="29"/>
  <c r="M161" i="29"/>
  <c r="N161" i="29"/>
  <c r="O161" i="29"/>
  <c r="P161" i="29"/>
  <c r="Q161" i="29"/>
  <c r="R161" i="29"/>
  <c r="S161" i="29"/>
  <c r="T161" i="29"/>
  <c r="V161" i="29"/>
  <c r="L160" i="29"/>
  <c r="M160" i="29"/>
  <c r="N160" i="29"/>
  <c r="O160" i="29"/>
  <c r="P160" i="29"/>
  <c r="Q160" i="29"/>
  <c r="R160" i="29"/>
  <c r="S160" i="29"/>
  <c r="T160" i="29"/>
  <c r="V160" i="29"/>
  <c r="L159" i="29"/>
  <c r="M159" i="29"/>
  <c r="N159" i="29"/>
  <c r="O159" i="29"/>
  <c r="P159" i="29"/>
  <c r="Q159" i="29"/>
  <c r="R159" i="29"/>
  <c r="S159" i="29"/>
  <c r="T159" i="29"/>
  <c r="V159" i="29"/>
  <c r="L158" i="29"/>
  <c r="M158" i="29"/>
  <c r="N158" i="29"/>
  <c r="O158" i="29"/>
  <c r="P158" i="29"/>
  <c r="Q158" i="29"/>
  <c r="R158" i="29"/>
  <c r="S158" i="29"/>
  <c r="T158" i="29"/>
  <c r="V158" i="29"/>
  <c r="L157" i="29"/>
  <c r="M157" i="29"/>
  <c r="N157" i="29"/>
  <c r="O157" i="29"/>
  <c r="P157" i="29"/>
  <c r="Q157" i="29"/>
  <c r="R157" i="29"/>
  <c r="S157" i="29"/>
  <c r="T157" i="29"/>
  <c r="V157" i="29"/>
  <c r="J139" i="28"/>
  <c r="K139" i="28"/>
  <c r="J140" i="28"/>
  <c r="J159" i="28"/>
  <c r="K159" i="28"/>
  <c r="J152" i="28"/>
  <c r="K152" i="28"/>
  <c r="J151" i="28"/>
  <c r="K151" i="28"/>
  <c r="K264" i="28"/>
  <c r="K263" i="28"/>
  <c r="K262" i="28"/>
  <c r="K259" i="28"/>
  <c r="K256" i="28"/>
  <c r="K255" i="28"/>
  <c r="K254" i="28"/>
  <c r="K253" i="28"/>
  <c r="K252" i="28"/>
  <c r="K251" i="28"/>
  <c r="K250" i="28"/>
  <c r="K249" i="28"/>
  <c r="K248" i="28"/>
  <c r="K247" i="28"/>
  <c r="K246" i="28"/>
  <c r="K245" i="28"/>
  <c r="K244" i="28"/>
  <c r="K243" i="28"/>
  <c r="K242" i="28"/>
  <c r="K241" i="28"/>
  <c r="K240" i="28"/>
  <c r="K239" i="28"/>
  <c r="K238" i="28"/>
  <c r="K237" i="28"/>
  <c r="K236" i="28"/>
  <c r="K235" i="28"/>
  <c r="K234" i="28"/>
  <c r="K233" i="28"/>
  <c r="K232" i="28"/>
  <c r="K231" i="28"/>
  <c r="K230" i="28"/>
  <c r="K229" i="28"/>
  <c r="K228" i="28"/>
  <c r="K227" i="28"/>
  <c r="K226" i="28"/>
  <c r="K225" i="28"/>
  <c r="K224" i="28"/>
  <c r="K223" i="28"/>
  <c r="K222" i="28"/>
  <c r="K221" i="28"/>
  <c r="K220" i="28"/>
  <c r="K219" i="28"/>
  <c r="K218" i="28"/>
  <c r="K217" i="28"/>
  <c r="K216" i="28"/>
  <c r="K215" i="28"/>
  <c r="K214" i="28"/>
  <c r="K213" i="28"/>
  <c r="K212" i="28"/>
  <c r="K211" i="28"/>
  <c r="K191" i="28"/>
  <c r="K190" i="28"/>
  <c r="K189" i="28"/>
  <c r="K188" i="28"/>
  <c r="K187" i="28"/>
  <c r="K186" i="28"/>
  <c r="K185" i="28"/>
  <c r="K184" i="28"/>
  <c r="K183" i="28"/>
  <c r="K182" i="28"/>
  <c r="K181" i="28"/>
  <c r="K180" i="28"/>
  <c r="J19" i="28"/>
  <c r="K19" i="28"/>
  <c r="J24" i="28"/>
  <c r="K24" i="28"/>
  <c r="J23" i="28"/>
  <c r="K23" i="28"/>
  <c r="J21" i="28"/>
  <c r="K21" i="28"/>
  <c r="J28" i="28"/>
  <c r="K28" i="28"/>
  <c r="J27" i="28"/>
  <c r="K27" i="28"/>
  <c r="J26" i="28"/>
  <c r="K26" i="28"/>
  <c r="J25" i="28"/>
  <c r="K25" i="28"/>
  <c r="J30" i="28"/>
  <c r="K30" i="28"/>
  <c r="J31" i="28"/>
  <c r="K31" i="28"/>
  <c r="J40" i="28"/>
  <c r="K40" i="28"/>
  <c r="J39" i="28"/>
  <c r="K39" i="28"/>
  <c r="J42" i="28"/>
  <c r="K42" i="28"/>
  <c r="J51" i="28"/>
  <c r="K51" i="28"/>
  <c r="J50" i="28"/>
  <c r="K50" i="28"/>
  <c r="J49" i="28"/>
  <c r="K49" i="28"/>
  <c r="J48" i="28"/>
  <c r="K48" i="28"/>
  <c r="J47" i="28"/>
  <c r="K47" i="28"/>
  <c r="J46" i="28"/>
  <c r="K46" i="28"/>
  <c r="J45" i="28"/>
  <c r="K45" i="28"/>
  <c r="J44" i="28"/>
  <c r="K44" i="28"/>
  <c r="J60" i="28"/>
  <c r="K60" i="28"/>
  <c r="J59" i="28"/>
  <c r="K59" i="28"/>
  <c r="J58" i="28"/>
  <c r="K58" i="28"/>
  <c r="J57" i="28"/>
  <c r="K57" i="28"/>
  <c r="J56" i="28"/>
  <c r="K56" i="28"/>
  <c r="J71" i="28"/>
  <c r="K71" i="28"/>
  <c r="J83" i="28"/>
  <c r="K83" i="28"/>
  <c r="J133" i="28"/>
  <c r="K133" i="28"/>
  <c r="J147" i="28"/>
  <c r="K147" i="28"/>
  <c r="K140" i="28"/>
  <c r="J22" i="28"/>
  <c r="K22" i="28"/>
  <c r="J543" i="16"/>
  <c r="I102" i="17"/>
  <c r="I101" i="17"/>
  <c r="I100" i="17"/>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T264" i="27"/>
  <c r="T263" i="27"/>
  <c r="T262" i="27"/>
  <c r="T261" i="27"/>
  <c r="T260" i="27"/>
  <c r="T259" i="27"/>
  <c r="T258" i="27"/>
  <c r="T257" i="27"/>
  <c r="T256" i="27"/>
  <c r="T255" i="27"/>
  <c r="T254" i="27"/>
  <c r="T253" i="27"/>
  <c r="T252" i="27"/>
  <c r="T251" i="27"/>
  <c r="T250" i="27"/>
  <c r="T249" i="27"/>
  <c r="T248" i="27"/>
  <c r="T247" i="27"/>
  <c r="T246" i="27"/>
  <c r="T245" i="27"/>
  <c r="T244" i="27"/>
  <c r="T243" i="27"/>
  <c r="T242" i="27"/>
  <c r="T241" i="27"/>
  <c r="T240" i="27"/>
  <c r="T239" i="27"/>
  <c r="T238" i="27"/>
  <c r="T237" i="27"/>
  <c r="T236" i="27"/>
  <c r="T235" i="27"/>
  <c r="T234" i="27"/>
  <c r="T233" i="27"/>
  <c r="T232" i="27"/>
  <c r="T231" i="27"/>
  <c r="T230" i="27"/>
  <c r="T229" i="27"/>
  <c r="T228" i="27"/>
  <c r="T227" i="27"/>
  <c r="T226" i="27"/>
  <c r="T225" i="27"/>
  <c r="T224" i="27"/>
  <c r="T223" i="27"/>
  <c r="T222" i="27"/>
  <c r="T221" i="27"/>
  <c r="T219" i="27"/>
  <c r="T218" i="27"/>
  <c r="T217" i="27"/>
  <c r="T214" i="27"/>
  <c r="T209" i="27"/>
  <c r="T208" i="27"/>
  <c r="T205" i="27"/>
  <c r="T189" i="27"/>
  <c r="T188" i="27"/>
  <c r="T186" i="27"/>
  <c r="T185" i="27"/>
  <c r="T184" i="27"/>
  <c r="T183" i="27"/>
  <c r="T182" i="27"/>
  <c r="T177" i="27"/>
  <c r="T176" i="27"/>
  <c r="T166" i="27"/>
  <c r="T165" i="27"/>
  <c r="T152" i="27"/>
  <c r="T151" i="27"/>
  <c r="T147" i="27"/>
  <c r="T142" i="27"/>
  <c r="T118" i="27"/>
  <c r="T27" i="27"/>
  <c r="T26" i="27"/>
  <c r="T25" i="27"/>
  <c r="T24" i="27"/>
  <c r="T23" i="27"/>
  <c r="T20" i="27"/>
  <c r="T19" i="27"/>
  <c r="T9" i="27"/>
  <c r="T10" i="27"/>
  <c r="N39" i="27"/>
  <c r="O39" i="27"/>
  <c r="N30" i="27"/>
  <c r="O30" i="27"/>
  <c r="N28" i="27"/>
  <c r="O28" i="27"/>
  <c r="N32" i="27"/>
  <c r="O32" i="27"/>
  <c r="N31" i="27"/>
  <c r="O31" i="27"/>
  <c r="N13" i="27"/>
  <c r="O13" i="27"/>
  <c r="N12" i="27"/>
  <c r="O12" i="27"/>
  <c r="N11" i="27"/>
  <c r="O11" i="27"/>
  <c r="N48" i="27"/>
  <c r="O48" i="27"/>
  <c r="N47" i="27"/>
  <c r="O47" i="27"/>
  <c r="N46" i="27"/>
  <c r="O46" i="27"/>
  <c r="N50" i="27"/>
  <c r="O50" i="27"/>
  <c r="N49" i="27"/>
  <c r="O49" i="27"/>
  <c r="N35" i="27"/>
  <c r="O35" i="27"/>
  <c r="N38" i="27"/>
  <c r="O38" i="27"/>
  <c r="N37" i="27"/>
  <c r="O37" i="27"/>
  <c r="N40" i="27"/>
  <c r="O40" i="27"/>
  <c r="N45" i="27"/>
  <c r="O45" i="27"/>
  <c r="N44" i="27"/>
  <c r="O44" i="27"/>
  <c r="N43" i="27"/>
  <c r="O43" i="27"/>
  <c r="N42" i="27"/>
  <c r="O42" i="27"/>
  <c r="N60" i="27"/>
  <c r="O60" i="27"/>
  <c r="N59" i="27"/>
  <c r="O59" i="27"/>
  <c r="N58" i="27"/>
  <c r="O58" i="27"/>
  <c r="N57" i="27"/>
  <c r="O57" i="27"/>
  <c r="N56" i="27"/>
  <c r="O56" i="27"/>
  <c r="N55" i="27"/>
  <c r="O55" i="27"/>
  <c r="N54" i="27"/>
  <c r="O54" i="27"/>
  <c r="N53" i="27"/>
  <c r="O53" i="27"/>
  <c r="N52" i="27"/>
  <c r="O52" i="27"/>
  <c r="N51" i="27"/>
  <c r="O51" i="27"/>
  <c r="N62" i="27"/>
  <c r="O62" i="27"/>
  <c r="N69" i="27"/>
  <c r="O69" i="27"/>
  <c r="N68" i="27"/>
  <c r="O68" i="27"/>
  <c r="N67" i="27"/>
  <c r="O67" i="27"/>
  <c r="N66" i="27"/>
  <c r="O66" i="27"/>
  <c r="N65" i="27"/>
  <c r="O65" i="27"/>
  <c r="N71" i="27"/>
  <c r="O71" i="27"/>
  <c r="N76" i="27"/>
  <c r="O76" i="27"/>
  <c r="N75" i="27"/>
  <c r="O75" i="27"/>
  <c r="N74" i="27"/>
  <c r="O74" i="27"/>
  <c r="N78" i="27"/>
  <c r="O78" i="27"/>
  <c r="N83" i="27"/>
  <c r="O83" i="27"/>
  <c r="N91" i="27"/>
  <c r="O91" i="27"/>
  <c r="N90" i="27"/>
  <c r="O90" i="27"/>
  <c r="N89" i="27"/>
  <c r="O89" i="27"/>
  <c r="N88" i="27"/>
  <c r="O88" i="27"/>
  <c r="N87" i="27"/>
  <c r="O87" i="27"/>
  <c r="N86" i="27"/>
  <c r="O86" i="27"/>
  <c r="N93" i="27"/>
  <c r="O93" i="27"/>
  <c r="N95" i="27"/>
  <c r="O95" i="27"/>
  <c r="N96" i="27"/>
  <c r="O96" i="27"/>
  <c r="N113" i="27"/>
  <c r="O113" i="27"/>
  <c r="N123" i="27"/>
  <c r="O123" i="27"/>
  <c r="N126" i="27"/>
  <c r="O126" i="27"/>
  <c r="N138" i="27"/>
  <c r="O138" i="27"/>
  <c r="N139" i="27"/>
  <c r="O139" i="27"/>
  <c r="O267" i="27"/>
  <c r="O266" i="27"/>
  <c r="O265" i="27"/>
  <c r="O211" i="27"/>
  <c r="O207" i="27"/>
  <c r="O206" i="27"/>
  <c r="O204" i="27"/>
  <c r="O203" i="27"/>
  <c r="O202" i="27"/>
  <c r="O201" i="27"/>
  <c r="O200" i="27"/>
  <c r="O199" i="27"/>
  <c r="O198" i="27"/>
  <c r="O197" i="27"/>
  <c r="O196" i="27"/>
  <c r="O195" i="27"/>
  <c r="O194" i="27"/>
  <c r="O193" i="27"/>
  <c r="O192" i="27"/>
  <c r="O191" i="27"/>
  <c r="O190" i="27"/>
  <c r="O187" i="27"/>
  <c r="O181" i="27"/>
  <c r="O179" i="27"/>
  <c r="H26" i="14"/>
  <c r="H27" i="14"/>
  <c r="H28" i="14"/>
  <c r="H29" i="14"/>
  <c r="N26" i="14"/>
  <c r="I48" i="10"/>
  <c r="I47" i="10"/>
  <c r="I46" i="10"/>
  <c r="I45" i="10"/>
  <c r="I44" i="10"/>
  <c r="I43" i="10"/>
  <c r="I42" i="10"/>
  <c r="I41" i="10"/>
  <c r="I40" i="10"/>
  <c r="I39" i="10"/>
  <c r="I38" i="10"/>
  <c r="I37" i="10"/>
  <c r="I36" i="10"/>
  <c r="I35" i="10"/>
  <c r="I34" i="10"/>
  <c r="I33" i="10"/>
  <c r="I32" i="10"/>
  <c r="I31" i="10"/>
  <c r="I30" i="10"/>
  <c r="I29" i="10"/>
  <c r="I28" i="10"/>
  <c r="I27" i="10"/>
  <c r="A150" i="27"/>
  <c r="A151" i="27"/>
  <c r="A152" i="27"/>
  <c r="A153" i="27"/>
  <c r="A154" i="27"/>
  <c r="A155" i="27"/>
  <c r="A156" i="27"/>
  <c r="A157" i="27"/>
  <c r="A158" i="27"/>
  <c r="A159" i="27"/>
  <c r="A160" i="27"/>
  <c r="A161" i="27"/>
  <c r="A162" i="27"/>
  <c r="A163" i="27"/>
  <c r="A164" i="27"/>
  <c r="A165" i="27"/>
  <c r="A166" i="27"/>
  <c r="A167" i="27"/>
  <c r="A168" i="27"/>
  <c r="A169" i="27"/>
  <c r="A170" i="27"/>
  <c r="A171" i="27"/>
  <c r="A172" i="27"/>
  <c r="A173" i="27"/>
  <c r="A174"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238" i="27"/>
  <c r="A239" i="27"/>
  <c r="A240" i="27"/>
  <c r="A241" i="27"/>
  <c r="A242" i="27"/>
  <c r="A243" i="27"/>
  <c r="A244" i="27"/>
  <c r="A245" i="27"/>
  <c r="A246" i="27"/>
  <c r="A247" i="27"/>
  <c r="A248" i="27"/>
  <c r="A249" i="27"/>
  <c r="A250" i="27"/>
  <c r="A251" i="27"/>
  <c r="A252" i="27"/>
  <c r="A253" i="27"/>
  <c r="A254" i="27"/>
  <c r="A255" i="27"/>
  <c r="A256" i="27"/>
  <c r="A257" i="27"/>
  <c r="A258" i="27"/>
  <c r="A259" i="27"/>
  <c r="A260" i="27"/>
  <c r="A261" i="27"/>
  <c r="A262" i="27"/>
  <c r="A263" i="27"/>
  <c r="A264"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L10" i="26"/>
  <c r="N10" i="26"/>
  <c r="L9" i="26"/>
  <c r="N9" i="26"/>
  <c r="L13" i="26"/>
  <c r="N13" i="26"/>
  <c r="L12" i="26"/>
  <c r="N12" i="26"/>
  <c r="L20" i="26"/>
  <c r="N20" i="26"/>
  <c r="L19" i="26"/>
  <c r="N19" i="26"/>
  <c r="L28" i="26"/>
  <c r="N28" i="26"/>
  <c r="L27" i="26"/>
  <c r="N27" i="26"/>
  <c r="L26" i="26"/>
  <c r="N26" i="26"/>
  <c r="L25" i="26"/>
  <c r="N25" i="26"/>
  <c r="L24" i="26"/>
  <c r="N24" i="26"/>
  <c r="L23" i="26"/>
  <c r="N23" i="26"/>
  <c r="L31" i="26"/>
  <c r="N31" i="26"/>
  <c r="L30" i="26"/>
  <c r="N30" i="26"/>
  <c r="L32" i="26"/>
  <c r="N32" i="26"/>
  <c r="L40" i="26"/>
  <c r="N40" i="26"/>
  <c r="L39" i="26"/>
  <c r="N39" i="26"/>
  <c r="L38" i="26"/>
  <c r="N38" i="26"/>
  <c r="L37" i="26"/>
  <c r="N37" i="26"/>
  <c r="L36" i="26"/>
  <c r="N36" i="26"/>
  <c r="L35" i="26"/>
  <c r="N35" i="26"/>
  <c r="L44" i="26"/>
  <c r="N44" i="26"/>
  <c r="L43" i="26"/>
  <c r="N43" i="26"/>
  <c r="L47" i="26"/>
  <c r="N47" i="26"/>
  <c r="L46" i="26"/>
  <c r="N46" i="26"/>
  <c r="L57" i="26"/>
  <c r="N57" i="26"/>
  <c r="L56" i="26"/>
  <c r="N56" i="26"/>
  <c r="L55" i="26"/>
  <c r="N55" i="26"/>
  <c r="L54" i="26"/>
  <c r="N54" i="26"/>
  <c r="L53" i="26"/>
  <c r="N53" i="26"/>
  <c r="L52" i="26"/>
  <c r="N52" i="26"/>
  <c r="L51" i="26"/>
  <c r="N51" i="26"/>
  <c r="L62" i="26"/>
  <c r="N62" i="26"/>
  <c r="L71" i="26"/>
  <c r="N71" i="26"/>
  <c r="L70" i="26"/>
  <c r="N70" i="26"/>
  <c r="L74" i="26"/>
  <c r="N74" i="26"/>
  <c r="L95" i="26"/>
  <c r="N95" i="26"/>
  <c r="O35" i="24"/>
  <c r="Q35" i="24"/>
  <c r="O40" i="24"/>
  <c r="Q40" i="24"/>
  <c r="O39" i="24"/>
  <c r="Q39" i="24"/>
  <c r="O38" i="24"/>
  <c r="Q38" i="24"/>
  <c r="O37" i="24"/>
  <c r="Q37" i="24"/>
  <c r="O32" i="24"/>
  <c r="Q32" i="24"/>
  <c r="O22" i="24"/>
  <c r="Q22" i="24"/>
  <c r="Q21" i="24"/>
  <c r="Q51" i="24"/>
  <c r="O54" i="24"/>
  <c r="Q54" i="24"/>
  <c r="O56" i="24"/>
  <c r="Q56" i="24"/>
  <c r="O61" i="24"/>
  <c r="Q61" i="24"/>
  <c r="O62" i="24"/>
  <c r="Q62" i="24"/>
  <c r="O68" i="24"/>
  <c r="Q68" i="24"/>
  <c r="O70" i="24"/>
  <c r="Q70" i="24"/>
  <c r="O72" i="24"/>
  <c r="Q72" i="24"/>
  <c r="O79" i="24"/>
  <c r="Q79" i="24"/>
  <c r="L113" i="26"/>
  <c r="N113" i="26"/>
  <c r="L118" i="26"/>
  <c r="N118" i="26"/>
  <c r="L126" i="26"/>
  <c r="N126" i="26"/>
  <c r="L139" i="26"/>
  <c r="N139" i="26"/>
  <c r="L138" i="26"/>
  <c r="N138" i="26"/>
  <c r="L142" i="26"/>
  <c r="N142" i="26"/>
  <c r="L147" i="26"/>
  <c r="N147" i="26"/>
  <c r="M165" i="26"/>
  <c r="N165" i="26"/>
  <c r="M166" i="26"/>
  <c r="N166" i="26"/>
  <c r="M176" i="26"/>
  <c r="N176" i="26"/>
  <c r="M177" i="26"/>
  <c r="N177" i="26"/>
  <c r="M179" i="26"/>
  <c r="N179" i="26"/>
  <c r="M190" i="26"/>
  <c r="N190" i="26"/>
  <c r="M189" i="26"/>
  <c r="N189" i="26"/>
  <c r="M188" i="26"/>
  <c r="N188" i="26"/>
  <c r="M187" i="26"/>
  <c r="N187" i="26"/>
  <c r="M186" i="26"/>
  <c r="N186" i="26"/>
  <c r="M185" i="26"/>
  <c r="N185" i="26"/>
  <c r="M184" i="26"/>
  <c r="N184" i="26"/>
  <c r="M183" i="26"/>
  <c r="N183" i="26"/>
  <c r="M182" i="26"/>
  <c r="N182" i="26"/>
  <c r="M191" i="26"/>
  <c r="N191" i="26"/>
  <c r="L151" i="26"/>
  <c r="O151" i="26"/>
  <c r="M151" i="26"/>
  <c r="L152" i="26"/>
  <c r="O152" i="26"/>
  <c r="M152" i="26"/>
  <c r="N152" i="26"/>
  <c r="N151" i="26"/>
  <c r="O157" i="24"/>
  <c r="R157" i="24"/>
  <c r="O155" i="24"/>
  <c r="R155" i="24"/>
  <c r="O152" i="24"/>
  <c r="R152" i="24"/>
  <c r="I28" i="7"/>
  <c r="P176" i="24"/>
  <c r="Q176" i="24"/>
  <c r="O150" i="24"/>
  <c r="Q150" i="24"/>
  <c r="P157" i="24"/>
  <c r="Q157" i="24"/>
  <c r="J2685" i="16"/>
  <c r="J2686" i="16"/>
  <c r="N2685" i="1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S256" i="25"/>
  <c r="S255" i="25"/>
  <c r="S254" i="25"/>
  <c r="S253" i="25"/>
  <c r="S252" i="25"/>
  <c r="S251" i="25"/>
  <c r="S250" i="25"/>
  <c r="S248" i="25"/>
  <c r="S247" i="25"/>
  <c r="S246" i="25"/>
  <c r="S245" i="25"/>
  <c r="S244" i="25"/>
  <c r="S243" i="25"/>
  <c r="S242" i="25"/>
  <c r="S241" i="25"/>
  <c r="S240" i="25"/>
  <c r="S239" i="25"/>
  <c r="S238" i="25"/>
  <c r="S237" i="25"/>
  <c r="S236" i="25"/>
  <c r="S235" i="25"/>
  <c r="S234" i="25"/>
  <c r="S233" i="25"/>
  <c r="S232" i="25"/>
  <c r="S231" i="25"/>
  <c r="S230" i="25"/>
  <c r="S229" i="25"/>
  <c r="S228" i="25"/>
  <c r="S227" i="25"/>
  <c r="S226" i="25"/>
  <c r="S225" i="25"/>
  <c r="S224" i="25"/>
  <c r="S223" i="25"/>
  <c r="S222" i="25"/>
  <c r="S221" i="25"/>
  <c r="S220" i="25"/>
  <c r="S219" i="25"/>
  <c r="S218" i="25"/>
  <c r="S217" i="25"/>
  <c r="S216" i="25"/>
  <c r="S215" i="25"/>
  <c r="S214" i="25"/>
  <c r="S213" i="25"/>
  <c r="S211" i="25"/>
  <c r="S209" i="25"/>
  <c r="S208" i="25"/>
  <c r="S207" i="25"/>
  <c r="S206" i="25"/>
  <c r="S189" i="25"/>
  <c r="Q128" i="25"/>
  <c r="R128" i="25"/>
  <c r="S128" i="25"/>
  <c r="Q124" i="25"/>
  <c r="R124" i="25"/>
  <c r="S124" i="25"/>
  <c r="Q119" i="25"/>
  <c r="R119" i="25"/>
  <c r="S119" i="25"/>
  <c r="Q113" i="25"/>
  <c r="R113" i="25"/>
  <c r="S113" i="25"/>
  <c r="Q108" i="25"/>
  <c r="R108" i="25"/>
  <c r="S108" i="25"/>
  <c r="Q106" i="25"/>
  <c r="R106" i="25"/>
  <c r="S106" i="25"/>
  <c r="Q129" i="25"/>
  <c r="R129" i="25"/>
  <c r="S129" i="25"/>
  <c r="Q127" i="25"/>
  <c r="R127" i="25"/>
  <c r="S127" i="25"/>
  <c r="Q126" i="25"/>
  <c r="R126" i="25"/>
  <c r="S126" i="25"/>
  <c r="Q125" i="25"/>
  <c r="R125" i="25"/>
  <c r="S125" i="25"/>
  <c r="Q122" i="25"/>
  <c r="R122" i="25"/>
  <c r="S122" i="25"/>
  <c r="Q121" i="25"/>
  <c r="R121" i="25"/>
  <c r="S121" i="25"/>
  <c r="Q120" i="25"/>
  <c r="R120" i="25"/>
  <c r="S120" i="25"/>
  <c r="Q118" i="25"/>
  <c r="R118" i="25"/>
  <c r="S118" i="25"/>
  <c r="Q117" i="25"/>
  <c r="R117" i="25"/>
  <c r="S117" i="25"/>
  <c r="Q116" i="25"/>
  <c r="R116" i="25"/>
  <c r="S116" i="25"/>
  <c r="Q112" i="25"/>
  <c r="R112" i="25"/>
  <c r="S112" i="25"/>
  <c r="Q111" i="25"/>
  <c r="R111" i="25"/>
  <c r="S111" i="25"/>
  <c r="Q110" i="25"/>
  <c r="R110" i="25"/>
  <c r="S110" i="25"/>
  <c r="Q103" i="25"/>
  <c r="R103" i="25"/>
  <c r="S103" i="25"/>
  <c r="Q102" i="25"/>
  <c r="R102" i="25"/>
  <c r="S102" i="25"/>
  <c r="Q101" i="25"/>
  <c r="R101" i="25"/>
  <c r="S101" i="25"/>
  <c r="Q148" i="25"/>
  <c r="R148" i="25"/>
  <c r="S148" i="25"/>
  <c r="Q145" i="25"/>
  <c r="R145" i="25"/>
  <c r="S145" i="25"/>
  <c r="Q135" i="25"/>
  <c r="R135" i="25"/>
  <c r="S135" i="25"/>
  <c r="Q134" i="25"/>
  <c r="R134" i="25"/>
  <c r="S134" i="25"/>
  <c r="Q99" i="25"/>
  <c r="R99" i="25"/>
  <c r="S99" i="25"/>
  <c r="Q90" i="25"/>
  <c r="R90" i="25"/>
  <c r="S90" i="25"/>
  <c r="Q76" i="25"/>
  <c r="R76" i="25"/>
  <c r="S76" i="25"/>
  <c r="Q75" i="25"/>
  <c r="R75" i="25"/>
  <c r="S75" i="25"/>
  <c r="Q73" i="25"/>
  <c r="R73" i="25"/>
  <c r="S73" i="25"/>
  <c r="Q67" i="25"/>
  <c r="R67" i="25"/>
  <c r="S67" i="25"/>
  <c r="Q66" i="25"/>
  <c r="R66" i="25"/>
  <c r="S66" i="25"/>
  <c r="Q63" i="25"/>
  <c r="R63" i="25"/>
  <c r="S63" i="25"/>
  <c r="Q62" i="25"/>
  <c r="R62" i="25"/>
  <c r="S62" i="25"/>
  <c r="Q53" i="25"/>
  <c r="R53" i="25"/>
  <c r="S53" i="25"/>
  <c r="Q52" i="25"/>
  <c r="R52" i="25"/>
  <c r="S52" i="25"/>
  <c r="Q51" i="25"/>
  <c r="R51" i="25"/>
  <c r="S51" i="25"/>
  <c r="Q43" i="25"/>
  <c r="R43" i="25"/>
  <c r="S43" i="25"/>
  <c r="Q40" i="25"/>
  <c r="R40" i="25"/>
  <c r="S40" i="25"/>
  <c r="Q39" i="25"/>
  <c r="R39" i="25"/>
  <c r="S39" i="25"/>
  <c r="Q38" i="25"/>
  <c r="R38" i="25"/>
  <c r="S38" i="25"/>
  <c r="Q37" i="25"/>
  <c r="R37" i="25"/>
  <c r="S37" i="25"/>
  <c r="Q36" i="25"/>
  <c r="R36" i="25"/>
  <c r="S36" i="25"/>
  <c r="Q35" i="25"/>
  <c r="R35" i="25"/>
  <c r="S35" i="25"/>
  <c r="Q31" i="25"/>
  <c r="R31" i="25"/>
  <c r="S31" i="25"/>
  <c r="Q30" i="25"/>
  <c r="R30" i="25"/>
  <c r="S30" i="25"/>
  <c r="Q28" i="25"/>
  <c r="R28" i="25"/>
  <c r="S28" i="25"/>
  <c r="Q27" i="25"/>
  <c r="R27" i="25"/>
  <c r="S27" i="25"/>
  <c r="Q26" i="25"/>
  <c r="R26" i="25"/>
  <c r="S26" i="25"/>
  <c r="Q23" i="25"/>
  <c r="R23" i="25"/>
  <c r="S23" i="25"/>
  <c r="Q22" i="25"/>
  <c r="R22" i="25"/>
  <c r="S22" i="25"/>
  <c r="Q21" i="25"/>
  <c r="R21" i="25"/>
  <c r="S21" i="25"/>
  <c r="Q20" i="25"/>
  <c r="R20" i="25"/>
  <c r="S20" i="25"/>
  <c r="Q19" i="25"/>
  <c r="R19" i="25"/>
  <c r="S19" i="25"/>
  <c r="Q17" i="25"/>
  <c r="R17" i="25"/>
  <c r="S17" i="25"/>
  <c r="Q16" i="25"/>
  <c r="R16" i="25"/>
  <c r="S16" i="25"/>
  <c r="Q14" i="25"/>
  <c r="R14" i="25"/>
  <c r="S14" i="25"/>
  <c r="Q12" i="25"/>
  <c r="R12" i="25"/>
  <c r="S12" i="25"/>
  <c r="Q9" i="25"/>
  <c r="R9" i="25"/>
  <c r="S9" i="25"/>
  <c r="G24" i="17"/>
  <c r="G23" i="17"/>
  <c r="G22" i="17"/>
  <c r="G21" i="17"/>
  <c r="G20" i="17"/>
  <c r="G19" i="17"/>
  <c r="G18" i="17"/>
  <c r="G17" i="17"/>
  <c r="G16" i="17"/>
  <c r="G15" i="17"/>
  <c r="G14" i="17"/>
  <c r="G13" i="17"/>
  <c r="G12" i="17"/>
  <c r="G11" i="17"/>
  <c r="G10" i="17"/>
  <c r="F22" i="17"/>
  <c r="J215" i="16"/>
  <c r="J216" i="16"/>
  <c r="O215" i="16"/>
  <c r="J221" i="16"/>
  <c r="J220" i="16"/>
  <c r="J219" i="16"/>
  <c r="J218" i="16"/>
  <c r="J217" i="16"/>
  <c r="J214" i="16"/>
  <c r="J213" i="16"/>
  <c r="J212" i="16"/>
  <c r="J211" i="16"/>
  <c r="J210" i="16"/>
  <c r="J209" i="16"/>
  <c r="J208" i="16"/>
  <c r="J207" i="16"/>
  <c r="J206" i="16"/>
  <c r="J205" i="16"/>
  <c r="J204" i="16"/>
  <c r="J203" i="16"/>
  <c r="J202" i="16"/>
  <c r="J201" i="16"/>
  <c r="J200" i="16"/>
  <c r="J198" i="16"/>
  <c r="J197" i="16"/>
  <c r="J196" i="16"/>
  <c r="J195"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Q190" i="23"/>
  <c r="R190" i="23"/>
  <c r="Q191" i="23"/>
  <c r="R191" i="23"/>
  <c r="Q155" i="23"/>
  <c r="R266" i="23"/>
  <c r="R258" i="23"/>
  <c r="R267" i="23"/>
  <c r="R265" i="23"/>
  <c r="R264" i="23"/>
  <c r="R263" i="23"/>
  <c r="R262" i="23"/>
  <c r="R261" i="23"/>
  <c r="R260" i="23"/>
  <c r="R259" i="23"/>
  <c r="R257" i="23"/>
  <c r="R256" i="23"/>
  <c r="R255" i="23"/>
  <c r="R254" i="23"/>
  <c r="R253" i="23"/>
  <c r="R252" i="23"/>
  <c r="R251" i="23"/>
  <c r="R250" i="23"/>
  <c r="R249" i="23"/>
  <c r="R248" i="23"/>
  <c r="R247" i="23"/>
  <c r="R246" i="23"/>
  <c r="R245" i="23"/>
  <c r="R244" i="23"/>
  <c r="R243" i="23"/>
  <c r="R242" i="23"/>
  <c r="R241" i="23"/>
  <c r="R240" i="23"/>
  <c r="R239" i="23"/>
  <c r="R238" i="23"/>
  <c r="R237" i="23"/>
  <c r="R236" i="23"/>
  <c r="R235" i="23"/>
  <c r="R234" i="23"/>
  <c r="R233" i="23"/>
  <c r="R232" i="23"/>
  <c r="R231" i="23"/>
  <c r="R230" i="23"/>
  <c r="R229" i="23"/>
  <c r="R228" i="23"/>
  <c r="R227" i="23"/>
  <c r="R226" i="23"/>
  <c r="R225" i="23"/>
  <c r="R223" i="23"/>
  <c r="R222" i="23"/>
  <c r="R221" i="23"/>
  <c r="R220" i="23"/>
  <c r="R219" i="23"/>
  <c r="R218" i="23"/>
  <c r="R217" i="23"/>
  <c r="R216" i="23"/>
  <c r="R215" i="23"/>
  <c r="R214" i="23"/>
  <c r="R213" i="23"/>
  <c r="R211" i="23"/>
  <c r="R210" i="23"/>
  <c r="R209" i="23"/>
  <c r="R208" i="23"/>
  <c r="R207" i="23"/>
  <c r="R206" i="23"/>
  <c r="R205" i="23"/>
  <c r="R204" i="23"/>
  <c r="R203" i="23"/>
  <c r="R202" i="23"/>
  <c r="R201" i="23"/>
  <c r="R200" i="23"/>
  <c r="R199" i="23"/>
  <c r="R198" i="23"/>
  <c r="R197" i="23"/>
  <c r="R196" i="23"/>
  <c r="R195" i="23"/>
  <c r="R194" i="23"/>
  <c r="R193" i="23"/>
  <c r="O129" i="24"/>
  <c r="O128" i="24"/>
  <c r="O127" i="24"/>
  <c r="O125" i="24"/>
  <c r="O124" i="24"/>
  <c r="O122" i="24"/>
  <c r="O121" i="24"/>
  <c r="O119" i="24"/>
  <c r="O118" i="24"/>
  <c r="O116" i="24"/>
  <c r="O114" i="24"/>
  <c r="O113" i="24"/>
  <c r="O112" i="24"/>
  <c r="O111" i="24"/>
  <c r="O110" i="24"/>
  <c r="O109" i="24"/>
  <c r="O106" i="24"/>
  <c r="O105" i="24"/>
  <c r="O103" i="24"/>
  <c r="O102" i="24"/>
  <c r="Q103" i="24"/>
  <c r="Q102" i="24"/>
  <c r="Q101" i="24"/>
  <c r="Q106" i="24"/>
  <c r="Q105" i="24"/>
  <c r="Q114" i="24"/>
  <c r="Q113" i="24"/>
  <c r="Q112" i="24"/>
  <c r="Q111" i="24"/>
  <c r="Q110" i="24"/>
  <c r="Q109" i="24"/>
  <c r="Q116" i="24"/>
  <c r="Q119" i="24"/>
  <c r="Q118" i="24"/>
  <c r="Q121" i="24"/>
  <c r="Q122" i="24"/>
  <c r="Q129" i="24"/>
  <c r="Q128" i="24"/>
  <c r="Q127" i="24"/>
  <c r="Q125" i="24"/>
  <c r="Q124" i="24"/>
  <c r="Q266" i="24"/>
  <c r="Q265" i="24"/>
  <c r="Q264" i="24"/>
  <c r="Q259" i="24"/>
  <c r="Q256" i="24"/>
  <c r="Q255" i="24"/>
  <c r="Q254" i="24"/>
  <c r="Q253" i="24"/>
  <c r="Q252" i="24"/>
  <c r="Q251" i="24"/>
  <c r="Q250" i="24"/>
  <c r="Q249" i="24"/>
  <c r="Q248" i="24"/>
  <c r="Q247" i="24"/>
  <c r="Q246" i="24"/>
  <c r="Q245" i="24"/>
  <c r="Q244" i="24"/>
  <c r="Q243" i="24"/>
  <c r="Q242" i="24"/>
  <c r="Q241" i="24"/>
  <c r="Q240" i="24"/>
  <c r="Q239" i="24"/>
  <c r="Q238" i="24"/>
  <c r="Q237" i="24"/>
  <c r="Q236" i="24"/>
  <c r="Q223" i="24"/>
  <c r="Q222" i="24"/>
  <c r="Q221" i="24"/>
  <c r="Q220" i="24"/>
  <c r="Q219" i="24"/>
  <c r="Q218" i="24"/>
  <c r="Q217" i="24"/>
  <c r="Q216" i="24"/>
  <c r="Q215" i="24"/>
  <c r="Q213" i="24"/>
  <c r="Q211" i="24"/>
  <c r="Q210" i="24"/>
  <c r="Q209" i="24"/>
  <c r="Q208" i="24"/>
  <c r="Q207" i="24"/>
  <c r="Q206" i="24"/>
  <c r="Q205" i="24"/>
  <c r="Q204" i="24"/>
  <c r="Q203" i="24"/>
  <c r="Q202" i="24"/>
  <c r="Q201" i="24"/>
  <c r="Q200" i="24"/>
  <c r="Q199" i="24"/>
  <c r="Q198" i="24"/>
  <c r="Q197" i="24"/>
  <c r="Q196" i="24"/>
  <c r="Q195" i="24"/>
  <c r="Q194" i="24"/>
  <c r="Q193" i="24"/>
  <c r="Q192" i="24"/>
  <c r="Q191" i="24"/>
  <c r="Q190" i="24"/>
  <c r="Q189" i="24"/>
  <c r="P188" i="24"/>
  <c r="Q188" i="24"/>
  <c r="P187" i="24"/>
  <c r="Q187" i="24"/>
  <c r="P186" i="24"/>
  <c r="Q186" i="24"/>
  <c r="P185" i="24"/>
  <c r="Q185" i="24"/>
  <c r="P184" i="24"/>
  <c r="Q184" i="24"/>
  <c r="P183" i="24"/>
  <c r="Q183" i="24"/>
  <c r="P182" i="24"/>
  <c r="Q182" i="24"/>
  <c r="P181" i="24"/>
  <c r="Q181" i="24"/>
  <c r="P180" i="24"/>
  <c r="Q180" i="24"/>
  <c r="P179" i="24"/>
  <c r="Q179" i="24"/>
  <c r="P177" i="24"/>
  <c r="Q177" i="24"/>
  <c r="P147" i="24"/>
  <c r="Q147" i="24"/>
  <c r="P155" i="24"/>
  <c r="Q155" i="24"/>
  <c r="P152" i="24"/>
  <c r="Q152" i="24"/>
  <c r="P151" i="24"/>
  <c r="Q151" i="24"/>
  <c r="O151" i="24"/>
  <c r="R151" i="24"/>
  <c r="M67" i="7"/>
  <c r="M68" i="7"/>
  <c r="S67" i="7"/>
  <c r="O137" i="24"/>
  <c r="Q137" i="24"/>
  <c r="M7" i="19"/>
  <c r="M8" i="19"/>
  <c r="R7" i="19"/>
  <c r="I7" i="19"/>
  <c r="I8" i="19"/>
  <c r="Q7" i="19"/>
  <c r="O19" i="24"/>
  <c r="Q19" i="24"/>
  <c r="I5" i="19"/>
  <c r="M5" i="19"/>
  <c r="F90" i="17"/>
  <c r="I90" i="17"/>
  <c r="I87" i="17"/>
  <c r="I83" i="17"/>
  <c r="N375" i="16"/>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R146" i="23"/>
  <c r="R141" i="23"/>
  <c r="R142" i="23"/>
  <c r="R124" i="23"/>
  <c r="R125" i="23"/>
  <c r="R126" i="23"/>
  <c r="R127" i="23"/>
  <c r="R128" i="23"/>
  <c r="R129" i="23"/>
  <c r="R130" i="23"/>
  <c r="R131" i="23"/>
  <c r="R132" i="23"/>
  <c r="R133" i="23"/>
  <c r="R134" i="23"/>
  <c r="R135" i="23"/>
  <c r="R136" i="23"/>
  <c r="R119" i="23"/>
  <c r="R120" i="23"/>
  <c r="R121" i="23"/>
  <c r="R122" i="23"/>
  <c r="R103" i="23"/>
  <c r="R104" i="23"/>
  <c r="R105" i="23"/>
  <c r="R106" i="23"/>
  <c r="R107" i="23"/>
  <c r="R108" i="23"/>
  <c r="R109" i="23"/>
  <c r="R110" i="23"/>
  <c r="R111" i="23"/>
  <c r="R112" i="23"/>
  <c r="R113" i="23"/>
  <c r="R96" i="23"/>
  <c r="R97" i="23"/>
  <c r="R98" i="23"/>
  <c r="R99" i="23"/>
  <c r="R100" i="23"/>
  <c r="R101" i="23"/>
  <c r="R75" i="23"/>
  <c r="R76" i="23"/>
  <c r="R77" i="23"/>
  <c r="R78" i="23"/>
  <c r="R79" i="23"/>
  <c r="R80" i="23"/>
  <c r="R81" i="23"/>
  <c r="R82" i="23"/>
  <c r="R83" i="23"/>
  <c r="R84" i="23"/>
  <c r="R85" i="23"/>
  <c r="R86" i="23"/>
  <c r="R87" i="23"/>
  <c r="R88" i="23"/>
  <c r="R89" i="23"/>
  <c r="R90" i="23"/>
  <c r="R91" i="23"/>
  <c r="R92" i="23"/>
  <c r="R93" i="23"/>
  <c r="R94" i="23"/>
  <c r="R72" i="23"/>
  <c r="R73" i="23"/>
  <c r="R63" i="23"/>
  <c r="R64" i="23"/>
  <c r="R65" i="23"/>
  <c r="R66" i="23"/>
  <c r="R67" i="23"/>
  <c r="R58" i="23"/>
  <c r="R59" i="23"/>
  <c r="R60" i="23"/>
  <c r="R61" i="23"/>
  <c r="R55" i="23"/>
  <c r="R49" i="23"/>
  <c r="R50" i="23"/>
  <c r="R44" i="23"/>
  <c r="R45" i="23"/>
  <c r="R46" i="23"/>
  <c r="R40" i="23"/>
  <c r="R41" i="23"/>
  <c r="R32" i="23"/>
  <c r="R33" i="23"/>
  <c r="R34" i="23"/>
  <c r="R29" i="23"/>
  <c r="R20" i="23"/>
  <c r="R21" i="23"/>
  <c r="R18" i="23"/>
  <c r="R14" i="23"/>
  <c r="R12" i="23"/>
  <c r="K74" i="22"/>
  <c r="N74" i="22"/>
  <c r="K73" i="22"/>
  <c r="N73" i="22"/>
  <c r="K72" i="22"/>
  <c r="N72" i="22"/>
  <c r="K71" i="22"/>
  <c r="N71" i="22"/>
  <c r="K70" i="22"/>
  <c r="N70" i="22"/>
  <c r="K69" i="22"/>
  <c r="N69" i="22"/>
  <c r="K68" i="22"/>
  <c r="N68" i="22"/>
  <c r="K67" i="22"/>
  <c r="N67" i="22"/>
  <c r="K66" i="22"/>
  <c r="N66" i="22"/>
  <c r="K65" i="22"/>
  <c r="N65" i="22"/>
  <c r="K64" i="22"/>
  <c r="N64" i="22"/>
  <c r="K63" i="22"/>
  <c r="N63" i="22"/>
  <c r="K62" i="22"/>
  <c r="N62" i="22"/>
  <c r="K61" i="22"/>
  <c r="N61" i="22"/>
  <c r="K60" i="22"/>
  <c r="N60" i="22"/>
  <c r="K59" i="22"/>
  <c r="N59" i="22"/>
  <c r="K58" i="22"/>
  <c r="N58" i="22"/>
  <c r="K57" i="22"/>
  <c r="N57" i="22"/>
  <c r="K56" i="22"/>
  <c r="N56" i="22"/>
  <c r="K52" i="22"/>
  <c r="N52" i="22"/>
  <c r="K51" i="22"/>
  <c r="N51" i="22"/>
  <c r="K50" i="22"/>
  <c r="N50" i="22"/>
  <c r="K49" i="22"/>
  <c r="N49" i="22"/>
  <c r="K47" i="22"/>
  <c r="N47" i="22"/>
  <c r="K46" i="22"/>
  <c r="N46" i="22"/>
  <c r="K45" i="22"/>
  <c r="N45" i="22"/>
  <c r="K44" i="22"/>
  <c r="N44" i="22"/>
  <c r="K42" i="22"/>
  <c r="N42" i="22"/>
  <c r="K39" i="22"/>
  <c r="N39" i="22"/>
  <c r="K38" i="22"/>
  <c r="N38" i="22"/>
  <c r="K37" i="22"/>
  <c r="N37" i="22"/>
  <c r="L151" i="21"/>
  <c r="M151" i="21"/>
  <c r="K149" i="21"/>
  <c r="L149" i="21"/>
  <c r="M149" i="21"/>
  <c r="L179" i="21"/>
  <c r="N149" i="21"/>
  <c r="J148" i="21"/>
  <c r="M148" i="21"/>
  <c r="J147" i="21"/>
  <c r="M147" i="21"/>
  <c r="J146" i="21"/>
  <c r="M146" i="21"/>
  <c r="J145" i="21"/>
  <c r="M145" i="21"/>
  <c r="J144" i="21"/>
  <c r="M144" i="21"/>
  <c r="J143" i="21"/>
  <c r="M143" i="21"/>
  <c r="J142" i="21"/>
  <c r="M142" i="21"/>
  <c r="J141" i="21"/>
  <c r="M141" i="21"/>
  <c r="J140" i="21"/>
  <c r="M140" i="21"/>
  <c r="M139" i="21"/>
  <c r="J138" i="21"/>
  <c r="M138" i="21"/>
  <c r="J137" i="21"/>
  <c r="M137" i="21"/>
  <c r="J136" i="21"/>
  <c r="M136" i="21"/>
  <c r="J135" i="21"/>
  <c r="M135" i="21"/>
  <c r="J134" i="21"/>
  <c r="M134" i="21"/>
  <c r="J133" i="21"/>
  <c r="M133" i="21"/>
  <c r="J132" i="21"/>
  <c r="M132" i="21"/>
  <c r="J131" i="21"/>
  <c r="M131" i="21"/>
  <c r="J130" i="21"/>
  <c r="M130" i="21"/>
  <c r="J129" i="21"/>
  <c r="M129" i="21"/>
  <c r="J128" i="21"/>
  <c r="M128" i="21"/>
  <c r="J127" i="21"/>
  <c r="M127" i="21"/>
  <c r="J126" i="21"/>
  <c r="M126" i="21"/>
  <c r="J125" i="21"/>
  <c r="M125" i="21"/>
  <c r="J123" i="21"/>
  <c r="M123" i="21"/>
  <c r="J124" i="21"/>
  <c r="M124" i="21"/>
  <c r="J122" i="21"/>
  <c r="M122" i="21"/>
  <c r="J121" i="21"/>
  <c r="M121" i="21"/>
  <c r="J120" i="21"/>
  <c r="M120" i="21"/>
  <c r="J119" i="21"/>
  <c r="M119" i="21"/>
  <c r="J118" i="21"/>
  <c r="M118" i="21"/>
  <c r="J117" i="21"/>
  <c r="M117" i="21"/>
  <c r="J116" i="21"/>
  <c r="M116" i="21"/>
  <c r="J115" i="21"/>
  <c r="M115" i="21"/>
  <c r="J114" i="21"/>
  <c r="M114" i="21"/>
  <c r="J113" i="21"/>
  <c r="M113" i="21"/>
  <c r="J112" i="21"/>
  <c r="M112" i="21"/>
  <c r="J111" i="21"/>
  <c r="M111" i="21"/>
  <c r="J110" i="21"/>
  <c r="M110" i="21"/>
  <c r="J109" i="21"/>
  <c r="M109" i="21"/>
  <c r="J108" i="21"/>
  <c r="M108" i="21"/>
  <c r="J107" i="21"/>
  <c r="M107" i="21"/>
  <c r="J106" i="21"/>
  <c r="M106" i="21"/>
  <c r="J105" i="21"/>
  <c r="M105" i="21"/>
  <c r="J104" i="21"/>
  <c r="M104" i="21"/>
  <c r="J103" i="21"/>
  <c r="M103" i="21"/>
  <c r="J102" i="21"/>
  <c r="M102" i="21"/>
  <c r="J101" i="21"/>
  <c r="M101" i="21"/>
  <c r="J100" i="21"/>
  <c r="M100" i="21"/>
  <c r="J99" i="21"/>
  <c r="M99" i="21"/>
  <c r="J98" i="21"/>
  <c r="M98" i="21"/>
  <c r="J97" i="21"/>
  <c r="M97" i="21"/>
  <c r="J96" i="21"/>
  <c r="M96" i="21"/>
  <c r="J95" i="21"/>
  <c r="M95" i="21"/>
  <c r="J94" i="21"/>
  <c r="M94" i="21"/>
  <c r="J93" i="21"/>
  <c r="M93" i="21"/>
  <c r="J92" i="21"/>
  <c r="M92" i="21"/>
  <c r="J91" i="21"/>
  <c r="M91" i="21"/>
  <c r="J90" i="21"/>
  <c r="M90" i="21"/>
  <c r="J89" i="21"/>
  <c r="M89" i="21"/>
  <c r="J88" i="21"/>
  <c r="M88" i="21"/>
  <c r="J87" i="21"/>
  <c r="M87" i="21"/>
  <c r="J86" i="21"/>
  <c r="M86" i="21"/>
  <c r="J85" i="21"/>
  <c r="M85" i="21"/>
  <c r="J84" i="21"/>
  <c r="M84" i="21"/>
  <c r="J83" i="21"/>
  <c r="M83" i="21"/>
  <c r="J82" i="21"/>
  <c r="M82" i="21"/>
  <c r="J81" i="21"/>
  <c r="M81" i="21"/>
  <c r="J80" i="21"/>
  <c r="M80" i="21"/>
  <c r="J79" i="21"/>
  <c r="M79" i="21"/>
  <c r="J77" i="21"/>
  <c r="M77" i="21"/>
  <c r="J75" i="21"/>
  <c r="M75" i="21"/>
  <c r="J72" i="21"/>
  <c r="M72" i="21"/>
  <c r="J71" i="21"/>
  <c r="M71" i="21"/>
  <c r="J68" i="21"/>
  <c r="M68" i="21"/>
  <c r="J67" i="21"/>
  <c r="M67" i="21"/>
  <c r="J66" i="21"/>
  <c r="M66" i="21"/>
  <c r="J65" i="21"/>
  <c r="M65" i="21"/>
  <c r="J64" i="21"/>
  <c r="M64" i="21"/>
  <c r="J63" i="21"/>
  <c r="M63" i="21"/>
  <c r="J62" i="21"/>
  <c r="M62" i="21"/>
  <c r="J61" i="21"/>
  <c r="M61" i="21"/>
  <c r="J60" i="21"/>
  <c r="M60" i="21"/>
  <c r="J59" i="21"/>
  <c r="M59" i="21"/>
  <c r="J58" i="21"/>
  <c r="M58" i="21"/>
  <c r="J57" i="21"/>
  <c r="M57" i="21"/>
  <c r="J56" i="21"/>
  <c r="M56" i="21"/>
  <c r="J50" i="21"/>
  <c r="M50" i="21"/>
  <c r="R212" i="23"/>
  <c r="R224" i="23"/>
  <c r="R192" i="23"/>
  <c r="Q189" i="23"/>
  <c r="R189" i="23"/>
  <c r="Q188" i="23"/>
  <c r="R188" i="23"/>
  <c r="Q187" i="23"/>
  <c r="R187" i="23"/>
  <c r="Q186" i="23"/>
  <c r="R186" i="23"/>
  <c r="Q185" i="23"/>
  <c r="R185" i="23"/>
  <c r="Q184" i="23"/>
  <c r="R184" i="23"/>
  <c r="Q183" i="23"/>
  <c r="R183" i="23"/>
  <c r="Q182" i="23"/>
  <c r="R182" i="23"/>
  <c r="Q181" i="23"/>
  <c r="R181" i="23"/>
  <c r="Q180" i="23"/>
  <c r="R180" i="23"/>
  <c r="Q179" i="23"/>
  <c r="R179" i="23"/>
  <c r="Q178" i="23"/>
  <c r="R178" i="23"/>
  <c r="Q177" i="23"/>
  <c r="R177" i="23"/>
  <c r="Q157" i="23"/>
  <c r="R157" i="23"/>
  <c r="R155" i="23"/>
  <c r="Q152" i="23"/>
  <c r="R152" i="23"/>
  <c r="R151" i="23"/>
  <c r="R148" i="23"/>
  <c r="R149" i="23"/>
  <c r="R150" i="23"/>
  <c r="M9" i="7"/>
  <c r="N9" i="7"/>
  <c r="O9" i="7"/>
  <c r="N137" i="23"/>
  <c r="Q137" i="23"/>
  <c r="N147" i="23"/>
  <c r="Q147" i="23"/>
  <c r="N145" i="23"/>
  <c r="Q145" i="23"/>
  <c r="N144" i="23"/>
  <c r="Q144" i="23"/>
  <c r="N143" i="23"/>
  <c r="Q143" i="23"/>
  <c r="N140" i="23"/>
  <c r="Q140" i="23"/>
  <c r="N139" i="23"/>
  <c r="Q139" i="23"/>
  <c r="N138" i="23"/>
  <c r="Q138" i="23"/>
  <c r="N123" i="23"/>
  <c r="Q123" i="23"/>
  <c r="N118" i="23"/>
  <c r="Q118" i="23"/>
  <c r="N117" i="23"/>
  <c r="Q117" i="23"/>
  <c r="N116" i="23"/>
  <c r="Q116" i="23"/>
  <c r="N115" i="23"/>
  <c r="Q115" i="23"/>
  <c r="N114" i="23"/>
  <c r="Q114" i="23"/>
  <c r="N102" i="23"/>
  <c r="Q102" i="23"/>
  <c r="N95" i="23"/>
  <c r="Q95" i="23"/>
  <c r="N74" i="23"/>
  <c r="Q74" i="23"/>
  <c r="N71" i="23"/>
  <c r="Q71" i="23"/>
  <c r="N70" i="23"/>
  <c r="Q70" i="23"/>
  <c r="N69" i="23"/>
  <c r="Q69" i="23"/>
  <c r="N68" i="23"/>
  <c r="Q68" i="23"/>
  <c r="N62" i="23"/>
  <c r="Q62" i="23"/>
  <c r="N57" i="23"/>
  <c r="Q57" i="23"/>
  <c r="N56" i="23"/>
  <c r="Q56" i="23"/>
  <c r="N54" i="23"/>
  <c r="Q54" i="23"/>
  <c r="N53" i="23"/>
  <c r="Q53" i="23"/>
  <c r="N52" i="23"/>
  <c r="Q52" i="23"/>
  <c r="N51" i="23"/>
  <c r="Q51" i="23"/>
  <c r="N48" i="23"/>
  <c r="Q48" i="23"/>
  <c r="N47" i="23"/>
  <c r="Q47" i="23"/>
  <c r="N43" i="23"/>
  <c r="Q43" i="23"/>
  <c r="N42" i="23"/>
  <c r="Q42" i="23"/>
  <c r="Q39" i="23"/>
  <c r="N38" i="23"/>
  <c r="Q38" i="23"/>
  <c r="N37" i="23"/>
  <c r="Q37" i="23"/>
  <c r="N36" i="23"/>
  <c r="Q36" i="23"/>
  <c r="N35" i="23"/>
  <c r="Q35" i="23"/>
  <c r="N31" i="23"/>
  <c r="Q31" i="23"/>
  <c r="N30" i="23"/>
  <c r="Q30" i="23"/>
  <c r="N28" i="23"/>
  <c r="Q28" i="23"/>
  <c r="N27" i="23"/>
  <c r="Q27" i="23"/>
  <c r="N26" i="23"/>
  <c r="Q26" i="23"/>
  <c r="N25" i="23"/>
  <c r="Q25" i="23"/>
  <c r="N24" i="23"/>
  <c r="Q24" i="23"/>
  <c r="N23" i="23"/>
  <c r="Q23" i="23"/>
  <c r="N22" i="23"/>
  <c r="Q22" i="23"/>
  <c r="N19" i="23"/>
  <c r="Q19" i="23"/>
  <c r="N17" i="23"/>
  <c r="Q17" i="23"/>
  <c r="N16" i="23"/>
  <c r="Q16" i="23"/>
  <c r="N15" i="23"/>
  <c r="Q15" i="23"/>
  <c r="N13" i="23"/>
  <c r="Q13" i="23"/>
  <c r="N11" i="23"/>
  <c r="Q11" i="23"/>
  <c r="N10" i="23"/>
  <c r="Q10" i="23"/>
  <c r="H8" i="14"/>
  <c r="H9" i="14"/>
  <c r="H10" i="14"/>
  <c r="H11" i="14"/>
  <c r="N8" i="14"/>
  <c r="M7" i="7"/>
  <c r="O165" i="22"/>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A216" i="23"/>
  <c r="A217" i="23"/>
  <c r="A218" i="23"/>
  <c r="A219" i="23"/>
  <c r="A220" i="23"/>
  <c r="A221" i="23"/>
  <c r="A222" i="23"/>
  <c r="A223" i="23"/>
  <c r="A224" i="23"/>
  <c r="A225" i="23"/>
  <c r="A226" i="23"/>
  <c r="A227" i="23"/>
  <c r="A228" i="23"/>
  <c r="A229" i="23"/>
  <c r="A230" i="23"/>
  <c r="A231" i="23"/>
  <c r="A232" i="23"/>
  <c r="A233" i="23"/>
  <c r="A234" i="23"/>
  <c r="A235" i="23"/>
  <c r="A236" i="23"/>
  <c r="A237" i="23"/>
  <c r="A238" i="23"/>
  <c r="A239" i="23"/>
  <c r="A240" i="23"/>
  <c r="A241" i="23"/>
  <c r="A242" i="23"/>
  <c r="A243" i="23"/>
  <c r="A244" i="23"/>
  <c r="A245" i="23"/>
  <c r="A246" i="23"/>
  <c r="A247" i="23"/>
  <c r="A248" i="23"/>
  <c r="A249" i="23"/>
  <c r="A250" i="23"/>
  <c r="A251" i="23"/>
  <c r="A252" i="23"/>
  <c r="A253" i="23"/>
  <c r="A254" i="23"/>
  <c r="A255" i="23"/>
  <c r="A256" i="23"/>
  <c r="A257" i="23"/>
  <c r="A258" i="23"/>
  <c r="A259" i="23"/>
  <c r="A260" i="23"/>
  <c r="A261" i="23"/>
  <c r="A262" i="23"/>
  <c r="A263" i="23"/>
  <c r="A264"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P266" i="22"/>
  <c r="P259" i="22"/>
  <c r="P224" i="22"/>
  <c r="P212" i="22"/>
  <c r="P206" i="22"/>
  <c r="P207" i="22"/>
  <c r="P200" i="22"/>
  <c r="P201" i="22"/>
  <c r="P202" i="22"/>
  <c r="P203" i="22"/>
  <c r="P188" i="22"/>
  <c r="P189" i="22"/>
  <c r="P190" i="22"/>
  <c r="P178" i="22"/>
  <c r="P179" i="22"/>
  <c r="P180" i="22"/>
  <c r="P181" i="22"/>
  <c r="P182" i="22"/>
  <c r="P183" i="22"/>
  <c r="P184" i="22"/>
  <c r="P185" i="22"/>
  <c r="P186" i="22"/>
  <c r="P175" i="22"/>
  <c r="P176" i="22"/>
  <c r="P172" i="22"/>
  <c r="P167" i="22"/>
  <c r="P168" i="22"/>
  <c r="P169" i="22"/>
  <c r="P170" i="22"/>
  <c r="P158" i="22"/>
  <c r="P159" i="22"/>
  <c r="P160" i="22"/>
  <c r="P161" i="22"/>
  <c r="P162" i="22"/>
  <c r="P163" i="22"/>
  <c r="P164" i="22"/>
  <c r="P156" i="22"/>
  <c r="P153" i="22"/>
  <c r="P150" i="22"/>
  <c r="P148" i="22"/>
  <c r="P136" i="22"/>
  <c r="P112" i="22"/>
  <c r="P100" i="22"/>
  <c r="P101" i="22"/>
  <c r="P84" i="22"/>
  <c r="P53" i="22"/>
  <c r="P54" i="22"/>
  <c r="P55" i="22"/>
  <c r="P48" i="22"/>
  <c r="P43" i="22"/>
  <c r="P40" i="22"/>
  <c r="P41" i="22"/>
  <c r="P28" i="22"/>
  <c r="P29" i="22"/>
  <c r="P30" i="22"/>
  <c r="P31" i="22"/>
  <c r="P32" i="22"/>
  <c r="P33" i="22"/>
  <c r="P34" i="22"/>
  <c r="P35" i="22"/>
  <c r="P26" i="22"/>
  <c r="P18" i="22"/>
  <c r="P13" i="22"/>
  <c r="L174" i="22"/>
  <c r="O174" i="22"/>
  <c r="R153" i="23"/>
  <c r="R154" i="23"/>
  <c r="R156" i="23"/>
  <c r="R158" i="23"/>
  <c r="R159" i="23"/>
  <c r="R160" i="23"/>
  <c r="R161" i="23"/>
  <c r="R162" i="23"/>
  <c r="R163" i="23"/>
  <c r="R164" i="23"/>
  <c r="R165" i="23"/>
  <c r="R166" i="23"/>
  <c r="R167" i="23"/>
  <c r="R168" i="23"/>
  <c r="R169" i="23"/>
  <c r="R170" i="23"/>
  <c r="R171" i="23"/>
  <c r="R172" i="23"/>
  <c r="R173" i="23"/>
  <c r="R174" i="23"/>
  <c r="R175" i="23"/>
  <c r="R176" i="23"/>
  <c r="H40" i="13"/>
  <c r="O166" i="22"/>
  <c r="L157" i="22"/>
  <c r="O157" i="22"/>
  <c r="L177" i="22"/>
  <c r="O177" i="22"/>
  <c r="L173" i="22"/>
  <c r="O173" i="22"/>
  <c r="L171" i="22"/>
  <c r="O171" i="22"/>
  <c r="J66" i="4"/>
  <c r="J68" i="4"/>
  <c r="J69" i="4"/>
  <c r="P66" i="4"/>
  <c r="L149" i="22"/>
  <c r="L151" i="22"/>
  <c r="L152" i="22"/>
  <c r="L154" i="22"/>
  <c r="L155" i="22"/>
  <c r="O155" i="22"/>
  <c r="O154" i="22"/>
  <c r="O152" i="22"/>
  <c r="O151" i="22"/>
  <c r="O149" i="22"/>
  <c r="O74" i="22"/>
  <c r="O73" i="22"/>
  <c r="O72" i="22"/>
  <c r="O71" i="22"/>
  <c r="O70" i="22"/>
  <c r="O69" i="22"/>
  <c r="O68" i="22"/>
  <c r="O67" i="22"/>
  <c r="O66" i="22"/>
  <c r="O65" i="22"/>
  <c r="O64" i="22"/>
  <c r="O63" i="22"/>
  <c r="O62" i="22"/>
  <c r="O61" i="22"/>
  <c r="O60" i="22"/>
  <c r="O59" i="22"/>
  <c r="O58" i="22"/>
  <c r="O57" i="22"/>
  <c r="O56" i="22"/>
  <c r="O52" i="22"/>
  <c r="O51" i="22"/>
  <c r="O50" i="22"/>
  <c r="O49" i="22"/>
  <c r="O47" i="22"/>
  <c r="O46" i="22"/>
  <c r="O45" i="22"/>
  <c r="O44" i="22"/>
  <c r="O42" i="22"/>
  <c r="O39" i="22"/>
  <c r="O38" i="22"/>
  <c r="O37" i="22"/>
  <c r="K36" i="22"/>
  <c r="N36" i="22"/>
  <c r="O36" i="22"/>
  <c r="K27" i="22"/>
  <c r="N27" i="22"/>
  <c r="O27" i="22"/>
  <c r="K25" i="22"/>
  <c r="N25" i="22"/>
  <c r="O25" i="22"/>
  <c r="K24" i="22"/>
  <c r="N24" i="22"/>
  <c r="O24" i="22"/>
  <c r="K23" i="22"/>
  <c r="N23" i="22"/>
  <c r="O23" i="22"/>
  <c r="K22" i="22"/>
  <c r="N22" i="22"/>
  <c r="O22" i="22"/>
  <c r="K21" i="22"/>
  <c r="N21" i="22"/>
  <c r="O21" i="22"/>
  <c r="K20" i="22"/>
  <c r="N20" i="22"/>
  <c r="O20" i="22"/>
  <c r="K19" i="22"/>
  <c r="N19" i="22"/>
  <c r="O19" i="22"/>
  <c r="K17" i="22"/>
  <c r="N17" i="22"/>
  <c r="O17" i="22"/>
  <c r="K16" i="22"/>
  <c r="N16" i="22"/>
  <c r="O16" i="22"/>
  <c r="K15" i="22"/>
  <c r="N15" i="22"/>
  <c r="O15" i="22"/>
  <c r="K14" i="22"/>
  <c r="N14" i="22"/>
  <c r="O14" i="22"/>
  <c r="K12" i="22"/>
  <c r="N12" i="22"/>
  <c r="O12" i="22"/>
  <c r="K11" i="22"/>
  <c r="N11" i="22"/>
  <c r="O11" i="22"/>
  <c r="K10" i="22"/>
  <c r="N10" i="22"/>
  <c r="O10" i="22"/>
  <c r="K140" i="22"/>
  <c r="N140" i="22"/>
  <c r="O140" i="22"/>
  <c r="Q150" i="15"/>
  <c r="S150" i="15"/>
  <c r="T150" i="15"/>
  <c r="P148" i="15"/>
  <c r="Q148" i="15"/>
  <c r="S148" i="15"/>
  <c r="N101" i="22"/>
  <c r="N100" i="22"/>
  <c r="J53" i="4"/>
  <c r="K147" i="22"/>
  <c r="N147" i="22"/>
  <c r="O147" i="22"/>
  <c r="K146" i="22"/>
  <c r="N146" i="22"/>
  <c r="O146" i="22"/>
  <c r="K145" i="22"/>
  <c r="N145" i="22"/>
  <c r="O145" i="22"/>
  <c r="K144" i="22"/>
  <c r="N144" i="22"/>
  <c r="O144" i="22"/>
  <c r="K143" i="22"/>
  <c r="N143" i="22"/>
  <c r="O143" i="22"/>
  <c r="K142" i="22"/>
  <c r="N142" i="22"/>
  <c r="O142" i="22"/>
  <c r="K141" i="22"/>
  <c r="N141" i="22"/>
  <c r="O141" i="22"/>
  <c r="K139" i="22"/>
  <c r="N139" i="22"/>
  <c r="O139" i="22"/>
  <c r="K138" i="22"/>
  <c r="N138" i="22"/>
  <c r="O138" i="22"/>
  <c r="K137" i="22"/>
  <c r="N137" i="22"/>
  <c r="O137" i="22"/>
  <c r="K135" i="22"/>
  <c r="N135" i="22"/>
  <c r="O135" i="22"/>
  <c r="K134" i="22"/>
  <c r="N134" i="22"/>
  <c r="O134" i="22"/>
  <c r="K133" i="22"/>
  <c r="N133" i="22"/>
  <c r="O133" i="22"/>
  <c r="K132" i="22"/>
  <c r="N132" i="22"/>
  <c r="O132" i="22"/>
  <c r="K131" i="22"/>
  <c r="N131" i="22"/>
  <c r="O131" i="22"/>
  <c r="K130" i="22"/>
  <c r="N130" i="22"/>
  <c r="O130" i="22"/>
  <c r="K129" i="22"/>
  <c r="N129" i="22"/>
  <c r="O129" i="22"/>
  <c r="K128" i="22"/>
  <c r="N128" i="22"/>
  <c r="O128" i="22"/>
  <c r="K127" i="22"/>
  <c r="N127" i="22"/>
  <c r="O127" i="22"/>
  <c r="K126" i="22"/>
  <c r="N126" i="22"/>
  <c r="O126" i="22"/>
  <c r="K125" i="22"/>
  <c r="N125" i="22"/>
  <c r="O125" i="22"/>
  <c r="K124" i="22"/>
  <c r="N124" i="22"/>
  <c r="O124" i="22"/>
  <c r="K123" i="22"/>
  <c r="N123" i="22"/>
  <c r="O123" i="22"/>
  <c r="K122" i="22"/>
  <c r="N122" i="22"/>
  <c r="O122" i="22"/>
  <c r="K121" i="22"/>
  <c r="N121" i="22"/>
  <c r="O121" i="22"/>
  <c r="K120" i="22"/>
  <c r="N120" i="22"/>
  <c r="O120" i="22"/>
  <c r="K119" i="22"/>
  <c r="N119" i="22"/>
  <c r="O119" i="22"/>
  <c r="K118" i="22"/>
  <c r="N118" i="22"/>
  <c r="O118" i="22"/>
  <c r="K117" i="22"/>
  <c r="N117" i="22"/>
  <c r="O117" i="22"/>
  <c r="K116" i="22"/>
  <c r="N116" i="22"/>
  <c r="O116" i="22"/>
  <c r="K115" i="22"/>
  <c r="N115" i="22"/>
  <c r="O115" i="22"/>
  <c r="K114" i="22"/>
  <c r="N114" i="22"/>
  <c r="O114" i="22"/>
  <c r="K113" i="22"/>
  <c r="N113" i="22"/>
  <c r="O113" i="22"/>
  <c r="K111" i="22"/>
  <c r="N111" i="22"/>
  <c r="O111" i="22"/>
  <c r="K110" i="22"/>
  <c r="N110" i="22"/>
  <c r="O110" i="22"/>
  <c r="K109" i="22"/>
  <c r="N109" i="22"/>
  <c r="O109" i="22"/>
  <c r="K108" i="22"/>
  <c r="N108" i="22"/>
  <c r="O108" i="22"/>
  <c r="K107" i="22"/>
  <c r="N107" i="22"/>
  <c r="O107" i="22"/>
  <c r="K106" i="22"/>
  <c r="N106" i="22"/>
  <c r="O106" i="22"/>
  <c r="K105" i="22"/>
  <c r="N105" i="22"/>
  <c r="O105" i="22"/>
  <c r="K104" i="22"/>
  <c r="N104" i="22"/>
  <c r="O104" i="22"/>
  <c r="K103" i="22"/>
  <c r="N103" i="22"/>
  <c r="O103" i="22"/>
  <c r="K102" i="22"/>
  <c r="N102" i="22"/>
  <c r="O102" i="22"/>
  <c r="K99" i="22"/>
  <c r="N99" i="22"/>
  <c r="O99" i="22"/>
  <c r="K98" i="22"/>
  <c r="N98" i="22"/>
  <c r="O98" i="22"/>
  <c r="K97" i="22"/>
  <c r="N97" i="22"/>
  <c r="O97" i="22"/>
  <c r="K96" i="22"/>
  <c r="N96" i="22"/>
  <c r="O96" i="22"/>
  <c r="K95" i="22"/>
  <c r="N95" i="22"/>
  <c r="O95" i="22"/>
  <c r="K94" i="22"/>
  <c r="N94" i="22"/>
  <c r="O94" i="22"/>
  <c r="K93" i="22"/>
  <c r="N93" i="22"/>
  <c r="O93" i="22"/>
  <c r="K92" i="22"/>
  <c r="N92" i="22"/>
  <c r="O92" i="22"/>
  <c r="K91" i="22"/>
  <c r="N91" i="22"/>
  <c r="O91" i="22"/>
  <c r="K90" i="22"/>
  <c r="N90" i="22"/>
  <c r="O90" i="22"/>
  <c r="K89" i="22"/>
  <c r="N89" i="22"/>
  <c r="O89" i="22"/>
  <c r="K88" i="22"/>
  <c r="N88" i="22"/>
  <c r="O88" i="22"/>
  <c r="K87" i="22"/>
  <c r="N87" i="22"/>
  <c r="O87" i="22"/>
  <c r="K86" i="22"/>
  <c r="N86" i="22"/>
  <c r="O86" i="22"/>
  <c r="K85" i="22"/>
  <c r="N85" i="22"/>
  <c r="O85" i="22"/>
  <c r="K83" i="22"/>
  <c r="N83" i="22"/>
  <c r="O83" i="22"/>
  <c r="K82" i="22"/>
  <c r="N82" i="22"/>
  <c r="O82" i="22"/>
  <c r="K81" i="22"/>
  <c r="N81" i="22"/>
  <c r="O81" i="22"/>
  <c r="K80" i="22"/>
  <c r="N80" i="22"/>
  <c r="O80" i="22"/>
  <c r="K79" i="22"/>
  <c r="N79" i="22"/>
  <c r="O79" i="22"/>
  <c r="K78" i="22"/>
  <c r="N78" i="22"/>
  <c r="O78" i="22"/>
  <c r="K77" i="22"/>
  <c r="N77" i="22"/>
  <c r="O77" i="22"/>
  <c r="K76" i="22"/>
  <c r="N76" i="22"/>
  <c r="O76" i="22"/>
  <c r="K75" i="22"/>
  <c r="N75" i="22"/>
  <c r="O75" i="22"/>
  <c r="J77" i="4"/>
  <c r="J80" i="4"/>
  <c r="J81" i="4"/>
  <c r="P77" i="4"/>
  <c r="J72" i="4"/>
  <c r="J73" i="4"/>
  <c r="J74" i="4"/>
  <c r="P72" i="4"/>
  <c r="J5" i="4"/>
  <c r="J4" i="4"/>
  <c r="J3" i="4"/>
  <c r="J2"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79" i="4"/>
  <c r="J78" i="4"/>
  <c r="J76" i="4"/>
  <c r="J75" i="4"/>
  <c r="J71" i="4"/>
  <c r="J70" i="4"/>
  <c r="J67" i="4"/>
  <c r="J65" i="4"/>
  <c r="J64" i="4"/>
  <c r="J63" i="4"/>
  <c r="J62" i="4"/>
  <c r="J61" i="4"/>
  <c r="J60" i="4"/>
  <c r="J59" i="4"/>
  <c r="J58" i="4"/>
  <c r="J57" i="4"/>
  <c r="J56" i="4"/>
  <c r="J55" i="4"/>
  <c r="J54" i="4"/>
  <c r="J52" i="4"/>
  <c r="J51" i="4"/>
  <c r="J50" i="4"/>
  <c r="J49" i="4"/>
  <c r="J48" i="4"/>
  <c r="J47" i="4"/>
  <c r="J46" i="4"/>
  <c r="N46" i="4"/>
  <c r="I92" i="7"/>
  <c r="I91" i="7"/>
  <c r="I90" i="7"/>
  <c r="I89" i="7"/>
  <c r="I88" i="7"/>
  <c r="I87" i="7"/>
  <c r="I86" i="7"/>
  <c r="I85" i="7"/>
  <c r="I84" i="7"/>
  <c r="I83" i="7"/>
  <c r="I82" i="7"/>
  <c r="I81" i="7"/>
  <c r="I80" i="7"/>
  <c r="I79" i="7"/>
  <c r="I77" i="7"/>
  <c r="I53" i="7"/>
  <c r="I52" i="7"/>
  <c r="I51" i="7"/>
  <c r="I50" i="7"/>
  <c r="I48" i="7"/>
  <c r="I47" i="7"/>
  <c r="I46" i="7"/>
  <c r="I45" i="7"/>
  <c r="I44" i="7"/>
  <c r="I43" i="7"/>
  <c r="I29" i="7"/>
  <c r="I26" i="7"/>
  <c r="I25" i="7"/>
  <c r="I24" i="7"/>
  <c r="I23" i="7"/>
  <c r="I6" i="7"/>
  <c r="I5" i="7"/>
  <c r="I4" i="7"/>
  <c r="I3" i="7"/>
  <c r="I2" i="7"/>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5" i="22"/>
  <c r="A236" i="22"/>
  <c r="A237" i="22"/>
  <c r="A238" i="22"/>
  <c r="A239" i="22"/>
  <c r="A240" i="22"/>
  <c r="A241" i="22"/>
  <c r="A242" i="22"/>
  <c r="A243" i="22"/>
  <c r="A244" i="22"/>
  <c r="A245" i="22"/>
  <c r="A246" i="22"/>
  <c r="A247" i="22"/>
  <c r="A248" i="22"/>
  <c r="A249" i="22"/>
  <c r="A250" i="22"/>
  <c r="A251" i="22"/>
  <c r="A252" i="22"/>
  <c r="A253" i="22"/>
  <c r="A254" i="22"/>
  <c r="A255" i="22"/>
  <c r="A256" i="22"/>
  <c r="A257" i="22"/>
  <c r="A258" i="22"/>
  <c r="A259" i="22"/>
  <c r="A260" i="22"/>
  <c r="A261" i="22"/>
  <c r="A262" i="22"/>
  <c r="A263" i="22"/>
  <c r="A264"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O266" i="21"/>
  <c r="O259" i="21"/>
  <c r="O251" i="21"/>
  <c r="O211" i="21"/>
  <c r="O212" i="21"/>
  <c r="O152" i="21"/>
  <c r="O153" i="21"/>
  <c r="O154" i="21"/>
  <c r="O155" i="21"/>
  <c r="O156" i="21"/>
  <c r="O157" i="21"/>
  <c r="O158" i="21"/>
  <c r="O159" i="21"/>
  <c r="O160" i="21"/>
  <c r="O161" i="21"/>
  <c r="O162" i="21"/>
  <c r="O163" i="21"/>
  <c r="O164" i="21"/>
  <c r="O165" i="21"/>
  <c r="O166" i="21"/>
  <c r="O167" i="21"/>
  <c r="O168" i="21"/>
  <c r="O169" i="21"/>
  <c r="O170" i="21"/>
  <c r="O171" i="21"/>
  <c r="O172" i="21"/>
  <c r="O173" i="21"/>
  <c r="O174" i="21"/>
  <c r="O175" i="21"/>
  <c r="O176" i="21"/>
  <c r="O177" i="21"/>
  <c r="O178" i="21"/>
  <c r="O150" i="21"/>
  <c r="O78" i="21"/>
  <c r="O76" i="21"/>
  <c r="O73" i="21"/>
  <c r="O74" i="21"/>
  <c r="O69" i="21"/>
  <c r="O70" i="21"/>
  <c r="O51" i="21"/>
  <c r="O52" i="21"/>
  <c r="O53" i="21"/>
  <c r="O54" i="21"/>
  <c r="O55"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18" i="21"/>
  <c r="O8" i="21"/>
  <c r="O9" i="21"/>
  <c r="O10" i="21"/>
  <c r="O11" i="21"/>
  <c r="O12" i="21"/>
  <c r="O13" i="21"/>
  <c r="O14" i="21"/>
  <c r="O15" i="21"/>
  <c r="K207" i="21"/>
  <c r="L207" i="21"/>
  <c r="M207" i="21"/>
  <c r="N207" i="21"/>
  <c r="K206" i="21"/>
  <c r="L206" i="21"/>
  <c r="M206" i="21"/>
  <c r="N206" i="21"/>
  <c r="K205" i="21"/>
  <c r="L205" i="21"/>
  <c r="M205" i="21"/>
  <c r="N205" i="21"/>
  <c r="K204" i="21"/>
  <c r="L204" i="21"/>
  <c r="M204" i="21"/>
  <c r="N204" i="21"/>
  <c r="K203" i="21"/>
  <c r="L203" i="21"/>
  <c r="M203" i="21"/>
  <c r="N203" i="21"/>
  <c r="K202" i="21"/>
  <c r="L202" i="21"/>
  <c r="M202" i="21"/>
  <c r="N202" i="21"/>
  <c r="K201" i="21"/>
  <c r="L201" i="21"/>
  <c r="M201" i="21"/>
  <c r="N201" i="21"/>
  <c r="K200" i="21"/>
  <c r="L200" i="21"/>
  <c r="M200" i="21"/>
  <c r="N200" i="21"/>
  <c r="K199" i="21"/>
  <c r="L199" i="21"/>
  <c r="M199" i="21"/>
  <c r="N199" i="21"/>
  <c r="K198" i="21"/>
  <c r="L198" i="21"/>
  <c r="M198" i="21"/>
  <c r="N198" i="21"/>
  <c r="K197" i="21"/>
  <c r="L197" i="21"/>
  <c r="M197" i="21"/>
  <c r="N197" i="21"/>
  <c r="K196" i="21"/>
  <c r="L196" i="21"/>
  <c r="M196" i="21"/>
  <c r="N196" i="21"/>
  <c r="K195" i="21"/>
  <c r="L195" i="21"/>
  <c r="M195" i="21"/>
  <c r="N195" i="21"/>
  <c r="K194" i="21"/>
  <c r="L194" i="21"/>
  <c r="M194" i="21"/>
  <c r="N194" i="21"/>
  <c r="K193" i="21"/>
  <c r="L193" i="21"/>
  <c r="M193" i="21"/>
  <c r="N193" i="21"/>
  <c r="K192" i="21"/>
  <c r="L192" i="21"/>
  <c r="M192" i="21"/>
  <c r="N192" i="21"/>
  <c r="K191" i="21"/>
  <c r="L191" i="21"/>
  <c r="M191" i="21"/>
  <c r="N191" i="21"/>
  <c r="K190" i="21"/>
  <c r="L190" i="21"/>
  <c r="M190" i="21"/>
  <c r="N190" i="21"/>
  <c r="K189" i="21"/>
  <c r="L189" i="21"/>
  <c r="M189" i="21"/>
  <c r="N189" i="21"/>
  <c r="K188" i="21"/>
  <c r="L188" i="21"/>
  <c r="M188" i="21"/>
  <c r="N188" i="21"/>
  <c r="K187" i="21"/>
  <c r="L187" i="21"/>
  <c r="M187" i="21"/>
  <c r="N187" i="21"/>
  <c r="K186" i="21"/>
  <c r="L186" i="21"/>
  <c r="M186" i="21"/>
  <c r="N186" i="21"/>
  <c r="K185" i="21"/>
  <c r="L185" i="21"/>
  <c r="M185" i="21"/>
  <c r="N185" i="21"/>
  <c r="K184" i="21"/>
  <c r="L184" i="21"/>
  <c r="M184" i="21"/>
  <c r="N184" i="21"/>
  <c r="K183" i="21"/>
  <c r="L183" i="21"/>
  <c r="M183" i="21"/>
  <c r="N183" i="21"/>
  <c r="K182" i="21"/>
  <c r="L182" i="21"/>
  <c r="M182" i="21"/>
  <c r="N182" i="21"/>
  <c r="K181" i="21"/>
  <c r="L181" i="21"/>
  <c r="M181" i="21"/>
  <c r="N181" i="21"/>
  <c r="K180" i="21"/>
  <c r="L180" i="21"/>
  <c r="M180" i="21"/>
  <c r="N180" i="21"/>
  <c r="M179" i="21"/>
  <c r="N179" i="21"/>
  <c r="N151" i="21"/>
  <c r="T148" i="15"/>
  <c r="N148" i="21"/>
  <c r="N147" i="21"/>
  <c r="N146" i="21"/>
  <c r="N145" i="21"/>
  <c r="N144" i="21"/>
  <c r="N143" i="21"/>
  <c r="N142" i="21"/>
  <c r="N141" i="21"/>
  <c r="N140" i="21"/>
  <c r="N139" i="21"/>
  <c r="N138" i="21"/>
  <c r="N137" i="21"/>
  <c r="N136" i="21"/>
  <c r="N135" i="21"/>
  <c r="N134" i="21"/>
  <c r="N133" i="21"/>
  <c r="N132" i="21"/>
  <c r="N131" i="21"/>
  <c r="N130" i="21"/>
  <c r="N129" i="21"/>
  <c r="N128" i="21"/>
  <c r="N127" i="21"/>
  <c r="N126" i="21"/>
  <c r="N125" i="21"/>
  <c r="N124" i="21"/>
  <c r="N123" i="21"/>
  <c r="N122" i="21"/>
  <c r="N121" i="21"/>
  <c r="N120" i="21"/>
  <c r="N119" i="21"/>
  <c r="N118" i="21"/>
  <c r="N117" i="21"/>
  <c r="N116" i="21"/>
  <c r="N115" i="21"/>
  <c r="N114" i="21"/>
  <c r="N113" i="21"/>
  <c r="N112" i="21"/>
  <c r="N111" i="21"/>
  <c r="N110" i="21"/>
  <c r="N109" i="21"/>
  <c r="N108" i="21"/>
  <c r="N107" i="21"/>
  <c r="N106" i="21"/>
  <c r="N105" i="21"/>
  <c r="N104" i="21"/>
  <c r="N103" i="21"/>
  <c r="N102" i="21"/>
  <c r="N101" i="21"/>
  <c r="N100" i="21"/>
  <c r="N99" i="21"/>
  <c r="N98" i="21"/>
  <c r="N97" i="21"/>
  <c r="N96" i="21"/>
  <c r="N95" i="21"/>
  <c r="N94" i="21"/>
  <c r="N93" i="21"/>
  <c r="N92" i="21"/>
  <c r="N91" i="21"/>
  <c r="N90" i="21"/>
  <c r="N89" i="21"/>
  <c r="N88" i="21"/>
  <c r="N87" i="21"/>
  <c r="N86" i="21"/>
  <c r="N85" i="21"/>
  <c r="N84" i="21"/>
  <c r="N83" i="21"/>
  <c r="N82" i="21"/>
  <c r="N81" i="21"/>
  <c r="N80" i="21"/>
  <c r="N79" i="21"/>
  <c r="N77" i="21"/>
  <c r="N75" i="21"/>
  <c r="N72" i="21"/>
  <c r="N71" i="21"/>
  <c r="N68" i="21"/>
  <c r="N67" i="21"/>
  <c r="N66" i="21"/>
  <c r="N65" i="21"/>
  <c r="N64" i="21"/>
  <c r="N63" i="21"/>
  <c r="N62" i="21"/>
  <c r="N61" i="21"/>
  <c r="N60" i="21"/>
  <c r="N59" i="21"/>
  <c r="N58" i="21"/>
  <c r="N57" i="21"/>
  <c r="N56" i="21"/>
  <c r="N50" i="21"/>
  <c r="J20" i="21"/>
  <c r="M20" i="21"/>
  <c r="N20" i="21"/>
  <c r="J19" i="21"/>
  <c r="M19" i="21"/>
  <c r="N19" i="21"/>
  <c r="J17" i="21"/>
  <c r="M17" i="21"/>
  <c r="N17" i="21"/>
  <c r="J16" i="21"/>
  <c r="M16" i="21"/>
  <c r="N16" i="21"/>
  <c r="J7" i="21"/>
  <c r="M7" i="21"/>
  <c r="N7" i="21"/>
  <c r="P11" i="15"/>
  <c r="T11" i="15"/>
  <c r="U11" i="15"/>
  <c r="H3" i="14"/>
  <c r="N274" i="16"/>
  <c r="N381" i="16"/>
  <c r="N378" i="16"/>
  <c r="J376" i="16"/>
  <c r="J277" i="16"/>
  <c r="J276" i="16"/>
  <c r="J275" i="16"/>
  <c r="J274" i="16"/>
  <c r="O274" i="16"/>
  <c r="J381" i="16"/>
  <c r="O381" i="16"/>
  <c r="J380" i="16"/>
  <c r="J379" i="16"/>
  <c r="J378" i="16"/>
  <c r="O378" i="16"/>
  <c r="J377" i="16"/>
  <c r="J375" i="16"/>
  <c r="O375" i="16"/>
  <c r="J273" i="16"/>
  <c r="J272" i="16"/>
  <c r="J271" i="16"/>
  <c r="J270" i="16"/>
  <c r="J269" i="16"/>
  <c r="J268" i="16"/>
  <c r="J267" i="16"/>
  <c r="J266" i="16"/>
  <c r="J265" i="16"/>
  <c r="J264" i="16"/>
  <c r="J263"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199" i="16"/>
  <c r="J194"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J5" i="16"/>
  <c r="J4" i="16"/>
  <c r="J3" i="16"/>
  <c r="J2" i="16"/>
  <c r="J288" i="16"/>
  <c r="J287" i="16"/>
  <c r="J286" i="16"/>
  <c r="J285" i="16"/>
  <c r="J284" i="16"/>
  <c r="J283" i="16"/>
  <c r="J282" i="16"/>
  <c r="J280" i="16"/>
  <c r="J279" i="16"/>
  <c r="J278" i="16"/>
  <c r="J262" i="16"/>
  <c r="J2930" i="16"/>
  <c r="J2929" i="16"/>
  <c r="J2928" i="16"/>
  <c r="J2927" i="16"/>
  <c r="J2926" i="16"/>
  <c r="J2925" i="16"/>
  <c r="J2924" i="16"/>
  <c r="J2923" i="16"/>
  <c r="J2922" i="16"/>
  <c r="J2921" i="16"/>
  <c r="J2920" i="16"/>
  <c r="J2919" i="16"/>
  <c r="J2918" i="16"/>
  <c r="J2917" i="16"/>
  <c r="J2916" i="16"/>
  <c r="J2915" i="16"/>
  <c r="J2914" i="16"/>
  <c r="J2913" i="16"/>
  <c r="J2912" i="16"/>
  <c r="J2911" i="16"/>
  <c r="J2910" i="16"/>
  <c r="J2909" i="16"/>
  <c r="J2908" i="16"/>
  <c r="J2907" i="16"/>
  <c r="J2906" i="16"/>
  <c r="J2905" i="16"/>
  <c r="J2904" i="16"/>
  <c r="J2903" i="16"/>
  <c r="J2902" i="16"/>
  <c r="J2901" i="16"/>
  <c r="J2900" i="16"/>
  <c r="J2899" i="16"/>
  <c r="J2898" i="16"/>
  <c r="J2897" i="16"/>
  <c r="J2896" i="16"/>
  <c r="J2895" i="16"/>
  <c r="J2894" i="16"/>
  <c r="J2893" i="16"/>
  <c r="J2892" i="16"/>
  <c r="J2891" i="16"/>
  <c r="J2890" i="16"/>
  <c r="J2840" i="16"/>
  <c r="J2839" i="16"/>
  <c r="J2838" i="16"/>
  <c r="J2837" i="16"/>
  <c r="J2836" i="16"/>
  <c r="J2889" i="16"/>
  <c r="J2888" i="16"/>
  <c r="J2887" i="16"/>
  <c r="J2886" i="16"/>
  <c r="J2885" i="16"/>
  <c r="J2884" i="16"/>
  <c r="J2883" i="16"/>
  <c r="J2882" i="16"/>
  <c r="J2881" i="16"/>
  <c r="J2880" i="16"/>
  <c r="J2879" i="16"/>
  <c r="J2878" i="16"/>
  <c r="J2877" i="16"/>
  <c r="J2876" i="16"/>
  <c r="J2875" i="16"/>
  <c r="J2874" i="16"/>
  <c r="J2873" i="16"/>
  <c r="J2872" i="16"/>
  <c r="J2871" i="16"/>
  <c r="J2870" i="16"/>
  <c r="J2869" i="16"/>
  <c r="J2868" i="16"/>
  <c r="J2867" i="16"/>
  <c r="J2866" i="16"/>
  <c r="J2865" i="16"/>
  <c r="J2864" i="16"/>
  <c r="J2863" i="16"/>
  <c r="J2862" i="16"/>
  <c r="J2861" i="16"/>
  <c r="J2860" i="16"/>
  <c r="J2859" i="16"/>
  <c r="J2858" i="16"/>
  <c r="J2857" i="16"/>
  <c r="J2856" i="16"/>
  <c r="J2855" i="16"/>
  <c r="J2854" i="16"/>
  <c r="J2853" i="16"/>
  <c r="J2852" i="16"/>
  <c r="J2851" i="16"/>
  <c r="J2850" i="16"/>
  <c r="J2849" i="16"/>
  <c r="J2848" i="16"/>
  <c r="J2847" i="16"/>
  <c r="J2846" i="16"/>
  <c r="J2845" i="16"/>
  <c r="J2844" i="16"/>
  <c r="J2843" i="16"/>
  <c r="J2842" i="16"/>
  <c r="J2841" i="16"/>
  <c r="J2835" i="16"/>
  <c r="J2834" i="16"/>
  <c r="J2833" i="16"/>
  <c r="J2832" i="16"/>
  <c r="J2831" i="16"/>
  <c r="J2830" i="16"/>
  <c r="J2829" i="16"/>
  <c r="J2828" i="16"/>
  <c r="J2827" i="16"/>
  <c r="J2826" i="16"/>
  <c r="J2825" i="16"/>
  <c r="J2824" i="16"/>
  <c r="J2823" i="16"/>
  <c r="J2822" i="16"/>
  <c r="J2821" i="16"/>
  <c r="J2820" i="16"/>
  <c r="J2819" i="16"/>
  <c r="J2818" i="16"/>
  <c r="J2817" i="16"/>
  <c r="J2816" i="16"/>
  <c r="J2815" i="16"/>
  <c r="J2814" i="16"/>
  <c r="J2813" i="16"/>
  <c r="J2812" i="16"/>
  <c r="J2811" i="16"/>
  <c r="J2810" i="16"/>
  <c r="J2809" i="16"/>
  <c r="J2808" i="16"/>
  <c r="J2807" i="16"/>
  <c r="J2806" i="16"/>
  <c r="J2805" i="16"/>
  <c r="J2804" i="16"/>
  <c r="J2803" i="16"/>
  <c r="J2802" i="16"/>
  <c r="J2801" i="16"/>
  <c r="J2800" i="16"/>
  <c r="J2799" i="16"/>
  <c r="J2798" i="16"/>
  <c r="J2797" i="16"/>
  <c r="J2796" i="16"/>
  <c r="J2795" i="16"/>
  <c r="J2794" i="16"/>
  <c r="J2793" i="16"/>
  <c r="J2792" i="16"/>
  <c r="J2791" i="16"/>
  <c r="J2790" i="16"/>
  <c r="J2789" i="16"/>
  <c r="J2788" i="16"/>
  <c r="J2787" i="16"/>
  <c r="J2786" i="16"/>
  <c r="J2785" i="16"/>
  <c r="J2784" i="16"/>
  <c r="J2783" i="16"/>
  <c r="J2782" i="16"/>
  <c r="J2781" i="16"/>
  <c r="J2780" i="16"/>
  <c r="J2779" i="16"/>
  <c r="J2778" i="16"/>
  <c r="J2777" i="16"/>
  <c r="J2776" i="16"/>
  <c r="J2775" i="16"/>
  <c r="J2774" i="16"/>
  <c r="J2773" i="16"/>
  <c r="J2772" i="16"/>
  <c r="J2771" i="16"/>
  <c r="J2770" i="16"/>
  <c r="J2769" i="16"/>
  <c r="J2768" i="16"/>
  <c r="J2767" i="16"/>
  <c r="J2766" i="16"/>
  <c r="J2765" i="16"/>
  <c r="J2764" i="16"/>
  <c r="J2763" i="16"/>
  <c r="J2762" i="16"/>
  <c r="J2761" i="16"/>
  <c r="J2760" i="16"/>
  <c r="J2759" i="16"/>
  <c r="J2758" i="16"/>
  <c r="J2757" i="16"/>
  <c r="J2756" i="16"/>
  <c r="J2755" i="16"/>
  <c r="J2754" i="16"/>
  <c r="J2753" i="16"/>
  <c r="J2752" i="16"/>
  <c r="J2751" i="16"/>
  <c r="J2750" i="16"/>
  <c r="J2749" i="16"/>
  <c r="J2748" i="16"/>
  <c r="J2747" i="16"/>
  <c r="J2746" i="16"/>
  <c r="J2745" i="16"/>
  <c r="J2744" i="16"/>
  <c r="J2743" i="16"/>
  <c r="J2742" i="16"/>
  <c r="J2741" i="16"/>
  <c r="J2740" i="16"/>
  <c r="J2739" i="16"/>
  <c r="J2738" i="16"/>
  <c r="J2737" i="16"/>
  <c r="J2736" i="16"/>
  <c r="J2735" i="16"/>
  <c r="J2734" i="16"/>
  <c r="J2733" i="16"/>
  <c r="J2732" i="16"/>
  <c r="J2731" i="16"/>
  <c r="J2730" i="16"/>
  <c r="J2729" i="16"/>
  <c r="J2728" i="16"/>
  <c r="J2727" i="16"/>
  <c r="J2726" i="16"/>
  <c r="J2725" i="16"/>
  <c r="J2724" i="16"/>
  <c r="J2723" i="16"/>
  <c r="J2722" i="16"/>
  <c r="J2721" i="16"/>
  <c r="J2720" i="16"/>
  <c r="J2719" i="16"/>
  <c r="J2718" i="16"/>
  <c r="J2717" i="16"/>
  <c r="J2716" i="16"/>
  <c r="J2715" i="16"/>
  <c r="J2714" i="16"/>
  <c r="J2713" i="16"/>
  <c r="J2712" i="16"/>
  <c r="J2711" i="16"/>
  <c r="J2710" i="16"/>
  <c r="J2709" i="16"/>
  <c r="J2708" i="16"/>
  <c r="J2707" i="16"/>
  <c r="J2706" i="16"/>
  <c r="J2705" i="16"/>
  <c r="J2704" i="16"/>
  <c r="J2703" i="16"/>
  <c r="J2702" i="16"/>
  <c r="J2701" i="16"/>
  <c r="J2700" i="16"/>
  <c r="J2699" i="16"/>
  <c r="J2698" i="16"/>
  <c r="J2697" i="16"/>
  <c r="J2696" i="16"/>
  <c r="J2695" i="16"/>
  <c r="J2694" i="16"/>
  <c r="J2693" i="16"/>
  <c r="J2692" i="16"/>
  <c r="J2691" i="16"/>
  <c r="J2690" i="16"/>
  <c r="J2689" i="16"/>
  <c r="J2688" i="16"/>
  <c r="J2687" i="16"/>
  <c r="J2684" i="16"/>
  <c r="J2683" i="16"/>
  <c r="J2682" i="16"/>
  <c r="J2681" i="16"/>
  <c r="J2680" i="16"/>
  <c r="J2679" i="16"/>
  <c r="J2678" i="16"/>
  <c r="J2677" i="16"/>
  <c r="J2676" i="16"/>
  <c r="J2675" i="16"/>
  <c r="J2674" i="16"/>
  <c r="J2673" i="16"/>
  <c r="J2672" i="16"/>
  <c r="J2671" i="16"/>
  <c r="J2670" i="16"/>
  <c r="J2669" i="16"/>
  <c r="J2668" i="16"/>
  <c r="J2667" i="16"/>
  <c r="J2666" i="16"/>
  <c r="J2665" i="16"/>
  <c r="J2664" i="16"/>
  <c r="J2663" i="16"/>
  <c r="J2662" i="16"/>
  <c r="J2661" i="16"/>
  <c r="J2660" i="16"/>
  <c r="J2659" i="16"/>
  <c r="J2658" i="16"/>
  <c r="J2657" i="16"/>
  <c r="J2656" i="16"/>
  <c r="J2655" i="16"/>
  <c r="J2654" i="16"/>
  <c r="J2653" i="16"/>
  <c r="J2652" i="16"/>
  <c r="J2651" i="16"/>
  <c r="J2650" i="16"/>
  <c r="J2649" i="16"/>
  <c r="J2648" i="16"/>
  <c r="J2647" i="16"/>
  <c r="J2646" i="16"/>
  <c r="J2645" i="16"/>
  <c r="J2644" i="16"/>
  <c r="J2643" i="16"/>
  <c r="J2642" i="16"/>
  <c r="J2641" i="16"/>
  <c r="J2640" i="16"/>
  <c r="J2639" i="16"/>
  <c r="J2638" i="16"/>
  <c r="J2637" i="16"/>
  <c r="J2636" i="16"/>
  <c r="J2635" i="16"/>
  <c r="J2634" i="16"/>
  <c r="J2633" i="16"/>
  <c r="J2632" i="16"/>
  <c r="J2631" i="16"/>
  <c r="J2630" i="16"/>
  <c r="J2629" i="16"/>
  <c r="J2628" i="16"/>
  <c r="J2627" i="16"/>
  <c r="J2626" i="16"/>
  <c r="J2625" i="16"/>
  <c r="J2624" i="16"/>
  <c r="J2623" i="16"/>
  <c r="J2622" i="16"/>
  <c r="J2621" i="16"/>
  <c r="J2620" i="16"/>
  <c r="J2619" i="16"/>
  <c r="J2618" i="16"/>
  <c r="J2617" i="16"/>
  <c r="J2616" i="16"/>
  <c r="J2615" i="16"/>
  <c r="J2614" i="16"/>
  <c r="J2613" i="16"/>
  <c r="J2612" i="16"/>
  <c r="J2611" i="16"/>
  <c r="J2610" i="16"/>
  <c r="J2609" i="16"/>
  <c r="J2608" i="16"/>
  <c r="J2607" i="16"/>
  <c r="J2606" i="16"/>
  <c r="J2605" i="16"/>
  <c r="J2604" i="16"/>
  <c r="J2603" i="16"/>
  <c r="J2602" i="16"/>
  <c r="J2601" i="16"/>
  <c r="J2600" i="16"/>
  <c r="J2599" i="16"/>
  <c r="J2598" i="16"/>
  <c r="J2597" i="16"/>
  <c r="J2596" i="16"/>
  <c r="J2595" i="16"/>
  <c r="J2594" i="16"/>
  <c r="J2593" i="16"/>
  <c r="J2592" i="16"/>
  <c r="J2591" i="16"/>
  <c r="J2590" i="16"/>
  <c r="J2589" i="16"/>
  <c r="J2588" i="16"/>
  <c r="J2587" i="16"/>
  <c r="J2586" i="16"/>
  <c r="J2585" i="16"/>
  <c r="J2584" i="16"/>
  <c r="J2583" i="16"/>
  <c r="J2582" i="16"/>
  <c r="J2581" i="16"/>
  <c r="J2580" i="16"/>
  <c r="J2579" i="16"/>
  <c r="J2578" i="16"/>
  <c r="J2577" i="16"/>
  <c r="J2576" i="16"/>
  <c r="J2575" i="16"/>
  <c r="J2574" i="16"/>
  <c r="J2573" i="16"/>
  <c r="J2572" i="16"/>
  <c r="J2571" i="16"/>
  <c r="J2570" i="16"/>
  <c r="J2569" i="16"/>
  <c r="J2568" i="16"/>
  <c r="J2567" i="16"/>
  <c r="J2566" i="16"/>
  <c r="J2565" i="16"/>
  <c r="J2564" i="16"/>
  <c r="J2563" i="16"/>
  <c r="J2562" i="16"/>
  <c r="J2561" i="16"/>
  <c r="J2560" i="16"/>
  <c r="J2559" i="16"/>
  <c r="J2558" i="16"/>
  <c r="J2557" i="16"/>
  <c r="J2556" i="16"/>
  <c r="J2555" i="16"/>
  <c r="J2554" i="16"/>
  <c r="J2553" i="16"/>
  <c r="J2552" i="16"/>
  <c r="J2551" i="16"/>
  <c r="J2550" i="16"/>
  <c r="J2549" i="16"/>
  <c r="J2548" i="16"/>
  <c r="J2547" i="16"/>
  <c r="J2546" i="16"/>
  <c r="J2545" i="16"/>
  <c r="J2544" i="16"/>
  <c r="J2543" i="16"/>
  <c r="J2542" i="16"/>
  <c r="J2541" i="16"/>
  <c r="J2540" i="16"/>
  <c r="J2539" i="16"/>
  <c r="J2538" i="16"/>
  <c r="J2537" i="16"/>
  <c r="J2536" i="16"/>
  <c r="J2535" i="16"/>
  <c r="J2534" i="16"/>
  <c r="J2533" i="16"/>
  <c r="J2532" i="16"/>
  <c r="J2531" i="16"/>
  <c r="J2530" i="16"/>
  <c r="J2529" i="16"/>
  <c r="J2528" i="16"/>
  <c r="J2527" i="16"/>
  <c r="J2526" i="16"/>
  <c r="J2525" i="16"/>
  <c r="J2524" i="16"/>
  <c r="J2523" i="16"/>
  <c r="J2522" i="16"/>
  <c r="J2521" i="16"/>
  <c r="J2520" i="16"/>
  <c r="J2519" i="16"/>
  <c r="J2518" i="16"/>
  <c r="J2517" i="16"/>
  <c r="J2516" i="16"/>
  <c r="J2515" i="16"/>
  <c r="J2514" i="16"/>
  <c r="J2513" i="16"/>
  <c r="J2512" i="16"/>
  <c r="J2511" i="16"/>
  <c r="J2510" i="16"/>
  <c r="J2509" i="16"/>
  <c r="J2508" i="16"/>
  <c r="J2507" i="16"/>
  <c r="J2506" i="16"/>
  <c r="J2505" i="16"/>
  <c r="J2504" i="16"/>
  <c r="J2503" i="16"/>
  <c r="J2502" i="16"/>
  <c r="J2501" i="16"/>
  <c r="J2500" i="16"/>
  <c r="J2499" i="16"/>
  <c r="J2498" i="16"/>
  <c r="J2497" i="16"/>
  <c r="J2496" i="16"/>
  <c r="J2495" i="16"/>
  <c r="J2494" i="16"/>
  <c r="J2493" i="16"/>
  <c r="J2492" i="16"/>
  <c r="J2491" i="16"/>
  <c r="J2490" i="16"/>
  <c r="J2489" i="16"/>
  <c r="J2488" i="16"/>
  <c r="J2487" i="16"/>
  <c r="J2486" i="16"/>
  <c r="J2485" i="16"/>
  <c r="J2484" i="16"/>
  <c r="J2483" i="16"/>
  <c r="J2482" i="16"/>
  <c r="J2481" i="16"/>
  <c r="J2480" i="16"/>
  <c r="J2479" i="16"/>
  <c r="J2478" i="16"/>
  <c r="J2477" i="16"/>
  <c r="J2476" i="16"/>
  <c r="J2475" i="16"/>
  <c r="J2474" i="16"/>
  <c r="J2473" i="16"/>
  <c r="J2472" i="16"/>
  <c r="J2471" i="16"/>
  <c r="J2470" i="16"/>
  <c r="J2469" i="16"/>
  <c r="J2468" i="16"/>
  <c r="J2467" i="16"/>
  <c r="J2466" i="16"/>
  <c r="J2465" i="16"/>
  <c r="J2464" i="16"/>
  <c r="J2463" i="16"/>
  <c r="J2462" i="16"/>
  <c r="J2461" i="16"/>
  <c r="J2460" i="16"/>
  <c r="J2459" i="16"/>
  <c r="J2458" i="16"/>
  <c r="J2457" i="16"/>
  <c r="J2456" i="16"/>
  <c r="J2455" i="16"/>
  <c r="J2454" i="16"/>
  <c r="J2453" i="16"/>
  <c r="J2452" i="16"/>
  <c r="J2451" i="16"/>
  <c r="J2450" i="16"/>
  <c r="J2449" i="16"/>
  <c r="J2448" i="16"/>
  <c r="J2447" i="16"/>
  <c r="J2446" i="16"/>
  <c r="J2445" i="16"/>
  <c r="J2444" i="16"/>
  <c r="J2443" i="16"/>
  <c r="J2442" i="16"/>
  <c r="J2441" i="16"/>
  <c r="J2440" i="16"/>
  <c r="J2439" i="16"/>
  <c r="J2438" i="16"/>
  <c r="J2437" i="16"/>
  <c r="J2436" i="16"/>
  <c r="J2435" i="16"/>
  <c r="J2434" i="16"/>
  <c r="J2433" i="16"/>
  <c r="J2432" i="16"/>
  <c r="J2431" i="16"/>
  <c r="J2430" i="16"/>
  <c r="J2429" i="16"/>
  <c r="J2428" i="16"/>
  <c r="J2427" i="16"/>
  <c r="J2426" i="16"/>
  <c r="J2425" i="16"/>
  <c r="J2424" i="16"/>
  <c r="J2423" i="16"/>
  <c r="J2422" i="16"/>
  <c r="J2421" i="16"/>
  <c r="J2420" i="16"/>
  <c r="J2419" i="16"/>
  <c r="J2418" i="16"/>
  <c r="J2417" i="16"/>
  <c r="J2416" i="16"/>
  <c r="J2415" i="16"/>
  <c r="J2414" i="16"/>
  <c r="J2413" i="16"/>
  <c r="J2412" i="16"/>
  <c r="J2411" i="16"/>
  <c r="J2410" i="16"/>
  <c r="J2409" i="16"/>
  <c r="J2408" i="16"/>
  <c r="J2407" i="16"/>
  <c r="J2406" i="16"/>
  <c r="J2405" i="16"/>
  <c r="J2404" i="16"/>
  <c r="J2403" i="16"/>
  <c r="J2402" i="16"/>
  <c r="J2401" i="16"/>
  <c r="J2400" i="16"/>
  <c r="J2399" i="16"/>
  <c r="J2398" i="16"/>
  <c r="J2397" i="16"/>
  <c r="J2396" i="16"/>
  <c r="J2395" i="16"/>
  <c r="J2394" i="16"/>
  <c r="J2393" i="16"/>
  <c r="J2392" i="16"/>
  <c r="J2391" i="16"/>
  <c r="J2390" i="16"/>
  <c r="J2389" i="16"/>
  <c r="J2388" i="16"/>
  <c r="J2387" i="16"/>
  <c r="J2386" i="16"/>
  <c r="J2385" i="16"/>
  <c r="J2384" i="16"/>
  <c r="J2383" i="16"/>
  <c r="J2382" i="16"/>
  <c r="J2381" i="16"/>
  <c r="J2380" i="16"/>
  <c r="J2379" i="16"/>
  <c r="J2378" i="16"/>
  <c r="J2377" i="16"/>
  <c r="J2376" i="16"/>
  <c r="J2375" i="16"/>
  <c r="J2374" i="16"/>
  <c r="J2373" i="16"/>
  <c r="J2372" i="16"/>
  <c r="J2371" i="16"/>
  <c r="J2370" i="16"/>
  <c r="J2369" i="16"/>
  <c r="J2368" i="16"/>
  <c r="J2367" i="16"/>
  <c r="J2366" i="16"/>
  <c r="J2365" i="16"/>
  <c r="J2364" i="16"/>
  <c r="J2363" i="16"/>
  <c r="J2362" i="16"/>
  <c r="J2361" i="16"/>
  <c r="J2360" i="16"/>
  <c r="J2359" i="16"/>
  <c r="J2358" i="16"/>
  <c r="J2357" i="16"/>
  <c r="J2356" i="16"/>
  <c r="J2355" i="16"/>
  <c r="J2354" i="16"/>
  <c r="J2353" i="16"/>
  <c r="J2352" i="16"/>
  <c r="J2351" i="16"/>
  <c r="J2350" i="16"/>
  <c r="J2349" i="16"/>
  <c r="J2348" i="16"/>
  <c r="J2347" i="16"/>
  <c r="J2346" i="16"/>
  <c r="J2345" i="16"/>
  <c r="J2344" i="16"/>
  <c r="J2343" i="16"/>
  <c r="J2342" i="16"/>
  <c r="J2341" i="16"/>
  <c r="J2340" i="16"/>
  <c r="J2339" i="16"/>
  <c r="J2338" i="16"/>
  <c r="J2337" i="16"/>
  <c r="J2336" i="16"/>
  <c r="J2335" i="16"/>
  <c r="J2334" i="16"/>
  <c r="J2333" i="16"/>
  <c r="J2332" i="16"/>
  <c r="J2331" i="16"/>
  <c r="J2330" i="16"/>
  <c r="J2329" i="16"/>
  <c r="J2328" i="16"/>
  <c r="J2327" i="16"/>
  <c r="J2326" i="16"/>
  <c r="J2325" i="16"/>
  <c r="J2324" i="16"/>
  <c r="J2323" i="16"/>
  <c r="J2322" i="16"/>
  <c r="J2321" i="16"/>
  <c r="J2320" i="16"/>
  <c r="J2319" i="16"/>
  <c r="J2318" i="16"/>
  <c r="J2317" i="16"/>
  <c r="J2316" i="16"/>
  <c r="J2315" i="16"/>
  <c r="J2314" i="16"/>
  <c r="J2313" i="16"/>
  <c r="J2312" i="16"/>
  <c r="J2311" i="16"/>
  <c r="J2310" i="16"/>
  <c r="J2309" i="16"/>
  <c r="J2308" i="16"/>
  <c r="J2307" i="16"/>
  <c r="J2306" i="16"/>
  <c r="J2305" i="16"/>
  <c r="J2304" i="16"/>
  <c r="J2303" i="16"/>
  <c r="J2302" i="16"/>
  <c r="J2301" i="16"/>
  <c r="J2300" i="16"/>
  <c r="J2299" i="16"/>
  <c r="J2298" i="16"/>
  <c r="J2297" i="16"/>
  <c r="J2296" i="16"/>
  <c r="J2295" i="16"/>
  <c r="J2294" i="16"/>
  <c r="J2293" i="16"/>
  <c r="J2292" i="16"/>
  <c r="J2291" i="16"/>
  <c r="J2290" i="16"/>
  <c r="J2289" i="16"/>
  <c r="J2288" i="16"/>
  <c r="J2287" i="16"/>
  <c r="J2286" i="16"/>
  <c r="J2285" i="16"/>
  <c r="J2284" i="16"/>
  <c r="J2283" i="16"/>
  <c r="J2282" i="16"/>
  <c r="J2281" i="16"/>
  <c r="J2280" i="16"/>
  <c r="J2279" i="16"/>
  <c r="J2278" i="16"/>
  <c r="J2277" i="16"/>
  <c r="J2276" i="16"/>
  <c r="J2275" i="16"/>
  <c r="J2274" i="16"/>
  <c r="J2273" i="16"/>
  <c r="J2272" i="16"/>
  <c r="J2271" i="16"/>
  <c r="J2270" i="16"/>
  <c r="J2269" i="16"/>
  <c r="J2268" i="16"/>
  <c r="J2267" i="16"/>
  <c r="J2266" i="16"/>
  <c r="J2265" i="16"/>
  <c r="J2264" i="16"/>
  <c r="J2263" i="16"/>
  <c r="J2262" i="16"/>
  <c r="J2261" i="16"/>
  <c r="J2260" i="16"/>
  <c r="J2259" i="16"/>
  <c r="J2258" i="16"/>
  <c r="J2257" i="16"/>
  <c r="J2256" i="16"/>
  <c r="J2255" i="16"/>
  <c r="J2254" i="16"/>
  <c r="J2253" i="16"/>
  <c r="J2252" i="16"/>
  <c r="J2251" i="16"/>
  <c r="J2250" i="16"/>
  <c r="J2249" i="16"/>
  <c r="J2248" i="16"/>
  <c r="J2247" i="16"/>
  <c r="J2246" i="16"/>
  <c r="J2245" i="16"/>
  <c r="J2244" i="16"/>
  <c r="J2243" i="16"/>
  <c r="J2242" i="16"/>
  <c r="J2241" i="16"/>
  <c r="J2240" i="16"/>
  <c r="J2239" i="16"/>
  <c r="J2238" i="16"/>
  <c r="J2237" i="16"/>
  <c r="J2236" i="16"/>
  <c r="J2235" i="16"/>
  <c r="J2234" i="16"/>
  <c r="J2233" i="16"/>
  <c r="J2232" i="16"/>
  <c r="J2231" i="16"/>
  <c r="J2230" i="16"/>
  <c r="J2225" i="16"/>
  <c r="J2224" i="16"/>
  <c r="J2222" i="16"/>
  <c r="J2221" i="16"/>
  <c r="J2220" i="16"/>
  <c r="J2219" i="16"/>
  <c r="J2218" i="16"/>
  <c r="J2217" i="16"/>
  <c r="J2216" i="16"/>
  <c r="J2215" i="16"/>
  <c r="J2214" i="16"/>
  <c r="J2213" i="16"/>
  <c r="J2212" i="16"/>
  <c r="J2211" i="16"/>
  <c r="J2210" i="16"/>
  <c r="J2205" i="16"/>
  <c r="J2204" i="16"/>
  <c r="J2203" i="16"/>
  <c r="J2200" i="16"/>
  <c r="J2199" i="16"/>
  <c r="J2198" i="16"/>
  <c r="J2197" i="16"/>
  <c r="J2196" i="16"/>
  <c r="J2195" i="16"/>
  <c r="J2194" i="16"/>
  <c r="J2193" i="16"/>
  <c r="J2192" i="16"/>
  <c r="J2191" i="16"/>
  <c r="J2190" i="16"/>
  <c r="J2189" i="16"/>
  <c r="J2188" i="16"/>
  <c r="J2187" i="16"/>
  <c r="J2186" i="16"/>
  <c r="J2229" i="16"/>
  <c r="J2228" i="16"/>
  <c r="J2227" i="16"/>
  <c r="J2226" i="16"/>
  <c r="J2223" i="16"/>
  <c r="J2209" i="16"/>
  <c r="J2208" i="16"/>
  <c r="J2207" i="16"/>
  <c r="J2206" i="16"/>
  <c r="J2202" i="16"/>
  <c r="J2201" i="16"/>
  <c r="J2185" i="16"/>
  <c r="J2184" i="16"/>
  <c r="J2183" i="16"/>
  <c r="J2182" i="16"/>
  <c r="J2181" i="16"/>
  <c r="J2180" i="16"/>
  <c r="J2179" i="16"/>
  <c r="J2178" i="16"/>
  <c r="J2177" i="16"/>
  <c r="J2176" i="16"/>
  <c r="J2175" i="16"/>
  <c r="J2174" i="16"/>
  <c r="J2173" i="16"/>
  <c r="J2172" i="16"/>
  <c r="J2171" i="16"/>
  <c r="J2170" i="16"/>
  <c r="J2169" i="16"/>
  <c r="J2168" i="16"/>
  <c r="J2167" i="16"/>
  <c r="J2166" i="16"/>
  <c r="J2165" i="16"/>
  <c r="J2164" i="16"/>
  <c r="J2163" i="16"/>
  <c r="J2162" i="16"/>
  <c r="J2161" i="16"/>
  <c r="J2160" i="16"/>
  <c r="J2159" i="16"/>
  <c r="J2158" i="16"/>
  <c r="J2157" i="16"/>
  <c r="J2156" i="16"/>
  <c r="J2155" i="16"/>
  <c r="J2154" i="16"/>
  <c r="J2153" i="16"/>
  <c r="J2152" i="16"/>
  <c r="J2151" i="16"/>
  <c r="J2150" i="16"/>
  <c r="J2149" i="16"/>
  <c r="J2148" i="16"/>
  <c r="J2147" i="16"/>
  <c r="J2146" i="16"/>
  <c r="J2145" i="16"/>
  <c r="J2144" i="16"/>
  <c r="J2143" i="16"/>
  <c r="J2142" i="16"/>
  <c r="J2141" i="16"/>
  <c r="J2140" i="16"/>
  <c r="J2139" i="16"/>
  <c r="J2138" i="16"/>
  <c r="J2137" i="16"/>
  <c r="J2136" i="16"/>
  <c r="J2135" i="16"/>
  <c r="J2134" i="16"/>
  <c r="J2133" i="16"/>
  <c r="J2132" i="16"/>
  <c r="J2131" i="16"/>
  <c r="J2130" i="16"/>
  <c r="J2129" i="16"/>
  <c r="J2128" i="16"/>
  <c r="J2127" i="16"/>
  <c r="J2126" i="16"/>
  <c r="J2125" i="16"/>
  <c r="J2124" i="16"/>
  <c r="J2123" i="16"/>
  <c r="J2122" i="16"/>
  <c r="J2121" i="16"/>
  <c r="J2120" i="16"/>
  <c r="J2119" i="16"/>
  <c r="J2117" i="16"/>
  <c r="J2116" i="16"/>
  <c r="J2115" i="16"/>
  <c r="J2114" i="16"/>
  <c r="J2113" i="16"/>
  <c r="J2112" i="16"/>
  <c r="J2111" i="16"/>
  <c r="J2110" i="16"/>
  <c r="J2109" i="16"/>
  <c r="J2108" i="16"/>
  <c r="J2107" i="16"/>
  <c r="J2106" i="16"/>
  <c r="J2105" i="16"/>
  <c r="J2104" i="16"/>
  <c r="J2103" i="16"/>
  <c r="J2102" i="16"/>
  <c r="J2101" i="16"/>
  <c r="J2100" i="16"/>
  <c r="J2099" i="16"/>
  <c r="J2098" i="16"/>
  <c r="J2097" i="16"/>
  <c r="J2096" i="16"/>
  <c r="J2095" i="16"/>
  <c r="J2094" i="16"/>
  <c r="J2093" i="16"/>
  <c r="J2092" i="16"/>
  <c r="J2091" i="16"/>
  <c r="J2090" i="16"/>
  <c r="J2089" i="16"/>
  <c r="J2088" i="16"/>
  <c r="J2087" i="16"/>
  <c r="J2086" i="16"/>
  <c r="J2085" i="16"/>
  <c r="J2084" i="16"/>
  <c r="J2083" i="16"/>
  <c r="J2082" i="16"/>
  <c r="J2081" i="16"/>
  <c r="J2080" i="16"/>
  <c r="J2079" i="16"/>
  <c r="J2078" i="16"/>
  <c r="J2077" i="16"/>
  <c r="J2076" i="16"/>
  <c r="J2075" i="16"/>
  <c r="J2074" i="16"/>
  <c r="J2073" i="16"/>
  <c r="J2072" i="16"/>
  <c r="J2071" i="16"/>
  <c r="J2070" i="16"/>
  <c r="J2069" i="16"/>
  <c r="J2068" i="16"/>
  <c r="J2067" i="16"/>
  <c r="J2066" i="16"/>
  <c r="J2065" i="16"/>
  <c r="J2064" i="16"/>
  <c r="J2063" i="16"/>
  <c r="J2062" i="16"/>
  <c r="J2061" i="16"/>
  <c r="J2060" i="16"/>
  <c r="J2059" i="16"/>
  <c r="J2058" i="16"/>
  <c r="J2057" i="16"/>
  <c r="J2056" i="16"/>
  <c r="J2055" i="16"/>
  <c r="J2054" i="16"/>
  <c r="J2053" i="16"/>
  <c r="J2052" i="16"/>
  <c r="J2051" i="16"/>
  <c r="J2050" i="16"/>
  <c r="J2049" i="16"/>
  <c r="J2048" i="16"/>
  <c r="J2047" i="16"/>
  <c r="J2046" i="16"/>
  <c r="J2045" i="16"/>
  <c r="J2044" i="16"/>
  <c r="J2043" i="16"/>
  <c r="J2042" i="16"/>
  <c r="J2041" i="16"/>
  <c r="J2040" i="16"/>
  <c r="J2039" i="16"/>
  <c r="J2038" i="16"/>
  <c r="J2037" i="16"/>
  <c r="J2036" i="16"/>
  <c r="J2035" i="16"/>
  <c r="J2034" i="16"/>
  <c r="J2033" i="16"/>
  <c r="J2032" i="16"/>
  <c r="J2031" i="16"/>
  <c r="J2030" i="16"/>
  <c r="J2029" i="16"/>
  <c r="J2028" i="16"/>
  <c r="J2027" i="16"/>
  <c r="J2026" i="16"/>
  <c r="J2025" i="16"/>
  <c r="J2024" i="16"/>
  <c r="J2023" i="16"/>
  <c r="J2022" i="16"/>
  <c r="J2021" i="16"/>
  <c r="J2020" i="16"/>
  <c r="J2019" i="16"/>
  <c r="J2018" i="16"/>
  <c r="J2017" i="16"/>
  <c r="J2016" i="16"/>
  <c r="J2015" i="16"/>
  <c r="J2014" i="16"/>
  <c r="J2013" i="16"/>
  <c r="J2012" i="16"/>
  <c r="J2011" i="16"/>
  <c r="J2010" i="16"/>
  <c r="J2009" i="16"/>
  <c r="J2008" i="16"/>
  <c r="J2007" i="16"/>
  <c r="J2006" i="16"/>
  <c r="J2005" i="16"/>
  <c r="J2004" i="16"/>
  <c r="J2003" i="16"/>
  <c r="J2002" i="16"/>
  <c r="J2001" i="16"/>
  <c r="J2000" i="16"/>
  <c r="J1999" i="16"/>
  <c r="J1998" i="16"/>
  <c r="J1997" i="16"/>
  <c r="J1996" i="16"/>
  <c r="J1995" i="16"/>
  <c r="J1994" i="16"/>
  <c r="J1993" i="16"/>
  <c r="J1992" i="16"/>
  <c r="J1991" i="16"/>
  <c r="J1990" i="16"/>
  <c r="J1989" i="16"/>
  <c r="J1988" i="16"/>
  <c r="J1987" i="16"/>
  <c r="J1986" i="16"/>
  <c r="J1985" i="16"/>
  <c r="J1984" i="16"/>
  <c r="J1983" i="16"/>
  <c r="J1982" i="16"/>
  <c r="J1981" i="16"/>
  <c r="J1980" i="16"/>
  <c r="J1979" i="16"/>
  <c r="J1978" i="16"/>
  <c r="J1977" i="16"/>
  <c r="J1976" i="16"/>
  <c r="J1975" i="16"/>
  <c r="J1974" i="16"/>
  <c r="J1973" i="16"/>
  <c r="J1972" i="16"/>
  <c r="J1971" i="16"/>
  <c r="J1970" i="16"/>
  <c r="J1969" i="16"/>
  <c r="J1968" i="16"/>
  <c r="J1967" i="16"/>
  <c r="J1966" i="16"/>
  <c r="J1965" i="16"/>
  <c r="J1964" i="16"/>
  <c r="J1963" i="16"/>
  <c r="J1962" i="16"/>
  <c r="J1961" i="16"/>
  <c r="J1960" i="16"/>
  <c r="J1959" i="16"/>
  <c r="J1958" i="16"/>
  <c r="J1957" i="16"/>
  <c r="J1956" i="16"/>
  <c r="J1955" i="16"/>
  <c r="J1954" i="16"/>
  <c r="J1953" i="16"/>
  <c r="J1952" i="16"/>
  <c r="J1951" i="16"/>
  <c r="J1950" i="16"/>
  <c r="J1949" i="16"/>
  <c r="J1948" i="16"/>
  <c r="J1947" i="16"/>
  <c r="J1946" i="16"/>
  <c r="J1945" i="16"/>
  <c r="J1944" i="16"/>
  <c r="J1943" i="16"/>
  <c r="J1942" i="16"/>
  <c r="J1941" i="16"/>
  <c r="J1940" i="16"/>
  <c r="J1939" i="16"/>
  <c r="J1938" i="16"/>
  <c r="J1937" i="16"/>
  <c r="J1936" i="16"/>
  <c r="J1935" i="16"/>
  <c r="J1934" i="16"/>
  <c r="J1933" i="16"/>
  <c r="J1932" i="16"/>
  <c r="J1931" i="16"/>
  <c r="J1930" i="16"/>
  <c r="J1929" i="16"/>
  <c r="J1928" i="16"/>
  <c r="J1927" i="16"/>
  <c r="J1926" i="16"/>
  <c r="J1925" i="16"/>
  <c r="J1924" i="16"/>
  <c r="J1923" i="16"/>
  <c r="J1922" i="16"/>
  <c r="J1921" i="16"/>
  <c r="J1920" i="16"/>
  <c r="J1919" i="16"/>
  <c r="J1918" i="16"/>
  <c r="J1917" i="16"/>
  <c r="J1916" i="16"/>
  <c r="J1915" i="16"/>
  <c r="J1914" i="16"/>
  <c r="J1913" i="16"/>
  <c r="J1912" i="16"/>
  <c r="J1911" i="16"/>
  <c r="J1910" i="16"/>
  <c r="J1909" i="16"/>
  <c r="J1908" i="16"/>
  <c r="J1907" i="16"/>
  <c r="J1906" i="16"/>
  <c r="J1905" i="16"/>
  <c r="J1904" i="16"/>
  <c r="J1903" i="16"/>
  <c r="J1902" i="16"/>
  <c r="J1901" i="16"/>
  <c r="J1900" i="16"/>
  <c r="J1899" i="16"/>
  <c r="J1898" i="16"/>
  <c r="J1897" i="16"/>
  <c r="J1896" i="16"/>
  <c r="J1895" i="16"/>
  <c r="J1894" i="16"/>
  <c r="J1893" i="16"/>
  <c r="J1892" i="16"/>
  <c r="J1891" i="16"/>
  <c r="J1890" i="16"/>
  <c r="J1889" i="16"/>
  <c r="J1888" i="16"/>
  <c r="J1887" i="16"/>
  <c r="J1886" i="16"/>
  <c r="J1885" i="16"/>
  <c r="J1884" i="16"/>
  <c r="J1883" i="16"/>
  <c r="J1882" i="16"/>
  <c r="J1881" i="16"/>
  <c r="J1880" i="16"/>
  <c r="J1879" i="16"/>
  <c r="J1878" i="16"/>
  <c r="J1877" i="16"/>
  <c r="J1876" i="16"/>
  <c r="J1875" i="16"/>
  <c r="J1874" i="16"/>
  <c r="J1873" i="16"/>
  <c r="J1872" i="16"/>
  <c r="J1871" i="16"/>
  <c r="J1870" i="16"/>
  <c r="J1869" i="16"/>
  <c r="J1868" i="16"/>
  <c r="J1867" i="16"/>
  <c r="J1866" i="16"/>
  <c r="J1865" i="16"/>
  <c r="J1864" i="16"/>
  <c r="J1863" i="16"/>
  <c r="J1862" i="16"/>
  <c r="J1861" i="16"/>
  <c r="J1860" i="16"/>
  <c r="J1859" i="16"/>
  <c r="J1858" i="16"/>
  <c r="J1857" i="16"/>
  <c r="J1856" i="16"/>
  <c r="J1855" i="16"/>
  <c r="J1854" i="16"/>
  <c r="J1853" i="16"/>
  <c r="J1852" i="16"/>
  <c r="J1851" i="16"/>
  <c r="J1850" i="16"/>
  <c r="J1849" i="16"/>
  <c r="J1848" i="16"/>
  <c r="J1847" i="16"/>
  <c r="J1846" i="16"/>
  <c r="J1845" i="16"/>
  <c r="J1844" i="16"/>
  <c r="J1843" i="16"/>
  <c r="J1842" i="16"/>
  <c r="J1841" i="16"/>
  <c r="J1840" i="16"/>
  <c r="J1839" i="16"/>
  <c r="J1838" i="16"/>
  <c r="J1837" i="16"/>
  <c r="J1836" i="16"/>
  <c r="J1835" i="16"/>
  <c r="J1834" i="16"/>
  <c r="J1833" i="16"/>
  <c r="J1832" i="16"/>
  <c r="J1831" i="16"/>
  <c r="J1830" i="16"/>
  <c r="J1829" i="16"/>
  <c r="J1828" i="16"/>
  <c r="J1827" i="16"/>
  <c r="J1826" i="16"/>
  <c r="J1825" i="16"/>
  <c r="J1824" i="16"/>
  <c r="J1823" i="16"/>
  <c r="J1822" i="16"/>
  <c r="J1821" i="16"/>
  <c r="J1820" i="16"/>
  <c r="J1819" i="16"/>
  <c r="J1818" i="16"/>
  <c r="J1817" i="16"/>
  <c r="J1816" i="16"/>
  <c r="J1815" i="16"/>
  <c r="J1814" i="16"/>
  <c r="J1813" i="16"/>
  <c r="J1812" i="16"/>
  <c r="J1811" i="16"/>
  <c r="J1810" i="16"/>
  <c r="J1809" i="16"/>
  <c r="J1808" i="16"/>
  <c r="J1807" i="16"/>
  <c r="J1806" i="16"/>
  <c r="J1805" i="16"/>
  <c r="J1804" i="16"/>
  <c r="J1803" i="16"/>
  <c r="J1802" i="16"/>
  <c r="J1801" i="16"/>
  <c r="J1800" i="16"/>
  <c r="J1799" i="16"/>
  <c r="J1798" i="16"/>
  <c r="J1797" i="16"/>
  <c r="J1796" i="16"/>
  <c r="J1795" i="16"/>
  <c r="J1794" i="16"/>
  <c r="J1793" i="16"/>
  <c r="J1792" i="16"/>
  <c r="J1791" i="16"/>
  <c r="J1790" i="16"/>
  <c r="J1789" i="16"/>
  <c r="J1788" i="16"/>
  <c r="J1787" i="16"/>
  <c r="J1786" i="16"/>
  <c r="J1785" i="16"/>
  <c r="J1784" i="16"/>
  <c r="J1783" i="16"/>
  <c r="J1782" i="16"/>
  <c r="J1781" i="16"/>
  <c r="J1780" i="16"/>
  <c r="J1779" i="16"/>
  <c r="J1778" i="16"/>
  <c r="J1777" i="16"/>
  <c r="J1776" i="16"/>
  <c r="J1775" i="16"/>
  <c r="J1774" i="16"/>
  <c r="J1773" i="16"/>
  <c r="J1772" i="16"/>
  <c r="J1771" i="16"/>
  <c r="J1770" i="16"/>
  <c r="J1769" i="16"/>
  <c r="J1768" i="16"/>
  <c r="J1767" i="16"/>
  <c r="J1766" i="16"/>
  <c r="J1765" i="16"/>
  <c r="J1764" i="16"/>
  <c r="J1763" i="16"/>
  <c r="J1762" i="16"/>
  <c r="J1761" i="16"/>
  <c r="J1760" i="16"/>
  <c r="J1759" i="16"/>
  <c r="J1758" i="16"/>
  <c r="J1757" i="16"/>
  <c r="J1756" i="16"/>
  <c r="J1755" i="16"/>
  <c r="J1754" i="16"/>
  <c r="J1753" i="16"/>
  <c r="J1752" i="16"/>
  <c r="J1751" i="16"/>
  <c r="J1750" i="16"/>
  <c r="J1749" i="16"/>
  <c r="J1748" i="16"/>
  <c r="J1747" i="16"/>
  <c r="J1746" i="16"/>
  <c r="J1745" i="16"/>
  <c r="J1744" i="16"/>
  <c r="J1743" i="16"/>
  <c r="J1742" i="16"/>
  <c r="J1741" i="16"/>
  <c r="J1740" i="16"/>
  <c r="J1739" i="16"/>
  <c r="J1738" i="16"/>
  <c r="J1737" i="16"/>
  <c r="J1736" i="16"/>
  <c r="J1735" i="16"/>
  <c r="J1734" i="16"/>
  <c r="J1733" i="16"/>
  <c r="J1732" i="16"/>
  <c r="J1731" i="16"/>
  <c r="J1730" i="16"/>
  <c r="J1729" i="16"/>
  <c r="J1728" i="16"/>
  <c r="J1727" i="16"/>
  <c r="J1726" i="16"/>
  <c r="J1725" i="16"/>
  <c r="J1724" i="16"/>
  <c r="J1723" i="16"/>
  <c r="J1722" i="16"/>
  <c r="J1721" i="16"/>
  <c r="J1720" i="16"/>
  <c r="J1719" i="16"/>
  <c r="J1718" i="16"/>
  <c r="J1717" i="16"/>
  <c r="J1716" i="16"/>
  <c r="J1715" i="16"/>
  <c r="J1714" i="16"/>
  <c r="J1713" i="16"/>
  <c r="J1712" i="16"/>
  <c r="J1711" i="16"/>
  <c r="J1710" i="16"/>
  <c r="J1709" i="16"/>
  <c r="J1708" i="16"/>
  <c r="J1707" i="16"/>
  <c r="J1706" i="16"/>
  <c r="J1705" i="16"/>
  <c r="J1704" i="16"/>
  <c r="J1684" i="16"/>
  <c r="J1683" i="16"/>
  <c r="J1679" i="16"/>
  <c r="J1678" i="16"/>
  <c r="J1677" i="16"/>
  <c r="J1676" i="16"/>
  <c r="J1675" i="16"/>
  <c r="J1674" i="16"/>
  <c r="J1673" i="16"/>
  <c r="J1672" i="16"/>
  <c r="J1671" i="16"/>
  <c r="J1670" i="16"/>
  <c r="J1669" i="16"/>
  <c r="J1668" i="16"/>
  <c r="J1667" i="16"/>
  <c r="J1666" i="16"/>
  <c r="J1664" i="16"/>
  <c r="J1663" i="16"/>
  <c r="J1662" i="16"/>
  <c r="J1661" i="16"/>
  <c r="J1658" i="16"/>
  <c r="J1657" i="16"/>
  <c r="J1656" i="16"/>
  <c r="J1655" i="16"/>
  <c r="J1654" i="16"/>
  <c r="J1653" i="16"/>
  <c r="J1652" i="16"/>
  <c r="J1651" i="16"/>
  <c r="J1650" i="16"/>
  <c r="J1649" i="16"/>
  <c r="J1648" i="16"/>
  <c r="J1647" i="16"/>
  <c r="J1646" i="16"/>
  <c r="J1645" i="16"/>
  <c r="J1644" i="16"/>
  <c r="J1643" i="16"/>
  <c r="J1703" i="16"/>
  <c r="J1702" i="16"/>
  <c r="J1701" i="16"/>
  <c r="J1700" i="16"/>
  <c r="J1699" i="16"/>
  <c r="J1698" i="16"/>
  <c r="J1697" i="16"/>
  <c r="J1696" i="16"/>
  <c r="J1695" i="16"/>
  <c r="J1694" i="16"/>
  <c r="J1693" i="16"/>
  <c r="J1692" i="16"/>
  <c r="J1691" i="16"/>
  <c r="J1690" i="16"/>
  <c r="J1689" i="16"/>
  <c r="J1688" i="16"/>
  <c r="J1687" i="16"/>
  <c r="J1686" i="16"/>
  <c r="J1685" i="16"/>
  <c r="J1682" i="16"/>
  <c r="J1681" i="16"/>
  <c r="J1680" i="16"/>
  <c r="J1665" i="16"/>
  <c r="J1660" i="16"/>
  <c r="J1659" i="16"/>
  <c r="J1642" i="16"/>
  <c r="J1641" i="16"/>
  <c r="J1640" i="16"/>
  <c r="J1639" i="16"/>
  <c r="J1638" i="16"/>
  <c r="J1637" i="16"/>
  <c r="J1636" i="16"/>
  <c r="J1635" i="16"/>
  <c r="J1634" i="16"/>
  <c r="J1633" i="16"/>
  <c r="J1632" i="16"/>
  <c r="J1631" i="16"/>
  <c r="J1630" i="16"/>
  <c r="J1629" i="16"/>
  <c r="J1628" i="16"/>
  <c r="J1627" i="16"/>
  <c r="J1626" i="16"/>
  <c r="J1625" i="16"/>
  <c r="J1624" i="16"/>
  <c r="J1623" i="16"/>
  <c r="J1622" i="16"/>
  <c r="J1621" i="16"/>
  <c r="J1620" i="16"/>
  <c r="J1619" i="16"/>
  <c r="J1618" i="16"/>
  <c r="J1617" i="16"/>
  <c r="J1616" i="16"/>
  <c r="J1615" i="16"/>
  <c r="J1614" i="16"/>
  <c r="J1613" i="16"/>
  <c r="J1612" i="16"/>
  <c r="J1611" i="16"/>
  <c r="J1610" i="16"/>
  <c r="J2118" i="16"/>
  <c r="J1609" i="16"/>
  <c r="J1608" i="16"/>
  <c r="J1607" i="16"/>
  <c r="J1606" i="16"/>
  <c r="J1605" i="16"/>
  <c r="J1604" i="16"/>
  <c r="J1603" i="16"/>
  <c r="J1602" i="16"/>
  <c r="J1601" i="16"/>
  <c r="J1600" i="16"/>
  <c r="J1599" i="16"/>
  <c r="J1598" i="16"/>
  <c r="J1597" i="16"/>
  <c r="J1596" i="16"/>
  <c r="J1595" i="16"/>
  <c r="J1594" i="16"/>
  <c r="J1593" i="16"/>
  <c r="J1592" i="16"/>
  <c r="J1591" i="16"/>
  <c r="J1590" i="16"/>
  <c r="J1589" i="16"/>
  <c r="J1588" i="16"/>
  <c r="J1587" i="16"/>
  <c r="J1586" i="16"/>
  <c r="J1585" i="16"/>
  <c r="J1584" i="16"/>
  <c r="J1583" i="16"/>
  <c r="J1582" i="16"/>
  <c r="J1581" i="16"/>
  <c r="J1580" i="16"/>
  <c r="J1579" i="16"/>
  <c r="J1578" i="16"/>
  <c r="J1577" i="16"/>
  <c r="J1576" i="16"/>
  <c r="J1575" i="16"/>
  <c r="J1574" i="16"/>
  <c r="J1573" i="16"/>
  <c r="J1572" i="16"/>
  <c r="J1571" i="16"/>
  <c r="J1570" i="16"/>
  <c r="J1569" i="16"/>
  <c r="J1568" i="16"/>
  <c r="J1567" i="16"/>
  <c r="J1566" i="16"/>
  <c r="J1565" i="16"/>
  <c r="J1564" i="16"/>
  <c r="J1563" i="16"/>
  <c r="J1562" i="16"/>
  <c r="J1561" i="16"/>
  <c r="J1560" i="16"/>
  <c r="J1559" i="16"/>
  <c r="J1558" i="16"/>
  <c r="J1557" i="16"/>
  <c r="J1556" i="16"/>
  <c r="J1555" i="16"/>
  <c r="J1554" i="16"/>
  <c r="J1553" i="16"/>
  <c r="J1552" i="16"/>
  <c r="J1551" i="16"/>
  <c r="J1550" i="16"/>
  <c r="J1549" i="16"/>
  <c r="J1548" i="16"/>
  <c r="J1547" i="16"/>
  <c r="J1546" i="16"/>
  <c r="J1545" i="16"/>
  <c r="J1544" i="16"/>
  <c r="J1543" i="16"/>
  <c r="J1542" i="16"/>
  <c r="J1541" i="16"/>
  <c r="J1540" i="16"/>
  <c r="J1539" i="16"/>
  <c r="J1538" i="16"/>
  <c r="J1537" i="16"/>
  <c r="J1536" i="16"/>
  <c r="J1535" i="16"/>
  <c r="J1534" i="16"/>
  <c r="J1533" i="16"/>
  <c r="J1532" i="16"/>
  <c r="J1531" i="16"/>
  <c r="J1530" i="16"/>
  <c r="J1529" i="16"/>
  <c r="J1528" i="16"/>
  <c r="J1527" i="16"/>
  <c r="J1526" i="16"/>
  <c r="J1525" i="16"/>
  <c r="J1524" i="16"/>
  <c r="J1523" i="16"/>
  <c r="J1522" i="16"/>
  <c r="J1521" i="16"/>
  <c r="J1520" i="16"/>
  <c r="J1519" i="16"/>
  <c r="J1518" i="16"/>
  <c r="J1517" i="16"/>
  <c r="J1516" i="16"/>
  <c r="J1515" i="16"/>
  <c r="J1514" i="16"/>
  <c r="J1513" i="16"/>
  <c r="J1512" i="16"/>
  <c r="J1511" i="16"/>
  <c r="J1510" i="16"/>
  <c r="J1509" i="16"/>
  <c r="J1508" i="16"/>
  <c r="J1507" i="16"/>
  <c r="J1506" i="16"/>
  <c r="J1505" i="16"/>
  <c r="J1504" i="16"/>
  <c r="J1503" i="16"/>
  <c r="J1502" i="16"/>
  <c r="J1501" i="16"/>
  <c r="J1500" i="16"/>
  <c r="J1499" i="16"/>
  <c r="J1498" i="16"/>
  <c r="J1497" i="16"/>
  <c r="J1496" i="16"/>
  <c r="J1495" i="16"/>
  <c r="J1494" i="16"/>
  <c r="J1493" i="16"/>
  <c r="J1492" i="16"/>
  <c r="J1491" i="16"/>
  <c r="J1490" i="16"/>
  <c r="J1489" i="16"/>
  <c r="J1488" i="16"/>
  <c r="J1487" i="16"/>
  <c r="J1486" i="16"/>
  <c r="J1485" i="16"/>
  <c r="J1484" i="16"/>
  <c r="J1483" i="16"/>
  <c r="J1482" i="16"/>
  <c r="J1481" i="16"/>
  <c r="J1480" i="16"/>
  <c r="J1479" i="16"/>
  <c r="J1478" i="16"/>
  <c r="J1477" i="16"/>
  <c r="J1476" i="16"/>
  <c r="J1475" i="16"/>
  <c r="J1474" i="16"/>
  <c r="J1473" i="16"/>
  <c r="J1472" i="16"/>
  <c r="J1471" i="16"/>
  <c r="J1470" i="16"/>
  <c r="J1469" i="16"/>
  <c r="J1468" i="16"/>
  <c r="J1467" i="16"/>
  <c r="J1466" i="16"/>
  <c r="J1465" i="16"/>
  <c r="J1464" i="16"/>
  <c r="J1463" i="16"/>
  <c r="J1462" i="16"/>
  <c r="J1461" i="16"/>
  <c r="J1460" i="16"/>
  <c r="J1459" i="16"/>
  <c r="J1458" i="16"/>
  <c r="J1457" i="16"/>
  <c r="J1456" i="16"/>
  <c r="J1455" i="16"/>
  <c r="J1454" i="16"/>
  <c r="J1453" i="16"/>
  <c r="J1452" i="16"/>
  <c r="J1451" i="16"/>
  <c r="J1450" i="16"/>
  <c r="J1449" i="16"/>
  <c r="J1448" i="16"/>
  <c r="J1447" i="16"/>
  <c r="J1446" i="16"/>
  <c r="J1445" i="16"/>
  <c r="J1444" i="16"/>
  <c r="J1443" i="16"/>
  <c r="J1442" i="16"/>
  <c r="J1441" i="16"/>
  <c r="J1440" i="16"/>
  <c r="J1439" i="16"/>
  <c r="J1438" i="16"/>
  <c r="J1437" i="16"/>
  <c r="J1436" i="16"/>
  <c r="J1435" i="16"/>
  <c r="J1434" i="16"/>
  <c r="J1433" i="16"/>
  <c r="J1432" i="16"/>
  <c r="J1431" i="16"/>
  <c r="J1430" i="16"/>
  <c r="J1429" i="16"/>
  <c r="J1428" i="16"/>
  <c r="J1427" i="16"/>
  <c r="J1426" i="16"/>
  <c r="J1425" i="16"/>
  <c r="J1424" i="16"/>
  <c r="J1423" i="16"/>
  <c r="J1422" i="16"/>
  <c r="J1421" i="16"/>
  <c r="J1420" i="16"/>
  <c r="J1419" i="16"/>
  <c r="J1418" i="16"/>
  <c r="J1417" i="16"/>
  <c r="J1416" i="16"/>
  <c r="J1415" i="16"/>
  <c r="J1414" i="16"/>
  <c r="J1413" i="16"/>
  <c r="J1412" i="16"/>
  <c r="J1411" i="16"/>
  <c r="J1410" i="16"/>
  <c r="J1409" i="16"/>
  <c r="J1408" i="16"/>
  <c r="J1407" i="16"/>
  <c r="J1406" i="16"/>
  <c r="J1405" i="16"/>
  <c r="J1404" i="16"/>
  <c r="J1403" i="16"/>
  <c r="J1402" i="16"/>
  <c r="J1401" i="16"/>
  <c r="J1400" i="16"/>
  <c r="J1399" i="16"/>
  <c r="J1398" i="16"/>
  <c r="J1397" i="16"/>
  <c r="J1396" i="16"/>
  <c r="J1395" i="16"/>
  <c r="J1394" i="16"/>
  <c r="J1393" i="16"/>
  <c r="J1392" i="16"/>
  <c r="J1391" i="16"/>
  <c r="J1390" i="16"/>
  <c r="J1389" i="16"/>
  <c r="J1388" i="16"/>
  <c r="J1387" i="16"/>
  <c r="J1386" i="16"/>
  <c r="J1385" i="16"/>
  <c r="J1384" i="16"/>
  <c r="J1383" i="16"/>
  <c r="J1382" i="16"/>
  <c r="J1381" i="16"/>
  <c r="J1380" i="16"/>
  <c r="J1379" i="16"/>
  <c r="J1378" i="16"/>
  <c r="J1377" i="16"/>
  <c r="J1376" i="16"/>
  <c r="J1375" i="16"/>
  <c r="J1374" i="16"/>
  <c r="J1373" i="16"/>
  <c r="J1372" i="16"/>
  <c r="J1371" i="16"/>
  <c r="J1370" i="16"/>
  <c r="J1369" i="16"/>
  <c r="J1368" i="16"/>
  <c r="J1367" i="16"/>
  <c r="J1366" i="16"/>
  <c r="J1365" i="16"/>
  <c r="J1364" i="16"/>
  <c r="J1363" i="16"/>
  <c r="J1362" i="16"/>
  <c r="J1361" i="16"/>
  <c r="J1360" i="16"/>
  <c r="J1359" i="16"/>
  <c r="J1358" i="16"/>
  <c r="J1357" i="16"/>
  <c r="J1356" i="16"/>
  <c r="J1355" i="16"/>
  <c r="J1354" i="16"/>
  <c r="J1353" i="16"/>
  <c r="J1352" i="16"/>
  <c r="J1351" i="16"/>
  <c r="J1350" i="16"/>
  <c r="J1349" i="16"/>
  <c r="J1348" i="16"/>
  <c r="J1347" i="16"/>
  <c r="J1346" i="16"/>
  <c r="J1345" i="16"/>
  <c r="J1344" i="16"/>
  <c r="J1343" i="16"/>
  <c r="J1342" i="16"/>
  <c r="J1341" i="16"/>
  <c r="J1340" i="16"/>
  <c r="J1339" i="16"/>
  <c r="J1338" i="16"/>
  <c r="J1337" i="16"/>
  <c r="J1336" i="16"/>
  <c r="J1335" i="16"/>
  <c r="J1334" i="16"/>
  <c r="J1333" i="16"/>
  <c r="J1332" i="16"/>
  <c r="J1331" i="16"/>
  <c r="J1330" i="16"/>
  <c r="J1329" i="16"/>
  <c r="J1328" i="16"/>
  <c r="J1327" i="16"/>
  <c r="J1326" i="16"/>
  <c r="J1325" i="16"/>
  <c r="J1324" i="16"/>
  <c r="J1323" i="16"/>
  <c r="J1322" i="16"/>
  <c r="J1321" i="16"/>
  <c r="J1320" i="16"/>
  <c r="J1319" i="16"/>
  <c r="J1318" i="16"/>
  <c r="J1317" i="16"/>
  <c r="J1316" i="16"/>
  <c r="J1315" i="16"/>
  <c r="J1314" i="16"/>
  <c r="J1313" i="16"/>
  <c r="J1312" i="16"/>
  <c r="J1311" i="16"/>
  <c r="J1310" i="16"/>
  <c r="J1309" i="16"/>
  <c r="J1308" i="16"/>
  <c r="J1307" i="16"/>
  <c r="J1306" i="16"/>
  <c r="J1305" i="16"/>
  <c r="J1304" i="16"/>
  <c r="J1303" i="16"/>
  <c r="J1302" i="16"/>
  <c r="J1301" i="16"/>
  <c r="J1300" i="16"/>
  <c r="J1299" i="16"/>
  <c r="J1298" i="16"/>
  <c r="J1297" i="16"/>
  <c r="J1296" i="16"/>
  <c r="J1295" i="16"/>
  <c r="J1294" i="16"/>
  <c r="J1293" i="16"/>
  <c r="J1292" i="16"/>
  <c r="J1291" i="16"/>
  <c r="J1290" i="16"/>
  <c r="J1289" i="16"/>
  <c r="J1288" i="16"/>
  <c r="J1287" i="16"/>
  <c r="J1286" i="16"/>
  <c r="J1285" i="16"/>
  <c r="J1284" i="16"/>
  <c r="J1283" i="16"/>
  <c r="J1282" i="16"/>
  <c r="J1281" i="16"/>
  <c r="J1280" i="16"/>
  <c r="J1279" i="16"/>
  <c r="J1278" i="16"/>
  <c r="J1277" i="16"/>
  <c r="J1276" i="16"/>
  <c r="J1275" i="16"/>
  <c r="J1274" i="16"/>
  <c r="J1273" i="16"/>
  <c r="J1272" i="16"/>
  <c r="J1271" i="16"/>
  <c r="J1270" i="16"/>
  <c r="J1269" i="16"/>
  <c r="J1268" i="16"/>
  <c r="J1267" i="16"/>
  <c r="J1266" i="16"/>
  <c r="J1265" i="16"/>
  <c r="J1264" i="16"/>
  <c r="J1263" i="16"/>
  <c r="J1262" i="16"/>
  <c r="J1261" i="16"/>
  <c r="J1260" i="16"/>
  <c r="J1259" i="16"/>
  <c r="J1258" i="16"/>
  <c r="J1257" i="16"/>
  <c r="J1256" i="16"/>
  <c r="J1255" i="16"/>
  <c r="J1254" i="16"/>
  <c r="J1253" i="16"/>
  <c r="J1252" i="16"/>
  <c r="J1251" i="16"/>
  <c r="J1250" i="16"/>
  <c r="J1249" i="16"/>
  <c r="J1248" i="16"/>
  <c r="J1247" i="16"/>
  <c r="J1246" i="16"/>
  <c r="J1245" i="16"/>
  <c r="J1244" i="16"/>
  <c r="J1243" i="16"/>
  <c r="J1242" i="16"/>
  <c r="J1241" i="16"/>
  <c r="J1240" i="16"/>
  <c r="J1239" i="16"/>
  <c r="J1238" i="16"/>
  <c r="J1237" i="16"/>
  <c r="J1236" i="16"/>
  <c r="J1235" i="16"/>
  <c r="J1234" i="16"/>
  <c r="J1233" i="16"/>
  <c r="J1232" i="16"/>
  <c r="J1231" i="16"/>
  <c r="J1230" i="16"/>
  <c r="J1229" i="16"/>
  <c r="J1228" i="16"/>
  <c r="J1227" i="16"/>
  <c r="J1226" i="16"/>
  <c r="J1225" i="16"/>
  <c r="J1224" i="16"/>
  <c r="J1223" i="16"/>
  <c r="J1222" i="16"/>
  <c r="J1221" i="16"/>
  <c r="J1220" i="16"/>
  <c r="J1219" i="16"/>
  <c r="J1218" i="16"/>
  <c r="J1217" i="16"/>
  <c r="J1216" i="16"/>
  <c r="J1215" i="16"/>
  <c r="J1214" i="16"/>
  <c r="J1213" i="16"/>
  <c r="J1212" i="16"/>
  <c r="J1211" i="16"/>
  <c r="J1210" i="16"/>
  <c r="J1209" i="16"/>
  <c r="J1208" i="16"/>
  <c r="J1207" i="16"/>
  <c r="J1206" i="16"/>
  <c r="J1205" i="16"/>
  <c r="J1204" i="16"/>
  <c r="J1203" i="16"/>
  <c r="J1202" i="16"/>
  <c r="J1201" i="16"/>
  <c r="J1200" i="16"/>
  <c r="J1199" i="16"/>
  <c r="J1198" i="16"/>
  <c r="J1197" i="16"/>
  <c r="J1196" i="16"/>
  <c r="J1195" i="16"/>
  <c r="J1194" i="16"/>
  <c r="J1193" i="16"/>
  <c r="J1192" i="16"/>
  <c r="J1191" i="16"/>
  <c r="J1190" i="16"/>
  <c r="J1189" i="16"/>
  <c r="J1188" i="16"/>
  <c r="J1187" i="16"/>
  <c r="J1186" i="16"/>
  <c r="J1185" i="16"/>
  <c r="J1184" i="16"/>
  <c r="J1183" i="16"/>
  <c r="J1182" i="16"/>
  <c r="J1181" i="16"/>
  <c r="J1180" i="16"/>
  <c r="J1179" i="16"/>
  <c r="J1178" i="16"/>
  <c r="J1177" i="16"/>
  <c r="J1176" i="16"/>
  <c r="J1175" i="16"/>
  <c r="J1174" i="16"/>
  <c r="J1173" i="16"/>
  <c r="J1172" i="16"/>
  <c r="J1171" i="16"/>
  <c r="J1170" i="16"/>
  <c r="J1169" i="16"/>
  <c r="J1168" i="16"/>
  <c r="J1167" i="16"/>
  <c r="J1166" i="16"/>
  <c r="J1165" i="16"/>
  <c r="J1164" i="16"/>
  <c r="J1163" i="16"/>
  <c r="J1162" i="16"/>
  <c r="J1161" i="16"/>
  <c r="J1160" i="16"/>
  <c r="J1159" i="16"/>
  <c r="J1158" i="16"/>
  <c r="J1157" i="16"/>
  <c r="J1156" i="16"/>
  <c r="J1155" i="16"/>
  <c r="J1154" i="16"/>
  <c r="J1153" i="16"/>
  <c r="J1152" i="16"/>
  <c r="J1151" i="16"/>
  <c r="J1150" i="16"/>
  <c r="J1149" i="16"/>
  <c r="J1148" i="16"/>
  <c r="J1147" i="16"/>
  <c r="J1146" i="16"/>
  <c r="J1145" i="16"/>
  <c r="J1144" i="16"/>
  <c r="J1143" i="16"/>
  <c r="J1142" i="16"/>
  <c r="J1141" i="16"/>
  <c r="J1140" i="16"/>
  <c r="J1139" i="16"/>
  <c r="J1138" i="16"/>
  <c r="J1137" i="16"/>
  <c r="J1136" i="16"/>
  <c r="J1135" i="16"/>
  <c r="J1134" i="16"/>
  <c r="J1133" i="16"/>
  <c r="J1132" i="16"/>
  <c r="J1131" i="16"/>
  <c r="J1130" i="16"/>
  <c r="J1129" i="16"/>
  <c r="J1128" i="16"/>
  <c r="J1127" i="16"/>
  <c r="J1126" i="16"/>
  <c r="J1125" i="16"/>
  <c r="J1124" i="16"/>
  <c r="J1123" i="16"/>
  <c r="J1122" i="16"/>
  <c r="J1121" i="16"/>
  <c r="J1120" i="16"/>
  <c r="J1119" i="16"/>
  <c r="J1118" i="16"/>
  <c r="J1117" i="16"/>
  <c r="J1116" i="16"/>
  <c r="J1115" i="16"/>
  <c r="J1114" i="16"/>
  <c r="J1113" i="16"/>
  <c r="J1112" i="16"/>
  <c r="J1111" i="16"/>
  <c r="J1110" i="16"/>
  <c r="J1109" i="16"/>
  <c r="J1108" i="16"/>
  <c r="J1107" i="16"/>
  <c r="J1106" i="16"/>
  <c r="J1105" i="16"/>
  <c r="J1104" i="16"/>
  <c r="J1103" i="16"/>
  <c r="J1102" i="16"/>
  <c r="J1101" i="16"/>
  <c r="J1100" i="16"/>
  <c r="J1099" i="16"/>
  <c r="J1098" i="16"/>
  <c r="J1097" i="16"/>
  <c r="J1096" i="16"/>
  <c r="J1095" i="16"/>
  <c r="J1094" i="16"/>
  <c r="J1093" i="16"/>
  <c r="J1092" i="16"/>
  <c r="J1091" i="16"/>
  <c r="J1090" i="16"/>
  <c r="J1089" i="16"/>
  <c r="J1088" i="16"/>
  <c r="J1087" i="16"/>
  <c r="J1086" i="16"/>
  <c r="J1085" i="16"/>
  <c r="J1084" i="16"/>
  <c r="J1083" i="16"/>
  <c r="J1082" i="16"/>
  <c r="J1081" i="16"/>
  <c r="J1080" i="16"/>
  <c r="J1079" i="16"/>
  <c r="J1078" i="16"/>
  <c r="J1077" i="16"/>
  <c r="J1076" i="16"/>
  <c r="J1075" i="16"/>
  <c r="J1074" i="16"/>
  <c r="J1073" i="16"/>
  <c r="J1072" i="16"/>
  <c r="J1071" i="16"/>
  <c r="J1070" i="16"/>
  <c r="J1069" i="16"/>
  <c r="J1068" i="16"/>
  <c r="J1067" i="16"/>
  <c r="J1066" i="16"/>
  <c r="J1065" i="16"/>
  <c r="J1064" i="16"/>
  <c r="J1063" i="16"/>
  <c r="J1062" i="16"/>
  <c r="J1061" i="16"/>
  <c r="J1060" i="16"/>
  <c r="J1059" i="16"/>
  <c r="J1058" i="16"/>
  <c r="J1057" i="16"/>
  <c r="J1056" i="16"/>
  <c r="J1055" i="16"/>
  <c r="J1054" i="16"/>
  <c r="J1053" i="16"/>
  <c r="J1052" i="16"/>
  <c r="J1051" i="16"/>
  <c r="J1050" i="16"/>
  <c r="J1049" i="16"/>
  <c r="J1048" i="16"/>
  <c r="J1047" i="16"/>
  <c r="J1046" i="16"/>
  <c r="J1045" i="16"/>
  <c r="J1044" i="16"/>
  <c r="J1043" i="16"/>
  <c r="J1042" i="16"/>
  <c r="J1041" i="16"/>
  <c r="J1040" i="16"/>
  <c r="J1039" i="16"/>
  <c r="J1038" i="16"/>
  <c r="J1037" i="16"/>
  <c r="J1036" i="16"/>
  <c r="J1035" i="16"/>
  <c r="J1034" i="16"/>
  <c r="J1033" i="16"/>
  <c r="J1032" i="16"/>
  <c r="J1031" i="16"/>
  <c r="J1030" i="16"/>
  <c r="J1029" i="16"/>
  <c r="J1028" i="16"/>
  <c r="J1027" i="16"/>
  <c r="J1026" i="16"/>
  <c r="J1025" i="16"/>
  <c r="J1024" i="16"/>
  <c r="J1023" i="16"/>
  <c r="J1022" i="16"/>
  <c r="J1021" i="16"/>
  <c r="J1020" i="16"/>
  <c r="J1019" i="16"/>
  <c r="J1018" i="16"/>
  <c r="J1017" i="16"/>
  <c r="J1016" i="16"/>
  <c r="J1015" i="16"/>
  <c r="J1014" i="16"/>
  <c r="J1013" i="16"/>
  <c r="J1012" i="16"/>
  <c r="J1011" i="16"/>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29" i="16"/>
  <c r="J828" i="16"/>
  <c r="J827" i="16"/>
  <c r="J830" i="16"/>
  <c r="J826" i="16"/>
  <c r="J825" i="16"/>
  <c r="J824" i="16"/>
  <c r="J823" i="16"/>
  <c r="J822" i="16"/>
  <c r="J821" i="16"/>
  <c r="J820" i="16"/>
  <c r="J819" i="16"/>
  <c r="J818" i="16"/>
  <c r="U181" i="15"/>
  <c r="U188" i="15"/>
  <c r="U186" i="15"/>
  <c r="V159" i="15"/>
  <c r="V160" i="15"/>
  <c r="V161" i="15"/>
  <c r="V162" i="15"/>
  <c r="V163" i="15"/>
  <c r="V164" i="15"/>
  <c r="V165" i="15"/>
  <c r="V156" i="15"/>
  <c r="V157" i="15"/>
  <c r="V152" i="15"/>
  <c r="V153" i="15"/>
  <c r="V80" i="15"/>
  <c r="V74" i="15"/>
  <c r="V68" i="15"/>
  <c r="V65" i="15"/>
  <c r="V45" i="15"/>
  <c r="V40" i="15"/>
  <c r="V31" i="15"/>
  <c r="V32" i="15"/>
  <c r="V33" i="15"/>
  <c r="V28" i="15"/>
  <c r="V17" i="15"/>
  <c r="V12" i="15"/>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U206" i="15"/>
  <c r="U205" i="15"/>
  <c r="U204" i="15"/>
  <c r="U203" i="15"/>
  <c r="C68" i="20"/>
  <c r="D68" i="20"/>
  <c r="E68" i="20"/>
  <c r="N112" i="4"/>
  <c r="N114" i="4"/>
  <c r="N115" i="4"/>
  <c r="P112" i="4"/>
  <c r="N108" i="4"/>
  <c r="N109" i="4"/>
  <c r="N110" i="4"/>
  <c r="N111" i="4"/>
  <c r="P108" i="4"/>
  <c r="N99" i="4"/>
  <c r="N100" i="4"/>
  <c r="N101" i="4"/>
  <c r="N102" i="4"/>
  <c r="N103" i="4"/>
  <c r="N104" i="4"/>
  <c r="N105" i="4"/>
  <c r="N106" i="4"/>
  <c r="N107" i="4"/>
  <c r="P99" i="4"/>
  <c r="N87" i="4"/>
  <c r="N88" i="4"/>
  <c r="N89" i="4"/>
  <c r="N90" i="4"/>
  <c r="N91" i="4"/>
  <c r="N92" i="4"/>
  <c r="N93" i="4"/>
  <c r="N94" i="4"/>
  <c r="N95" i="4"/>
  <c r="N96" i="4"/>
  <c r="N97" i="4"/>
  <c r="N98" i="4"/>
  <c r="P87" i="4"/>
  <c r="N82" i="4"/>
  <c r="J166" i="15"/>
  <c r="P166" i="15"/>
  <c r="Q166" i="15"/>
  <c r="S166" i="15"/>
  <c r="T166" i="15"/>
  <c r="U166" i="15"/>
  <c r="N6" i="4"/>
  <c r="N7" i="4"/>
  <c r="N118" i="4"/>
  <c r="P158" i="15"/>
  <c r="Q158" i="15"/>
  <c r="Q155" i="15"/>
  <c r="S155" i="15"/>
  <c r="T155" i="15"/>
  <c r="H37" i="13"/>
  <c r="P149" i="15"/>
  <c r="T149" i="15"/>
  <c r="U148" i="15"/>
  <c r="Q151" i="15"/>
  <c r="S151" i="15"/>
  <c r="T151" i="15"/>
  <c r="U151" i="15"/>
  <c r="U150" i="15"/>
  <c r="P167" i="15"/>
  <c r="P168" i="15"/>
  <c r="P169" i="15"/>
  <c r="P170" i="15"/>
  <c r="P171" i="15"/>
  <c r="P172" i="15"/>
  <c r="P173" i="15"/>
  <c r="P174" i="15"/>
  <c r="P175" i="15"/>
  <c r="P176" i="15"/>
  <c r="P177" i="15"/>
  <c r="P178" i="15"/>
  <c r="P179" i="15"/>
  <c r="P180" i="15"/>
  <c r="R79" i="7"/>
  <c r="P122" i="15"/>
  <c r="P76" i="15"/>
  <c r="U187" i="15"/>
  <c r="U185" i="15"/>
  <c r="U184" i="15"/>
  <c r="U183" i="15"/>
  <c r="U182" i="15"/>
  <c r="U263" i="15"/>
  <c r="U262" i="15"/>
  <c r="U261" i="15"/>
  <c r="U260" i="15"/>
  <c r="U259" i="15"/>
  <c r="U258" i="15"/>
  <c r="U257" i="15"/>
  <c r="U256" i="15"/>
  <c r="U255" i="15"/>
  <c r="U254" i="15"/>
  <c r="U253" i="15"/>
  <c r="U252" i="15"/>
  <c r="U251" i="15"/>
  <c r="U250" i="15"/>
  <c r="U249" i="15"/>
  <c r="U248" i="15"/>
  <c r="U247" i="15"/>
  <c r="U246" i="15"/>
  <c r="U245" i="15"/>
  <c r="U244" i="15"/>
  <c r="U243" i="15"/>
  <c r="U242" i="15"/>
  <c r="U241" i="15"/>
  <c r="U240" i="15"/>
  <c r="U239" i="15"/>
  <c r="U238" i="15"/>
  <c r="U237" i="15"/>
  <c r="U236" i="15"/>
  <c r="U235" i="15"/>
  <c r="U234" i="15"/>
  <c r="U233" i="15"/>
  <c r="U232" i="15"/>
  <c r="U231" i="15"/>
  <c r="U230" i="15"/>
  <c r="U229" i="15"/>
  <c r="U228" i="15"/>
  <c r="U227" i="15"/>
  <c r="U226" i="15"/>
  <c r="U225" i="15"/>
  <c r="U224" i="15"/>
  <c r="U223" i="15"/>
  <c r="U222" i="15"/>
  <c r="U221" i="15"/>
  <c r="U220" i="15"/>
  <c r="U219" i="15"/>
  <c r="U218" i="15"/>
  <c r="U217" i="15"/>
  <c r="U216" i="15"/>
  <c r="U215" i="15"/>
  <c r="U214" i="15"/>
  <c r="U213" i="15"/>
  <c r="U212" i="15"/>
  <c r="U211" i="15"/>
  <c r="U210" i="15"/>
  <c r="U209" i="15"/>
  <c r="U208" i="15"/>
  <c r="U207" i="15"/>
  <c r="U202" i="15"/>
  <c r="U201" i="15"/>
  <c r="U200" i="15"/>
  <c r="U199" i="15"/>
  <c r="U198" i="15"/>
  <c r="U196" i="15"/>
  <c r="U195" i="15"/>
  <c r="U194" i="15"/>
  <c r="U193" i="15"/>
  <c r="U192" i="15"/>
  <c r="U191" i="15"/>
  <c r="U190" i="15"/>
  <c r="U189" i="15"/>
  <c r="I14" i="5"/>
  <c r="H5" i="13"/>
  <c r="F62" i="17"/>
  <c r="Q180" i="15"/>
  <c r="S180" i="15"/>
  <c r="T180" i="15"/>
  <c r="U180" i="15"/>
  <c r="Q179" i="15"/>
  <c r="S179" i="15"/>
  <c r="T179" i="15"/>
  <c r="U179" i="15"/>
  <c r="Q178" i="15"/>
  <c r="S178" i="15"/>
  <c r="T178" i="15"/>
  <c r="U178" i="15"/>
  <c r="Q177" i="15"/>
  <c r="S177" i="15"/>
  <c r="T177" i="15"/>
  <c r="U177" i="15"/>
  <c r="Q176" i="15"/>
  <c r="S176" i="15"/>
  <c r="T176" i="15"/>
  <c r="U176" i="15"/>
  <c r="Q175" i="15"/>
  <c r="S175" i="15"/>
  <c r="T175" i="15"/>
  <c r="U175" i="15"/>
  <c r="Q174" i="15"/>
  <c r="S174" i="15"/>
  <c r="T174" i="15"/>
  <c r="U174" i="15"/>
  <c r="Q173" i="15"/>
  <c r="S173" i="15"/>
  <c r="T173" i="15"/>
  <c r="U173" i="15"/>
  <c r="Q172" i="15"/>
  <c r="S172" i="15"/>
  <c r="T172" i="15"/>
  <c r="U172" i="15"/>
  <c r="Q171" i="15"/>
  <c r="S171" i="15"/>
  <c r="T171" i="15"/>
  <c r="U171" i="15"/>
  <c r="Q170" i="15"/>
  <c r="S170" i="15"/>
  <c r="T170" i="15"/>
  <c r="U170" i="15"/>
  <c r="Q169" i="15"/>
  <c r="S169" i="15"/>
  <c r="T169" i="15"/>
  <c r="U169" i="15"/>
  <c r="Q168" i="15"/>
  <c r="S168" i="15"/>
  <c r="T168" i="15"/>
  <c r="U168" i="15"/>
  <c r="Q167" i="15"/>
  <c r="S167" i="15"/>
  <c r="T167" i="15"/>
  <c r="U167" i="15"/>
  <c r="S158" i="15"/>
  <c r="T158" i="15"/>
  <c r="U158" i="15"/>
  <c r="U155" i="15"/>
  <c r="U149"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P147" i="15"/>
  <c r="T147" i="15"/>
  <c r="U147" i="15"/>
  <c r="P146" i="15"/>
  <c r="T146" i="15"/>
  <c r="U146" i="15"/>
  <c r="P145" i="15"/>
  <c r="T145" i="15"/>
  <c r="U145" i="15"/>
  <c r="P144" i="15"/>
  <c r="T144" i="15"/>
  <c r="U144" i="15"/>
  <c r="P143" i="15"/>
  <c r="T143" i="15"/>
  <c r="U143" i="15"/>
  <c r="P142" i="15"/>
  <c r="T142" i="15"/>
  <c r="U142" i="15"/>
  <c r="P141" i="15"/>
  <c r="T141" i="15"/>
  <c r="U141" i="15"/>
  <c r="P140" i="15"/>
  <c r="T140" i="15"/>
  <c r="U140" i="15"/>
  <c r="P139" i="15"/>
  <c r="T139" i="15"/>
  <c r="U139" i="15"/>
  <c r="P138" i="15"/>
  <c r="T138" i="15"/>
  <c r="U138" i="15"/>
  <c r="P137" i="15"/>
  <c r="T137" i="15"/>
  <c r="U137" i="15"/>
  <c r="P136" i="15"/>
  <c r="T136" i="15"/>
  <c r="U136" i="15"/>
  <c r="P135" i="15"/>
  <c r="T135" i="15"/>
  <c r="U135" i="15"/>
  <c r="P134" i="15"/>
  <c r="T134" i="15"/>
  <c r="U134" i="15"/>
  <c r="P133" i="15"/>
  <c r="T133" i="15"/>
  <c r="U133" i="15"/>
  <c r="P132" i="15"/>
  <c r="T132" i="15"/>
  <c r="U132" i="15"/>
  <c r="P131" i="15"/>
  <c r="T131" i="15"/>
  <c r="U131" i="15"/>
  <c r="P130" i="15"/>
  <c r="T130" i="15"/>
  <c r="U130" i="15"/>
  <c r="P129" i="15"/>
  <c r="T129" i="15"/>
  <c r="U129" i="15"/>
  <c r="P128" i="15"/>
  <c r="T128" i="15"/>
  <c r="U128" i="15"/>
  <c r="P127" i="15"/>
  <c r="T127" i="15"/>
  <c r="U127" i="15"/>
  <c r="P126" i="15"/>
  <c r="T126" i="15"/>
  <c r="U126" i="15"/>
  <c r="P125" i="15"/>
  <c r="T125" i="15"/>
  <c r="U125" i="15"/>
  <c r="P124" i="15"/>
  <c r="T124" i="15"/>
  <c r="U124" i="15"/>
  <c r="P123" i="15"/>
  <c r="T123" i="15"/>
  <c r="U123" i="15"/>
  <c r="T122" i="15"/>
  <c r="U122" i="15"/>
  <c r="P121" i="15"/>
  <c r="T121" i="15"/>
  <c r="U121" i="15"/>
  <c r="P120" i="15"/>
  <c r="T120" i="15"/>
  <c r="U120" i="15"/>
  <c r="P119" i="15"/>
  <c r="T119" i="15"/>
  <c r="U119" i="15"/>
  <c r="P118" i="15"/>
  <c r="T118" i="15"/>
  <c r="U118" i="15"/>
  <c r="P117" i="15"/>
  <c r="T117" i="15"/>
  <c r="U117" i="15"/>
  <c r="P116" i="15"/>
  <c r="T116" i="15"/>
  <c r="U116" i="15"/>
  <c r="P115" i="15"/>
  <c r="T115" i="15"/>
  <c r="U115" i="15"/>
  <c r="P114" i="15"/>
  <c r="T114" i="15"/>
  <c r="U114" i="15"/>
  <c r="P113" i="15"/>
  <c r="T113" i="15"/>
  <c r="U113" i="15"/>
  <c r="P112" i="15"/>
  <c r="T112" i="15"/>
  <c r="U112" i="15"/>
  <c r="P111" i="15"/>
  <c r="T111" i="15"/>
  <c r="U111" i="15"/>
  <c r="P110" i="15"/>
  <c r="T110" i="15"/>
  <c r="U110" i="15"/>
  <c r="P109" i="15"/>
  <c r="T109" i="15"/>
  <c r="U109" i="15"/>
  <c r="P108" i="15"/>
  <c r="T108" i="15"/>
  <c r="U108" i="15"/>
  <c r="P107" i="15"/>
  <c r="T107" i="15"/>
  <c r="U107" i="15"/>
  <c r="P106" i="15"/>
  <c r="T106" i="15"/>
  <c r="U106"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P105" i="15"/>
  <c r="T105" i="15"/>
  <c r="U105" i="15"/>
  <c r="P104" i="15"/>
  <c r="T104" i="15"/>
  <c r="U104" i="15"/>
  <c r="T103" i="15"/>
  <c r="U103" i="15"/>
  <c r="T102" i="15"/>
  <c r="U102" i="15"/>
  <c r="P101" i="15"/>
  <c r="T101" i="15"/>
  <c r="U101" i="15"/>
  <c r="P100" i="15"/>
  <c r="T100" i="15"/>
  <c r="U100" i="15"/>
  <c r="P99" i="15"/>
  <c r="T99" i="15"/>
  <c r="U99" i="15"/>
  <c r="P98" i="15"/>
  <c r="T98" i="15"/>
  <c r="U98" i="15"/>
  <c r="P97" i="15"/>
  <c r="T97" i="15"/>
  <c r="U97" i="15"/>
  <c r="P96" i="15"/>
  <c r="T96" i="15"/>
  <c r="U96" i="15"/>
  <c r="P95" i="15"/>
  <c r="T95" i="15"/>
  <c r="U95" i="15"/>
  <c r="P94" i="15"/>
  <c r="T94" i="15"/>
  <c r="U94" i="15"/>
  <c r="P93" i="15"/>
  <c r="T93" i="15"/>
  <c r="U93" i="15"/>
  <c r="P92" i="15"/>
  <c r="T92" i="15"/>
  <c r="U92" i="15"/>
  <c r="P91" i="15"/>
  <c r="T91" i="15"/>
  <c r="U91" i="15"/>
  <c r="P90" i="15"/>
  <c r="T90" i="15"/>
  <c r="U90" i="15"/>
  <c r="P89" i="15"/>
  <c r="T89" i="15"/>
  <c r="U89" i="15"/>
  <c r="P88" i="15"/>
  <c r="T88" i="15"/>
  <c r="U88" i="15"/>
  <c r="P87" i="15"/>
  <c r="T87" i="15"/>
  <c r="U87" i="15"/>
  <c r="P86" i="15"/>
  <c r="T86" i="15"/>
  <c r="U86" i="15"/>
  <c r="P85" i="15"/>
  <c r="T85" i="15"/>
  <c r="U85" i="15"/>
  <c r="P84" i="15"/>
  <c r="T84" i="15"/>
  <c r="U84" i="15"/>
  <c r="P83" i="15"/>
  <c r="T83" i="15"/>
  <c r="U83" i="15"/>
  <c r="P82" i="15"/>
  <c r="T82" i="15"/>
  <c r="U82" i="15"/>
  <c r="P81" i="15"/>
  <c r="T81" i="15"/>
  <c r="U81" i="15"/>
  <c r="P79" i="15"/>
  <c r="T79" i="15"/>
  <c r="U79" i="15"/>
  <c r="P78" i="15"/>
  <c r="T78" i="15"/>
  <c r="U78" i="15"/>
  <c r="P77" i="15"/>
  <c r="T77" i="15"/>
  <c r="U77" i="15"/>
  <c r="T76" i="15"/>
  <c r="U76" i="15"/>
  <c r="P75" i="15"/>
  <c r="T75" i="15"/>
  <c r="U75" i="15"/>
  <c r="P73" i="15"/>
  <c r="T73" i="15"/>
  <c r="U73" i="15"/>
  <c r="P72" i="15"/>
  <c r="T72" i="15"/>
  <c r="U72" i="15"/>
  <c r="P71" i="15"/>
  <c r="T71" i="15"/>
  <c r="U71" i="15"/>
  <c r="P70" i="15"/>
  <c r="T70" i="15"/>
  <c r="U70" i="15"/>
  <c r="P69" i="15"/>
  <c r="T69" i="15"/>
  <c r="U69" i="15"/>
  <c r="P67" i="15"/>
  <c r="T67" i="15"/>
  <c r="U67" i="15"/>
  <c r="P66" i="15"/>
  <c r="T66" i="15"/>
  <c r="U66" i="15"/>
  <c r="P64" i="15"/>
  <c r="T64" i="15"/>
  <c r="U64" i="15"/>
  <c r="P63" i="15"/>
  <c r="T63" i="15"/>
  <c r="U63" i="15"/>
  <c r="P62" i="15"/>
  <c r="T62" i="15"/>
  <c r="U62" i="15"/>
  <c r="P61" i="15"/>
  <c r="T61" i="15"/>
  <c r="U61" i="15"/>
  <c r="P60" i="15"/>
  <c r="T60" i="15"/>
  <c r="U60" i="15"/>
  <c r="P59" i="15"/>
  <c r="T59" i="15"/>
  <c r="U59" i="15"/>
  <c r="P58" i="15"/>
  <c r="T58" i="15"/>
  <c r="U58" i="15"/>
  <c r="P57" i="15"/>
  <c r="T57" i="15"/>
  <c r="U57" i="15"/>
  <c r="P56" i="15"/>
  <c r="T56" i="15"/>
  <c r="U56" i="15"/>
  <c r="P55" i="15"/>
  <c r="T55" i="15"/>
  <c r="U55" i="15"/>
  <c r="P54" i="15"/>
  <c r="T54" i="15"/>
  <c r="U54" i="15"/>
  <c r="P53" i="15"/>
  <c r="T53" i="15"/>
  <c r="U53" i="15"/>
  <c r="P52" i="15"/>
  <c r="T52" i="15"/>
  <c r="U52"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P51" i="15"/>
  <c r="T51" i="15"/>
  <c r="U51" i="15"/>
  <c r="P50" i="15"/>
  <c r="T50" i="15"/>
  <c r="U50" i="15"/>
  <c r="P49" i="15"/>
  <c r="T49" i="15"/>
  <c r="U49" i="15"/>
  <c r="P48" i="15"/>
  <c r="T48" i="15"/>
  <c r="U48" i="15"/>
  <c r="P47" i="15"/>
  <c r="T47" i="15"/>
  <c r="U47" i="15"/>
  <c r="P46" i="15"/>
  <c r="T46" i="15"/>
  <c r="U46" i="15"/>
  <c r="P44" i="15"/>
  <c r="T44" i="15"/>
  <c r="U44" i="15"/>
  <c r="P43" i="15"/>
  <c r="T43" i="15"/>
  <c r="U43" i="15"/>
  <c r="P42" i="15"/>
  <c r="T42" i="15"/>
  <c r="U42" i="15"/>
  <c r="P41" i="15"/>
  <c r="T41" i="15"/>
  <c r="U41" i="15"/>
  <c r="P39" i="15"/>
  <c r="T39" i="15"/>
  <c r="U39" i="15"/>
  <c r="P38" i="15"/>
  <c r="T38" i="15"/>
  <c r="U38" i="15"/>
  <c r="P37" i="15"/>
  <c r="T37" i="15"/>
  <c r="U37" i="15"/>
  <c r="P36" i="15"/>
  <c r="T36" i="15"/>
  <c r="U36" i="15"/>
  <c r="P35" i="15"/>
  <c r="T35" i="15"/>
  <c r="U35" i="15"/>
  <c r="P34" i="15"/>
  <c r="T34" i="15"/>
  <c r="U34" i="15"/>
  <c r="P30" i="15"/>
  <c r="T30" i="15"/>
  <c r="U30" i="15"/>
  <c r="P29" i="15"/>
  <c r="T29" i="15"/>
  <c r="U29" i="15"/>
  <c r="P27" i="15"/>
  <c r="T27" i="15"/>
  <c r="U27" i="15"/>
  <c r="P26" i="15"/>
  <c r="T26" i="15"/>
  <c r="U26" i="15"/>
  <c r="P25" i="15"/>
  <c r="T25" i="15"/>
  <c r="U25" i="15"/>
  <c r="P24" i="15"/>
  <c r="T24" i="15"/>
  <c r="U24" i="15"/>
  <c r="P23" i="15"/>
  <c r="T23" i="15"/>
  <c r="U23" i="15"/>
  <c r="P22" i="15"/>
  <c r="T22" i="15"/>
  <c r="U22" i="15"/>
  <c r="P21" i="15"/>
  <c r="T21" i="15"/>
  <c r="U21" i="15"/>
  <c r="P20" i="15"/>
  <c r="T20" i="15"/>
  <c r="U20" i="15"/>
  <c r="P19" i="15"/>
  <c r="T19" i="15"/>
  <c r="U19" i="15"/>
  <c r="P18" i="15"/>
  <c r="T18" i="15"/>
  <c r="U18" i="15"/>
  <c r="P16" i="15"/>
  <c r="T16" i="15"/>
  <c r="U16" i="15"/>
  <c r="P15" i="15"/>
  <c r="T15" i="15"/>
  <c r="U15" i="15"/>
  <c r="P14" i="15"/>
  <c r="T14" i="15"/>
  <c r="U14" i="15"/>
  <c r="P13" i="15"/>
  <c r="T13" i="15"/>
  <c r="U13" i="15"/>
  <c r="S154" i="15"/>
  <c r="T154" i="15"/>
  <c r="U154" i="15"/>
  <c r="M26" i="19"/>
  <c r="I26" i="19"/>
  <c r="M25" i="19"/>
  <c r="I25" i="19"/>
  <c r="M24" i="19"/>
  <c r="I24" i="19"/>
  <c r="M23" i="19"/>
  <c r="I23" i="19"/>
  <c r="M22" i="19"/>
  <c r="I22" i="19"/>
  <c r="M21" i="19"/>
  <c r="I21" i="19"/>
  <c r="M20" i="19"/>
  <c r="I20" i="19"/>
  <c r="M19" i="19"/>
  <c r="I19" i="19"/>
  <c r="M18" i="19"/>
  <c r="I18" i="19"/>
  <c r="M17" i="19"/>
  <c r="I17" i="19"/>
  <c r="M16" i="19"/>
  <c r="I16" i="19"/>
  <c r="M15" i="19"/>
  <c r="I15" i="19"/>
  <c r="M14" i="19"/>
  <c r="I14" i="19"/>
  <c r="M13" i="19"/>
  <c r="I13" i="19"/>
  <c r="M12" i="19"/>
  <c r="I12" i="19"/>
  <c r="M11" i="19"/>
  <c r="I11" i="19"/>
  <c r="M10" i="19"/>
  <c r="I10" i="19"/>
  <c r="M9" i="19"/>
  <c r="I9" i="19"/>
  <c r="M6" i="19"/>
  <c r="I6" i="19"/>
  <c r="M4" i="19"/>
  <c r="I4" i="19"/>
  <c r="M3" i="19"/>
  <c r="I3" i="19"/>
  <c r="M2" i="19"/>
  <c r="I2" i="19"/>
  <c r="M64" i="18"/>
  <c r="I64" i="18"/>
  <c r="M63" i="18"/>
  <c r="I63" i="18"/>
  <c r="M62" i="18"/>
  <c r="I62" i="18"/>
  <c r="M61" i="18"/>
  <c r="I61" i="18"/>
  <c r="M60" i="18"/>
  <c r="I60" i="18"/>
  <c r="M59" i="18"/>
  <c r="I59" i="18"/>
  <c r="M58" i="18"/>
  <c r="I58" i="18"/>
  <c r="M57" i="18"/>
  <c r="I57" i="18"/>
  <c r="M56" i="18"/>
  <c r="I56" i="18"/>
  <c r="M55" i="18"/>
  <c r="I55" i="18"/>
  <c r="M54" i="18"/>
  <c r="I54" i="18"/>
  <c r="M53" i="18"/>
  <c r="I53" i="18"/>
  <c r="M52" i="18"/>
  <c r="I52" i="18"/>
  <c r="M51" i="18"/>
  <c r="I51" i="18"/>
  <c r="M50" i="18"/>
  <c r="I50" i="18"/>
  <c r="M49" i="18"/>
  <c r="I49" i="18"/>
  <c r="M48" i="18"/>
  <c r="I48" i="18"/>
  <c r="M47" i="18"/>
  <c r="I47" i="18"/>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M22" i="18"/>
  <c r="I22" i="18"/>
  <c r="M21" i="18"/>
  <c r="I21" i="18"/>
  <c r="M20" i="18"/>
  <c r="I20" i="18"/>
  <c r="M19" i="18"/>
  <c r="I19" i="18"/>
  <c r="M18" i="18"/>
  <c r="I18" i="18"/>
  <c r="M17" i="18"/>
  <c r="I17" i="18"/>
  <c r="M16" i="18"/>
  <c r="I16" i="18"/>
  <c r="M15" i="18"/>
  <c r="I15" i="18"/>
  <c r="M14" i="18"/>
  <c r="I14" i="18"/>
  <c r="M13" i="18"/>
  <c r="I13" i="18"/>
  <c r="M12" i="18"/>
  <c r="I12" i="18"/>
  <c r="M11" i="18"/>
  <c r="I11" i="18"/>
  <c r="M10" i="18"/>
  <c r="I10" i="18"/>
  <c r="M9" i="18"/>
  <c r="I9" i="18"/>
  <c r="M8" i="18"/>
  <c r="I8" i="18"/>
  <c r="M7" i="18"/>
  <c r="I7" i="18"/>
  <c r="M6" i="18"/>
  <c r="I6" i="18"/>
  <c r="M5" i="18"/>
  <c r="I5" i="18"/>
  <c r="M4" i="18"/>
  <c r="I4" i="18"/>
  <c r="M3" i="18"/>
  <c r="I3" i="18"/>
  <c r="M2" i="18"/>
  <c r="I2" i="18"/>
  <c r="I99" i="17"/>
  <c r="F98" i="17"/>
  <c r="I98" i="17"/>
  <c r="I97" i="17"/>
  <c r="F96" i="17"/>
  <c r="I96" i="17"/>
  <c r="F95" i="17"/>
  <c r="I95" i="17"/>
  <c r="F94" i="17"/>
  <c r="I94" i="17"/>
  <c r="F93" i="17"/>
  <c r="I93" i="17"/>
  <c r="I92" i="17"/>
  <c r="F91" i="17"/>
  <c r="I91" i="17"/>
  <c r="I89" i="17"/>
  <c r="I88" i="17"/>
  <c r="I86" i="17"/>
  <c r="I85" i="17"/>
  <c r="I84" i="17"/>
  <c r="I82" i="17"/>
  <c r="I81" i="17"/>
  <c r="I80" i="17"/>
  <c r="F79" i="17"/>
  <c r="I79" i="17"/>
  <c r="F78" i="17"/>
  <c r="I78" i="17"/>
  <c r="I77" i="17"/>
  <c r="I76" i="17"/>
  <c r="I75" i="17"/>
  <c r="I74" i="17"/>
  <c r="I73" i="17"/>
  <c r="I72" i="17"/>
  <c r="F71" i="17"/>
  <c r="I71" i="17"/>
  <c r="F70" i="17"/>
  <c r="I70" i="17"/>
  <c r="I69" i="17"/>
  <c r="I68" i="17"/>
  <c r="I67" i="17"/>
  <c r="F66" i="17"/>
  <c r="I66" i="17"/>
  <c r="F65" i="17"/>
  <c r="I65" i="17"/>
  <c r="F64" i="17"/>
  <c r="I64" i="17"/>
  <c r="F63" i="17"/>
  <c r="I63" i="17"/>
  <c r="I62" i="17"/>
  <c r="I61" i="17"/>
  <c r="I60" i="17"/>
  <c r="I59" i="17"/>
  <c r="I58" i="17"/>
  <c r="F57" i="17"/>
  <c r="I57" i="17"/>
  <c r="F56" i="17"/>
  <c r="I56" i="17"/>
  <c r="I55" i="17"/>
  <c r="I54" i="17"/>
  <c r="I53" i="17"/>
  <c r="I52" i="17"/>
  <c r="I51" i="17"/>
  <c r="F50" i="17"/>
  <c r="I50" i="17"/>
  <c r="F49" i="17"/>
  <c r="I49" i="17"/>
  <c r="I48" i="17"/>
  <c r="I47" i="17"/>
  <c r="F46" i="17"/>
  <c r="I46" i="17"/>
  <c r="I45" i="17"/>
  <c r="I44" i="17"/>
  <c r="I43" i="17"/>
  <c r="F42" i="17"/>
  <c r="I42" i="17"/>
  <c r="F41" i="17"/>
  <c r="I41" i="17"/>
  <c r="I40" i="17"/>
  <c r="I39" i="17"/>
  <c r="I38" i="17"/>
  <c r="I37" i="17"/>
  <c r="I36" i="17"/>
  <c r="I35" i="17"/>
  <c r="I34" i="17"/>
  <c r="I33" i="17"/>
  <c r="I32" i="17"/>
  <c r="I31" i="17"/>
  <c r="I30" i="17"/>
  <c r="I29" i="17"/>
  <c r="I28" i="17"/>
  <c r="I27" i="17"/>
  <c r="I26" i="17"/>
  <c r="I25" i="17"/>
  <c r="F24" i="17"/>
  <c r="I24" i="17"/>
  <c r="F23" i="17"/>
  <c r="I23" i="17"/>
  <c r="I22" i="17"/>
  <c r="F21" i="17"/>
  <c r="I21" i="17"/>
  <c r="I20" i="17"/>
  <c r="I19" i="17"/>
  <c r="F18" i="17"/>
  <c r="I18" i="17"/>
  <c r="I17" i="17"/>
  <c r="F16" i="17"/>
  <c r="I16" i="17"/>
  <c r="F15" i="17"/>
  <c r="I15" i="17"/>
  <c r="F14" i="17"/>
  <c r="I14" i="17"/>
  <c r="F13" i="17"/>
  <c r="I13" i="17"/>
  <c r="F12" i="17"/>
  <c r="I12" i="17"/>
  <c r="F11" i="17"/>
  <c r="I11" i="17"/>
  <c r="F10" i="17"/>
  <c r="I10" i="17"/>
  <c r="F9" i="17"/>
  <c r="I9" i="17"/>
  <c r="F8" i="17"/>
  <c r="I8" i="17"/>
  <c r="I6" i="17"/>
  <c r="F5" i="17"/>
  <c r="I5" i="17"/>
  <c r="F4" i="17"/>
  <c r="I4" i="17"/>
  <c r="F3" i="17"/>
  <c r="I3" i="17"/>
  <c r="F2" i="17"/>
  <c r="I2" i="17"/>
  <c r="J817" i="16"/>
  <c r="J816"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93" i="16"/>
  <c r="J585" i="16"/>
  <c r="J584" i="16"/>
  <c r="J550" i="16"/>
  <c r="J549" i="16"/>
  <c r="J548" i="16"/>
  <c r="J547" i="16"/>
  <c r="J544" i="16"/>
  <c r="J542" i="16"/>
  <c r="J541" i="16"/>
  <c r="J540" i="16"/>
  <c r="J539" i="16"/>
  <c r="J536" i="16"/>
  <c r="J535" i="16"/>
  <c r="J532" i="16"/>
  <c r="J507" i="16"/>
  <c r="J506" i="16"/>
  <c r="J505" i="16"/>
  <c r="J504" i="16"/>
  <c r="J503" i="16"/>
  <c r="J502" i="16"/>
  <c r="J501" i="16"/>
  <c r="J500" i="16"/>
  <c r="J499" i="16"/>
  <c r="J498" i="16"/>
  <c r="J497" i="16"/>
  <c r="J496" i="16"/>
  <c r="J495" i="16"/>
  <c r="J494" i="16"/>
  <c r="J493" i="16"/>
  <c r="J492" i="16"/>
  <c r="J491" i="16"/>
  <c r="J490" i="16"/>
  <c r="J489" i="16"/>
  <c r="J488" i="16"/>
  <c r="J487" i="16"/>
  <c r="J486" i="16"/>
  <c r="J449" i="16"/>
  <c r="J448" i="16"/>
  <c r="J447" i="16"/>
  <c r="J446" i="16"/>
  <c r="J445" i="16"/>
  <c r="J444" i="16"/>
  <c r="J443" i="16"/>
  <c r="J442" i="16"/>
  <c r="J441" i="16"/>
  <c r="J440" i="16"/>
  <c r="J439" i="16"/>
  <c r="J438" i="16"/>
  <c r="J437" i="16"/>
  <c r="J436" i="16"/>
  <c r="J435" i="16"/>
  <c r="J434" i="16"/>
  <c r="J433" i="16"/>
  <c r="J432" i="16"/>
  <c r="J431" i="16"/>
  <c r="J430" i="16"/>
  <c r="J429"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1" i="16"/>
  <c r="H4" i="14"/>
  <c r="I4" i="14"/>
  <c r="J4" i="14"/>
  <c r="H30" i="14"/>
  <c r="I30" i="14"/>
  <c r="J30" i="14"/>
  <c r="H34" i="14"/>
  <c r="I34" i="14"/>
  <c r="J34" i="14"/>
  <c r="H38" i="14"/>
  <c r="I38" i="14"/>
  <c r="J38" i="14"/>
  <c r="H5" i="14"/>
  <c r="I5" i="14"/>
  <c r="H12" i="14"/>
  <c r="I12" i="14"/>
  <c r="J12" i="14"/>
  <c r="H36" i="14"/>
  <c r="I36" i="14"/>
  <c r="J36" i="14"/>
  <c r="H33" i="14"/>
  <c r="I33" i="14"/>
  <c r="H37" i="14"/>
  <c r="I37" i="14"/>
  <c r="J37" i="14"/>
  <c r="H31" i="14"/>
  <c r="I31" i="14"/>
  <c r="H19" i="14"/>
  <c r="I19" i="14"/>
  <c r="H15" i="14"/>
  <c r="I15" i="14"/>
  <c r="J15" i="14"/>
  <c r="H18" i="14"/>
  <c r="I18" i="14"/>
  <c r="J18" i="14"/>
  <c r="H17" i="14"/>
  <c r="I17" i="14"/>
  <c r="J17" i="14"/>
  <c r="H32" i="14"/>
  <c r="I32" i="14"/>
  <c r="J32" i="14"/>
  <c r="I29" i="14"/>
  <c r="J29" i="14"/>
  <c r="I11" i="14"/>
  <c r="J11" i="14"/>
  <c r="H16" i="14"/>
  <c r="I16" i="14"/>
  <c r="J16" i="14"/>
  <c r="I3" i="14"/>
  <c r="J3" i="14"/>
  <c r="I10" i="14"/>
  <c r="J10" i="14"/>
  <c r="I28" i="14"/>
  <c r="J28" i="14"/>
  <c r="I9" i="14"/>
  <c r="J9" i="14"/>
  <c r="I27" i="14"/>
  <c r="J27" i="14"/>
  <c r="I8" i="14"/>
  <c r="J8" i="14"/>
  <c r="I26" i="14"/>
  <c r="J26" i="14"/>
  <c r="H14" i="14"/>
  <c r="I14" i="14"/>
  <c r="J14" i="14"/>
  <c r="H22" i="14"/>
  <c r="I22" i="14"/>
  <c r="J22" i="14"/>
  <c r="H24" i="14"/>
  <c r="I24" i="14"/>
  <c r="J24" i="14"/>
  <c r="H7" i="14"/>
  <c r="I7" i="14"/>
  <c r="J7" i="14"/>
  <c r="H25" i="14"/>
  <c r="I25" i="14"/>
  <c r="H2" i="14"/>
  <c r="I2" i="14"/>
  <c r="H13" i="14"/>
  <c r="I13" i="14"/>
  <c r="J13" i="14"/>
  <c r="H21" i="14"/>
  <c r="I21" i="14"/>
  <c r="J21" i="14"/>
  <c r="H20" i="14"/>
  <c r="I20" i="14"/>
  <c r="J20" i="14"/>
  <c r="H35" i="14"/>
  <c r="I35" i="14"/>
  <c r="J35" i="14"/>
  <c r="H23" i="14"/>
  <c r="I23" i="14"/>
  <c r="J23" i="14"/>
  <c r="H6" i="14"/>
  <c r="I6" i="14"/>
  <c r="J6" i="14"/>
  <c r="H7" i="13"/>
  <c r="H21" i="13"/>
  <c r="H26" i="13"/>
  <c r="H23" i="13"/>
  <c r="H3" i="13"/>
  <c r="H20" i="13"/>
  <c r="H39" i="13"/>
  <c r="H33" i="13"/>
  <c r="H6" i="13"/>
  <c r="H30" i="13"/>
  <c r="H25" i="13"/>
  <c r="H19" i="13"/>
  <c r="H32" i="13"/>
  <c r="H28" i="13"/>
  <c r="H9" i="13"/>
  <c r="H12" i="13"/>
  <c r="H10" i="13"/>
  <c r="H13" i="13"/>
  <c r="H11" i="13"/>
  <c r="H22" i="13"/>
  <c r="H2" i="13"/>
  <c r="H18" i="13"/>
  <c r="H27" i="13"/>
  <c r="H31" i="13"/>
  <c r="H8" i="13"/>
  <c r="H29" i="13"/>
  <c r="H38" i="13"/>
  <c r="H34" i="13"/>
  <c r="H35" i="13"/>
  <c r="H36" i="13"/>
  <c r="H14" i="13"/>
  <c r="H15" i="13"/>
  <c r="H4" i="13"/>
  <c r="A24" i="13"/>
  <c r="B24" i="13"/>
  <c r="H24" i="13"/>
  <c r="C24" i="13"/>
  <c r="H16" i="13"/>
  <c r="H17" i="13"/>
  <c r="I26" i="10"/>
  <c r="J26" i="10"/>
  <c r="K26" i="10"/>
  <c r="I25" i="10"/>
  <c r="J25" i="10"/>
  <c r="K25" i="10"/>
  <c r="I24" i="10"/>
  <c r="J24" i="10"/>
  <c r="K24" i="10"/>
  <c r="I23" i="10"/>
  <c r="J23" i="10"/>
  <c r="K23" i="10"/>
  <c r="I22" i="10"/>
  <c r="J22" i="10"/>
  <c r="K22" i="10"/>
  <c r="I21" i="10"/>
  <c r="J21" i="10"/>
  <c r="K21" i="10"/>
  <c r="I20" i="10"/>
  <c r="J20" i="10"/>
  <c r="I19" i="10"/>
  <c r="J19" i="10"/>
  <c r="K19" i="10"/>
  <c r="I18" i="10"/>
  <c r="J18" i="10"/>
  <c r="I17" i="10"/>
  <c r="J17" i="10"/>
  <c r="K17" i="10"/>
  <c r="I16" i="10"/>
  <c r="J16" i="10"/>
  <c r="K16" i="10"/>
  <c r="I15" i="10"/>
  <c r="J15" i="10"/>
  <c r="K15" i="10"/>
  <c r="I14" i="10"/>
  <c r="J14" i="10"/>
  <c r="K14" i="10"/>
  <c r="I13" i="10"/>
  <c r="J13" i="10"/>
  <c r="K13" i="10"/>
  <c r="I12" i="10"/>
  <c r="J12" i="10"/>
  <c r="K12" i="10"/>
  <c r="I11" i="10"/>
  <c r="J11" i="10"/>
  <c r="K11" i="10"/>
  <c r="I10" i="10"/>
  <c r="J10" i="10"/>
  <c r="K10" i="10"/>
  <c r="I9" i="10"/>
  <c r="J9" i="10"/>
  <c r="K9" i="10"/>
  <c r="I8" i="10"/>
  <c r="J8" i="10"/>
  <c r="K8" i="10"/>
  <c r="I7" i="10"/>
  <c r="J7" i="10"/>
  <c r="K7" i="10"/>
  <c r="I6" i="10"/>
  <c r="J6" i="10"/>
  <c r="K6" i="10"/>
  <c r="I5" i="10"/>
  <c r="J5" i="10"/>
  <c r="K5" i="10"/>
  <c r="I4" i="10"/>
  <c r="J4" i="10"/>
  <c r="K4" i="10"/>
  <c r="I3" i="10"/>
  <c r="J3" i="10"/>
  <c r="K3" i="10"/>
  <c r="I2" i="10"/>
  <c r="J2" i="10"/>
  <c r="K2" i="10"/>
  <c r="F25" i="8"/>
  <c r="F24" i="8"/>
  <c r="F23" i="8"/>
  <c r="F22" i="8"/>
  <c r="F21" i="8"/>
  <c r="F20" i="8"/>
  <c r="F19" i="8"/>
  <c r="F18" i="8"/>
  <c r="F17" i="8"/>
  <c r="A17" i="8"/>
  <c r="A18" i="8"/>
  <c r="A19" i="8"/>
  <c r="A20" i="8"/>
  <c r="A21" i="8"/>
  <c r="A22" i="8"/>
  <c r="A23" i="8"/>
  <c r="A24" i="8"/>
  <c r="A25" i="8"/>
  <c r="F16" i="8"/>
  <c r="F15" i="8"/>
  <c r="F14" i="8"/>
  <c r="F13" i="8"/>
  <c r="F12" i="8"/>
  <c r="F11" i="8"/>
  <c r="F10" i="8"/>
  <c r="F9" i="8"/>
  <c r="F8" i="8"/>
  <c r="F7" i="8"/>
  <c r="F6" i="8"/>
  <c r="F5" i="8"/>
  <c r="F4" i="8"/>
  <c r="R92" i="7"/>
  <c r="R91" i="7"/>
  <c r="R90" i="7"/>
  <c r="R89" i="7"/>
  <c r="R88" i="7"/>
  <c r="R87" i="7"/>
  <c r="R86" i="7"/>
  <c r="R85" i="7"/>
  <c r="R84" i="7"/>
  <c r="R83" i="7"/>
  <c r="R82" i="7"/>
  <c r="R81" i="7"/>
  <c r="R80" i="7"/>
  <c r="M78" i="7"/>
  <c r="N78" i="7"/>
  <c r="O78" i="7"/>
  <c r="M76" i="7"/>
  <c r="N76" i="7"/>
  <c r="O76" i="7"/>
  <c r="M75" i="7"/>
  <c r="N75" i="7"/>
  <c r="O75" i="7"/>
  <c r="M74" i="7"/>
  <c r="N74" i="7"/>
  <c r="O74" i="7"/>
  <c r="M73" i="7"/>
  <c r="N73" i="7"/>
  <c r="O73" i="7"/>
  <c r="M72" i="7"/>
  <c r="N72" i="7"/>
  <c r="O72" i="7"/>
  <c r="M71" i="7"/>
  <c r="N71" i="7"/>
  <c r="O71" i="7"/>
  <c r="M70" i="7"/>
  <c r="N70" i="7"/>
  <c r="O70" i="7"/>
  <c r="M69" i="7"/>
  <c r="N69" i="7"/>
  <c r="O69" i="7"/>
  <c r="N68" i="7"/>
  <c r="O68" i="7"/>
  <c r="N67" i="7"/>
  <c r="O67" i="7"/>
  <c r="M66" i="7"/>
  <c r="N66" i="7"/>
  <c r="O66" i="7"/>
  <c r="M65" i="7"/>
  <c r="N65" i="7"/>
  <c r="O65" i="7"/>
  <c r="M64" i="7"/>
  <c r="N64" i="7"/>
  <c r="O64" i="7"/>
  <c r="M63" i="7"/>
  <c r="N63" i="7"/>
  <c r="O63" i="7"/>
  <c r="M62" i="7"/>
  <c r="N62" i="7"/>
  <c r="O62" i="7"/>
  <c r="M61" i="7"/>
  <c r="N61" i="7"/>
  <c r="O61" i="7"/>
  <c r="M60" i="7"/>
  <c r="N60" i="7"/>
  <c r="O60" i="7"/>
  <c r="M59" i="7"/>
  <c r="N59" i="7"/>
  <c r="O59" i="7"/>
  <c r="M58" i="7"/>
  <c r="N58" i="7"/>
  <c r="O58" i="7"/>
  <c r="M57" i="7"/>
  <c r="N57" i="7"/>
  <c r="O57" i="7"/>
  <c r="M56" i="7"/>
  <c r="N56" i="7"/>
  <c r="O56" i="7"/>
  <c r="M55" i="7"/>
  <c r="N55" i="7"/>
  <c r="O55" i="7"/>
  <c r="M54" i="7"/>
  <c r="N54" i="7"/>
  <c r="O54" i="7"/>
  <c r="M49" i="7"/>
  <c r="N49" i="7"/>
  <c r="O49" i="7"/>
  <c r="M42" i="7"/>
  <c r="N42" i="7"/>
  <c r="O42" i="7"/>
  <c r="M41" i="7"/>
  <c r="N41" i="7"/>
  <c r="O41" i="7"/>
  <c r="M40" i="7"/>
  <c r="N40" i="7"/>
  <c r="O40" i="7"/>
  <c r="M39" i="7"/>
  <c r="N39" i="7"/>
  <c r="O39" i="7"/>
  <c r="M38" i="7"/>
  <c r="N38" i="7"/>
  <c r="O38" i="7"/>
  <c r="M37" i="7"/>
  <c r="N37" i="7"/>
  <c r="O37" i="7"/>
  <c r="M36" i="7"/>
  <c r="N36" i="7"/>
  <c r="O36" i="7"/>
  <c r="M35" i="7"/>
  <c r="N35" i="7"/>
  <c r="O35" i="7"/>
  <c r="M34" i="7"/>
  <c r="N34" i="7"/>
  <c r="O34" i="7"/>
  <c r="M33" i="7"/>
  <c r="N33" i="7"/>
  <c r="O33" i="7"/>
  <c r="M32" i="7"/>
  <c r="N32" i="7"/>
  <c r="O32" i="7"/>
  <c r="M31" i="7"/>
  <c r="N31" i="7"/>
  <c r="O31" i="7"/>
  <c r="M30" i="7"/>
  <c r="N30" i="7"/>
  <c r="O30" i="7"/>
  <c r="M27" i="7"/>
  <c r="N27" i="7"/>
  <c r="O27" i="7"/>
  <c r="M22" i="7"/>
  <c r="N22" i="7"/>
  <c r="O22" i="7"/>
  <c r="M21" i="7"/>
  <c r="N21" i="7"/>
  <c r="O21" i="7"/>
  <c r="M20" i="7"/>
  <c r="N20" i="7"/>
  <c r="O20" i="7"/>
  <c r="M19" i="7"/>
  <c r="N19" i="7"/>
  <c r="O19" i="7"/>
  <c r="M18" i="7"/>
  <c r="N18" i="7"/>
  <c r="O18" i="7"/>
  <c r="M17" i="7"/>
  <c r="N17" i="7"/>
  <c r="O17" i="7"/>
  <c r="M16" i="7"/>
  <c r="N16" i="7"/>
  <c r="O16" i="7"/>
  <c r="M15" i="7"/>
  <c r="N15" i="7"/>
  <c r="O15" i="7"/>
  <c r="M14" i="7"/>
  <c r="N14" i="7"/>
  <c r="O14" i="7"/>
  <c r="M13" i="7"/>
  <c r="N13" i="7"/>
  <c r="O13" i="7"/>
  <c r="M12" i="7"/>
  <c r="N12" i="7"/>
  <c r="O12" i="7"/>
  <c r="M11" i="7"/>
  <c r="N11" i="7"/>
  <c r="O11" i="7"/>
  <c r="M10" i="7"/>
  <c r="N10" i="7"/>
  <c r="O10" i="7"/>
  <c r="M8" i="7"/>
  <c r="N8" i="7"/>
  <c r="O8" i="7"/>
  <c r="N7" i="7"/>
  <c r="O7" i="7"/>
  <c r="M16" i="5"/>
  <c r="I16" i="5"/>
  <c r="M15" i="5"/>
  <c r="M14" i="5"/>
  <c r="M13" i="5"/>
  <c r="M12" i="5"/>
  <c r="I12" i="5"/>
  <c r="M11" i="5"/>
  <c r="M10" i="5"/>
  <c r="I10" i="5"/>
  <c r="M9" i="5"/>
  <c r="I9" i="5"/>
  <c r="M8" i="5"/>
  <c r="I8" i="5"/>
  <c r="M7" i="5"/>
  <c r="I7" i="5"/>
  <c r="M6" i="5"/>
  <c r="I6" i="5"/>
  <c r="M5" i="5"/>
  <c r="I5" i="5"/>
  <c r="M4" i="5"/>
  <c r="I4" i="5"/>
  <c r="M3" i="5"/>
  <c r="I3" i="5"/>
  <c r="N37" i="4"/>
  <c r="N43" i="4"/>
  <c r="N32" i="4"/>
  <c r="N33" i="4"/>
  <c r="N41" i="4"/>
  <c r="N36" i="4"/>
  <c r="N40" i="4"/>
  <c r="N35" i="4"/>
  <c r="N34" i="4"/>
  <c r="N42" i="4"/>
  <c r="Q42" i="4"/>
  <c r="N38" i="4"/>
  <c r="N39" i="4"/>
  <c r="N44" i="4"/>
  <c r="N45" i="4"/>
  <c r="N27" i="4"/>
  <c r="N24" i="4"/>
  <c r="N18" i="4"/>
  <c r="N23" i="4"/>
  <c r="N26" i="4"/>
  <c r="N22" i="4"/>
  <c r="N11" i="4"/>
  <c r="N30" i="4"/>
  <c r="N31" i="4"/>
  <c r="N20" i="4"/>
  <c r="N21" i="4"/>
  <c r="N15" i="4"/>
  <c r="N14" i="4"/>
  <c r="N16" i="4"/>
  <c r="N17" i="4"/>
  <c r="N29" i="4"/>
  <c r="N28" i="4"/>
  <c r="N12" i="4"/>
  <c r="N10" i="4"/>
  <c r="N25" i="4"/>
  <c r="N13" i="4"/>
  <c r="N9" i="4"/>
  <c r="N8" i="4"/>
  <c r="N19" i="4"/>
  <c r="N63" i="4"/>
  <c r="N113" i="4"/>
  <c r="N62" i="4"/>
  <c r="N59" i="4"/>
  <c r="N58" i="4"/>
  <c r="N57" i="4"/>
  <c r="N56" i="4"/>
  <c r="N55" i="4"/>
  <c r="N54" i="4"/>
  <c r="N53" i="4"/>
  <c r="N81" i="4"/>
  <c r="N74" i="4"/>
  <c r="N69" i="4"/>
  <c r="N80" i="4"/>
  <c r="N73" i="4"/>
  <c r="N68" i="4"/>
  <c r="N79" i="4"/>
  <c r="N67" i="4"/>
  <c r="N78" i="4"/>
  <c r="N77" i="4"/>
  <c r="N72" i="4"/>
  <c r="N66" i="4"/>
  <c r="N4" i="4"/>
  <c r="N3" i="4"/>
  <c r="N5" i="4"/>
  <c r="N2" i="4"/>
  <c r="N52" i="4"/>
  <c r="N49" i="4"/>
  <c r="N76" i="4"/>
  <c r="N71" i="4"/>
  <c r="N117" i="4"/>
  <c r="N75" i="4"/>
  <c r="N70" i="4"/>
  <c r="N65" i="4"/>
  <c r="N86" i="4"/>
  <c r="N85" i="4"/>
  <c r="N84" i="4"/>
  <c r="N83" i="4"/>
  <c r="N64" i="4"/>
  <c r="N48" i="4"/>
  <c r="N60" i="4"/>
  <c r="N116" i="4"/>
  <c r="N51" i="4"/>
  <c r="N47" i="4"/>
  <c r="N50" i="4"/>
  <c r="N61" i="4"/>
  <c r="O13" i="17"/>
  <c r="O22" i="17"/>
  <c r="Q22" i="4"/>
</calcChain>
</file>

<file path=xl/comments1.xml><?xml version="1.0" encoding="utf-8"?>
<comments xmlns="http://schemas.openxmlformats.org/spreadsheetml/2006/main">
  <authors>
    <author>Pim</author>
  </authors>
  <commentList>
    <comment ref="H13" authorId="0">
      <text>
        <r>
          <rPr>
            <sz val="9"/>
            <color indexed="81"/>
            <rFont val="Tahoma"/>
            <family val="2"/>
          </rPr>
          <t>Linear interpolation</t>
        </r>
      </text>
    </comment>
    <comment ref="H16" authorId="0">
      <text>
        <r>
          <rPr>
            <sz val="9"/>
            <color indexed="81"/>
            <rFont val="Tahoma"/>
            <family val="2"/>
          </rPr>
          <t>Linear interpolation</t>
        </r>
      </text>
    </comment>
    <comment ref="I16" authorId="0">
      <text>
        <r>
          <rPr>
            <sz val="9"/>
            <color indexed="81"/>
            <rFont val="Tahoma"/>
            <family val="2"/>
          </rPr>
          <t>Linear interpolation</t>
        </r>
      </text>
    </comment>
    <comment ref="F22" authorId="0">
      <text>
        <r>
          <rPr>
            <sz val="9"/>
            <color indexed="81"/>
            <rFont val="Tahoma"/>
            <family val="2"/>
          </rPr>
          <t>Linear interpolation</t>
        </r>
      </text>
    </comment>
    <comment ref="J22" authorId="0">
      <text>
        <r>
          <rPr>
            <sz val="9"/>
            <color indexed="81"/>
            <rFont val="Tahoma"/>
            <family val="2"/>
          </rPr>
          <t>Linear interpolation</t>
        </r>
      </text>
    </comment>
    <comment ref="C23" authorId="0">
      <text>
        <r>
          <rPr>
            <sz val="9"/>
            <color indexed="81"/>
            <rFont val="Tahoma"/>
            <family val="2"/>
          </rPr>
          <t>Linear interpolation</t>
        </r>
      </text>
    </comment>
    <comment ref="H23" authorId="0">
      <text>
        <r>
          <rPr>
            <sz val="9"/>
            <color indexed="81"/>
            <rFont val="Tahoma"/>
            <family val="2"/>
          </rPr>
          <t>Linear interpolation</t>
        </r>
      </text>
    </comment>
    <comment ref="I23" authorId="0">
      <text>
        <r>
          <rPr>
            <sz val="9"/>
            <color indexed="81"/>
            <rFont val="Tahoma"/>
            <family val="2"/>
          </rPr>
          <t>Linear interpolation</t>
        </r>
      </text>
    </comment>
    <comment ref="F25" authorId="0">
      <text>
        <r>
          <rPr>
            <sz val="9"/>
            <color indexed="81"/>
            <rFont val="Tahoma"/>
            <family val="2"/>
          </rPr>
          <t>Linear interpolation</t>
        </r>
      </text>
    </comment>
    <comment ref="D30" authorId="0">
      <text>
        <r>
          <rPr>
            <sz val="9"/>
            <color indexed="81"/>
            <rFont val="Tahoma"/>
            <family val="2"/>
          </rPr>
          <t>Linear interpolation</t>
        </r>
      </text>
    </comment>
    <comment ref="H31" authorId="0">
      <text>
        <r>
          <rPr>
            <sz val="9"/>
            <color indexed="81"/>
            <rFont val="Tahoma"/>
            <family val="2"/>
          </rPr>
          <t>Linear interpolation</t>
        </r>
      </text>
    </comment>
    <comment ref="I31" authorId="0">
      <text>
        <r>
          <rPr>
            <sz val="9"/>
            <color indexed="81"/>
            <rFont val="Tahoma"/>
            <family val="2"/>
          </rPr>
          <t>Linear interpolation</t>
        </r>
      </text>
    </comment>
    <comment ref="J31" authorId="0">
      <text>
        <r>
          <rPr>
            <sz val="9"/>
            <color indexed="81"/>
            <rFont val="Tahoma"/>
            <family val="2"/>
          </rPr>
          <t>Linear interpolation</t>
        </r>
      </text>
    </comment>
    <comment ref="J34" authorId="0">
      <text>
        <r>
          <rPr>
            <sz val="9"/>
            <color indexed="81"/>
            <rFont val="Tahoma"/>
            <family val="2"/>
          </rPr>
          <t>Linear interpolation</t>
        </r>
      </text>
    </comment>
    <comment ref="F35" authorId="0">
      <text>
        <r>
          <rPr>
            <sz val="9"/>
            <color indexed="81"/>
            <rFont val="Tahoma"/>
            <family val="2"/>
          </rPr>
          <t>Linear interpolation</t>
        </r>
      </text>
    </comment>
    <comment ref="H35" authorId="0">
      <text>
        <r>
          <rPr>
            <sz val="9"/>
            <color indexed="81"/>
            <rFont val="Tahoma"/>
            <family val="2"/>
          </rPr>
          <t>Linear interpolation</t>
        </r>
      </text>
    </comment>
    <comment ref="I35" authorId="0">
      <text>
        <r>
          <rPr>
            <sz val="9"/>
            <color indexed="81"/>
            <rFont val="Tahoma"/>
            <family val="2"/>
          </rPr>
          <t>Linear interpolation</t>
        </r>
      </text>
    </comment>
    <comment ref="F38" authorId="0">
      <text>
        <r>
          <rPr>
            <sz val="9"/>
            <color indexed="81"/>
            <rFont val="Tahoma"/>
            <family val="2"/>
          </rPr>
          <t>Linear interpolation</t>
        </r>
      </text>
    </comment>
    <comment ref="I38" authorId="0">
      <text>
        <r>
          <rPr>
            <sz val="9"/>
            <color indexed="81"/>
            <rFont val="Tahoma"/>
            <family val="2"/>
          </rPr>
          <t>Linear interpolation</t>
        </r>
      </text>
    </comment>
    <comment ref="F43" authorId="0">
      <text>
        <r>
          <rPr>
            <sz val="9"/>
            <color indexed="81"/>
            <rFont val="Tahoma"/>
            <family val="2"/>
          </rPr>
          <t>Linear interpolation</t>
        </r>
      </text>
    </comment>
    <comment ref="H43" authorId="0">
      <text>
        <r>
          <rPr>
            <sz val="9"/>
            <color indexed="81"/>
            <rFont val="Tahoma"/>
            <family val="2"/>
          </rPr>
          <t>Linear interpolation</t>
        </r>
      </text>
    </comment>
    <comment ref="I43" authorId="0">
      <text>
        <r>
          <rPr>
            <sz val="9"/>
            <color indexed="81"/>
            <rFont val="Tahoma"/>
            <family val="2"/>
          </rPr>
          <t>Linear interpolation</t>
        </r>
      </text>
    </comment>
    <comment ref="J43" authorId="0">
      <text>
        <r>
          <rPr>
            <sz val="9"/>
            <color indexed="81"/>
            <rFont val="Tahoma"/>
            <family val="2"/>
          </rPr>
          <t>Linear interpolation</t>
        </r>
      </text>
    </comment>
    <comment ref="J45" authorId="0">
      <text>
        <r>
          <rPr>
            <sz val="9"/>
            <color indexed="81"/>
            <rFont val="Tahoma"/>
            <family val="2"/>
          </rPr>
          <t>Linear interpolation</t>
        </r>
      </text>
    </comment>
    <comment ref="H47" authorId="0">
      <text>
        <r>
          <rPr>
            <sz val="9"/>
            <color indexed="81"/>
            <rFont val="Tahoma"/>
            <family val="2"/>
          </rPr>
          <t>Linear interpolation</t>
        </r>
      </text>
    </comment>
    <comment ref="H50" authorId="0">
      <text>
        <r>
          <rPr>
            <sz val="9"/>
            <color indexed="81"/>
            <rFont val="Tahoma"/>
            <family val="2"/>
          </rPr>
          <t>Linear interpolation</t>
        </r>
      </text>
    </comment>
    <comment ref="F54" authorId="0">
      <text>
        <r>
          <rPr>
            <sz val="9"/>
            <color indexed="81"/>
            <rFont val="Tahoma"/>
            <family val="2"/>
          </rPr>
          <t>Linear interpolation</t>
        </r>
      </text>
    </comment>
    <comment ref="J54" authorId="0">
      <text>
        <r>
          <rPr>
            <sz val="9"/>
            <color indexed="81"/>
            <rFont val="Tahoma"/>
            <family val="2"/>
          </rPr>
          <t>Linear interpolation</t>
        </r>
      </text>
    </comment>
    <comment ref="F57" authorId="0">
      <text>
        <r>
          <rPr>
            <sz val="9"/>
            <color indexed="81"/>
            <rFont val="Tahoma"/>
            <family val="2"/>
          </rPr>
          <t>Linear interpolation</t>
        </r>
      </text>
    </comment>
    <comment ref="F59" authorId="0">
      <text>
        <r>
          <rPr>
            <sz val="9"/>
            <color indexed="81"/>
            <rFont val="Tahoma"/>
            <family val="2"/>
          </rPr>
          <t>Linear interpolation</t>
        </r>
      </text>
    </comment>
    <comment ref="H60" authorId="0">
      <text>
        <r>
          <rPr>
            <sz val="9"/>
            <color indexed="81"/>
            <rFont val="Tahoma"/>
            <family val="2"/>
          </rPr>
          <t>Linear interpolation</t>
        </r>
      </text>
    </comment>
    <comment ref="I63" authorId="0">
      <text>
        <r>
          <rPr>
            <sz val="9"/>
            <color indexed="81"/>
            <rFont val="Tahoma"/>
            <family val="2"/>
          </rPr>
          <t>Linear interpolation</t>
        </r>
      </text>
    </comment>
    <comment ref="J63" authorId="0">
      <text>
        <r>
          <rPr>
            <sz val="9"/>
            <color indexed="81"/>
            <rFont val="Tahoma"/>
            <family val="2"/>
          </rPr>
          <t>Linear interpolation</t>
        </r>
      </text>
    </comment>
    <comment ref="F65" authorId="0">
      <text>
        <r>
          <rPr>
            <sz val="9"/>
            <color indexed="81"/>
            <rFont val="Tahoma"/>
            <family val="2"/>
          </rPr>
          <t>Linear interpolation</t>
        </r>
      </text>
    </comment>
    <comment ref="H65" authorId="0">
      <text>
        <r>
          <rPr>
            <sz val="9"/>
            <color indexed="81"/>
            <rFont val="Tahoma"/>
            <family val="2"/>
          </rPr>
          <t>Linear interpolation</t>
        </r>
      </text>
    </comment>
    <comment ref="I65" authorId="0">
      <text>
        <r>
          <rPr>
            <sz val="9"/>
            <color indexed="81"/>
            <rFont val="Tahoma"/>
            <family val="2"/>
          </rPr>
          <t>Linear interpolation</t>
        </r>
      </text>
    </comment>
    <comment ref="F71" authorId="0">
      <text>
        <r>
          <rPr>
            <sz val="9"/>
            <color indexed="81"/>
            <rFont val="Tahoma"/>
            <family val="2"/>
          </rPr>
          <t>Linear interpolation</t>
        </r>
      </text>
    </comment>
    <comment ref="I72" authorId="0">
      <text>
        <r>
          <rPr>
            <sz val="9"/>
            <color indexed="81"/>
            <rFont val="Tahoma"/>
            <family val="2"/>
          </rPr>
          <t>Linear interpolation</t>
        </r>
      </text>
    </comment>
    <comment ref="F73" authorId="0">
      <text>
        <r>
          <rPr>
            <sz val="9"/>
            <color indexed="81"/>
            <rFont val="Tahoma"/>
            <family val="2"/>
          </rPr>
          <t>Linear interpolation</t>
        </r>
      </text>
    </comment>
    <comment ref="H74" authorId="0">
      <text>
        <r>
          <rPr>
            <sz val="9"/>
            <color indexed="81"/>
            <rFont val="Tahoma"/>
            <family val="2"/>
          </rPr>
          <t>Linear interpolation</t>
        </r>
      </text>
    </comment>
    <comment ref="I74" authorId="0">
      <text>
        <r>
          <rPr>
            <sz val="9"/>
            <color indexed="81"/>
            <rFont val="Tahoma"/>
            <family val="2"/>
          </rPr>
          <t>Linear interpolation</t>
        </r>
      </text>
    </comment>
    <comment ref="J74" authorId="0">
      <text>
        <r>
          <rPr>
            <sz val="9"/>
            <color indexed="81"/>
            <rFont val="Tahoma"/>
            <family val="2"/>
          </rPr>
          <t>Linear interpolation</t>
        </r>
      </text>
    </comment>
    <comment ref="F75" authorId="0">
      <text>
        <r>
          <rPr>
            <sz val="9"/>
            <color indexed="81"/>
            <rFont val="Tahoma"/>
            <family val="2"/>
          </rPr>
          <t>Linear interpolation</t>
        </r>
      </text>
    </comment>
    <comment ref="E77" authorId="0">
      <text>
        <r>
          <rPr>
            <sz val="9"/>
            <color indexed="81"/>
            <rFont val="Tahoma"/>
            <family val="2"/>
          </rPr>
          <t>Linear interpolation</t>
        </r>
      </text>
    </comment>
    <comment ref="H77" authorId="0">
      <text>
        <r>
          <rPr>
            <sz val="9"/>
            <color indexed="81"/>
            <rFont val="Tahoma"/>
            <family val="2"/>
          </rPr>
          <t>Linear interpolation</t>
        </r>
      </text>
    </comment>
    <comment ref="G79" authorId="0">
      <text>
        <r>
          <rPr>
            <sz val="9"/>
            <color indexed="81"/>
            <rFont val="Tahoma"/>
            <family val="2"/>
          </rPr>
          <t>Linear interpolation</t>
        </r>
      </text>
    </comment>
    <comment ref="I79" authorId="0">
      <text>
        <r>
          <rPr>
            <sz val="9"/>
            <color indexed="81"/>
            <rFont val="Tahoma"/>
            <family val="2"/>
          </rPr>
          <t>Linear interpolation</t>
        </r>
      </text>
    </comment>
    <comment ref="I81" authorId="0">
      <text>
        <r>
          <rPr>
            <sz val="9"/>
            <color indexed="81"/>
            <rFont val="Tahoma"/>
            <family val="2"/>
          </rPr>
          <t>Linear interpolation</t>
        </r>
      </text>
    </comment>
    <comment ref="F82" authorId="0">
      <text>
        <r>
          <rPr>
            <sz val="9"/>
            <color indexed="81"/>
            <rFont val="Tahoma"/>
            <family val="2"/>
          </rPr>
          <t>Linear interpolation</t>
        </r>
      </text>
    </comment>
    <comment ref="I86" authorId="0">
      <text>
        <r>
          <rPr>
            <sz val="9"/>
            <color indexed="81"/>
            <rFont val="Tahoma"/>
            <family val="2"/>
          </rPr>
          <t>Linear interpolation</t>
        </r>
      </text>
    </comment>
    <comment ref="J86" authorId="0">
      <text>
        <r>
          <rPr>
            <sz val="9"/>
            <color indexed="81"/>
            <rFont val="Tahoma"/>
            <family val="2"/>
          </rPr>
          <t>Linear interpolation</t>
        </r>
      </text>
    </comment>
    <comment ref="I94" authorId="0">
      <text>
        <r>
          <rPr>
            <sz val="9"/>
            <color indexed="81"/>
            <rFont val="Tahoma"/>
            <family val="2"/>
          </rPr>
          <t>Linear interpolation</t>
        </r>
      </text>
    </comment>
    <comment ref="I96" authorId="0">
      <text>
        <r>
          <rPr>
            <sz val="9"/>
            <color indexed="81"/>
            <rFont val="Tahoma"/>
            <family val="2"/>
          </rPr>
          <t>Linear interpolation</t>
        </r>
      </text>
    </comment>
    <comment ref="H98" authorId="0">
      <text>
        <r>
          <rPr>
            <sz val="9"/>
            <color indexed="81"/>
            <rFont val="Tahoma"/>
            <family val="2"/>
          </rPr>
          <t>Linear interpolation</t>
        </r>
      </text>
    </comment>
    <comment ref="I99" authorId="0">
      <text>
        <r>
          <rPr>
            <sz val="9"/>
            <color indexed="81"/>
            <rFont val="Tahoma"/>
            <family val="2"/>
          </rPr>
          <t>Linear interpolation</t>
        </r>
      </text>
    </comment>
    <comment ref="E105" authorId="0">
      <text>
        <r>
          <rPr>
            <sz val="9"/>
            <color indexed="81"/>
            <rFont val="Tahoma"/>
            <family val="2"/>
          </rPr>
          <t>Linear interpolation</t>
        </r>
      </text>
    </comment>
    <comment ref="F106" authorId="0">
      <text>
        <r>
          <rPr>
            <sz val="9"/>
            <color indexed="81"/>
            <rFont val="Tahoma"/>
            <family val="2"/>
          </rPr>
          <t>Linear interpolation</t>
        </r>
      </text>
    </comment>
    <comment ref="F109" authorId="0">
      <text>
        <r>
          <rPr>
            <sz val="9"/>
            <color indexed="81"/>
            <rFont val="Tahoma"/>
            <family val="2"/>
          </rPr>
          <t>Linear interpolation</t>
        </r>
      </text>
    </comment>
    <comment ref="H116" authorId="0">
      <text>
        <r>
          <rPr>
            <sz val="9"/>
            <color indexed="81"/>
            <rFont val="Tahoma"/>
            <family val="2"/>
          </rPr>
          <t>Linear interpolation</t>
        </r>
      </text>
    </comment>
    <comment ref="I116" authorId="0">
      <text>
        <r>
          <rPr>
            <sz val="9"/>
            <color indexed="81"/>
            <rFont val="Tahoma"/>
            <family val="2"/>
          </rPr>
          <t>Linear interpolation</t>
        </r>
      </text>
    </comment>
    <comment ref="F117" authorId="0">
      <text>
        <r>
          <rPr>
            <sz val="9"/>
            <color indexed="81"/>
            <rFont val="Tahoma"/>
            <family val="2"/>
          </rPr>
          <t>Linear interpolation</t>
        </r>
      </text>
    </comment>
    <comment ref="F119" authorId="0">
      <text>
        <r>
          <rPr>
            <sz val="9"/>
            <color indexed="81"/>
            <rFont val="Tahoma"/>
            <family val="2"/>
          </rPr>
          <t>Linear interpolation</t>
        </r>
      </text>
    </comment>
    <comment ref="H121" authorId="0">
      <text>
        <r>
          <rPr>
            <sz val="9"/>
            <color indexed="81"/>
            <rFont val="Tahoma"/>
            <family val="2"/>
          </rPr>
          <t>Linear interpolation</t>
        </r>
      </text>
    </comment>
    <comment ref="I121" authorId="0">
      <text>
        <r>
          <rPr>
            <sz val="9"/>
            <color indexed="81"/>
            <rFont val="Tahoma"/>
            <family val="2"/>
          </rPr>
          <t>Linear interpolation</t>
        </r>
      </text>
    </comment>
    <comment ref="F122" authorId="0">
      <text>
        <r>
          <rPr>
            <sz val="9"/>
            <color indexed="81"/>
            <rFont val="Tahoma"/>
            <family val="2"/>
          </rPr>
          <t>Linear interpolation</t>
        </r>
      </text>
    </comment>
    <comment ref="F125" authorId="0">
      <text>
        <r>
          <rPr>
            <sz val="9"/>
            <color indexed="81"/>
            <rFont val="Tahoma"/>
            <family val="2"/>
          </rPr>
          <t>Linear interpolation</t>
        </r>
      </text>
    </comment>
    <comment ref="E126" authorId="0">
      <text>
        <r>
          <rPr>
            <sz val="9"/>
            <color indexed="81"/>
            <rFont val="Tahoma"/>
            <family val="2"/>
          </rPr>
          <t>Linear interpolation</t>
        </r>
      </text>
    </comment>
    <comment ref="I126" authorId="0">
      <text>
        <r>
          <rPr>
            <sz val="9"/>
            <color indexed="81"/>
            <rFont val="Tahoma"/>
            <family val="2"/>
          </rPr>
          <t>Linear interpolation</t>
        </r>
      </text>
    </comment>
    <comment ref="F128" authorId="0">
      <text>
        <r>
          <rPr>
            <sz val="9"/>
            <color indexed="81"/>
            <rFont val="Tahoma"/>
            <family val="2"/>
          </rPr>
          <t>Linear interpolation</t>
        </r>
      </text>
    </comment>
    <comment ref="H129" authorId="0">
      <text>
        <r>
          <rPr>
            <sz val="9"/>
            <color indexed="81"/>
            <rFont val="Tahoma"/>
            <family val="2"/>
          </rPr>
          <t>Linear interpolation</t>
        </r>
      </text>
    </comment>
    <comment ref="I129" authorId="0">
      <text>
        <r>
          <rPr>
            <sz val="9"/>
            <color indexed="81"/>
            <rFont val="Tahoma"/>
            <family val="2"/>
          </rPr>
          <t>Linear interpolation</t>
        </r>
      </text>
    </comment>
    <comment ref="F132" authorId="0">
      <text>
        <r>
          <rPr>
            <sz val="9"/>
            <color indexed="81"/>
            <rFont val="Tahoma"/>
            <family val="2"/>
          </rPr>
          <t>Linear interpolation</t>
        </r>
      </text>
    </comment>
    <comment ref="J136" authorId="0">
      <text>
        <r>
          <rPr>
            <sz val="9"/>
            <color indexed="81"/>
            <rFont val="Tahoma"/>
            <family val="2"/>
          </rPr>
          <t>Linear interpolation</t>
        </r>
      </text>
    </comment>
    <comment ref="G138" authorId="0">
      <text>
        <r>
          <rPr>
            <sz val="9"/>
            <color indexed="81"/>
            <rFont val="Tahoma"/>
            <family val="2"/>
          </rPr>
          <t>Linear interpolation</t>
        </r>
      </text>
    </comment>
    <comment ref="F140" authorId="0">
      <text>
        <r>
          <rPr>
            <sz val="9"/>
            <color indexed="81"/>
            <rFont val="Tahoma"/>
            <family val="2"/>
          </rPr>
          <t>Linear interpolation</t>
        </r>
      </text>
    </comment>
    <comment ref="H142" authorId="0">
      <text>
        <r>
          <rPr>
            <sz val="9"/>
            <color indexed="81"/>
            <rFont val="Tahoma"/>
            <family val="2"/>
          </rPr>
          <t>Linear interpolation</t>
        </r>
      </text>
    </comment>
    <comment ref="I142" authorId="0">
      <text>
        <r>
          <rPr>
            <sz val="9"/>
            <color indexed="81"/>
            <rFont val="Tahoma"/>
            <family val="2"/>
          </rPr>
          <t>Linear interpolation</t>
        </r>
      </text>
    </comment>
    <comment ref="J143" authorId="0">
      <text>
        <r>
          <rPr>
            <sz val="9"/>
            <color indexed="81"/>
            <rFont val="Tahoma"/>
            <family val="2"/>
          </rPr>
          <t>Linear interpolation</t>
        </r>
      </text>
    </comment>
    <comment ref="H145" authorId="0">
      <text>
        <r>
          <rPr>
            <sz val="9"/>
            <color indexed="81"/>
            <rFont val="Tahoma"/>
            <family val="2"/>
          </rPr>
          <t>Linear interpolation</t>
        </r>
      </text>
    </comment>
    <comment ref="I145" authorId="0">
      <text>
        <r>
          <rPr>
            <sz val="9"/>
            <color indexed="81"/>
            <rFont val="Tahoma"/>
            <family val="2"/>
          </rPr>
          <t>Linear interpolation</t>
        </r>
      </text>
    </comment>
    <comment ref="F150" authorId="0">
      <text>
        <r>
          <rPr>
            <sz val="9"/>
            <color indexed="81"/>
            <rFont val="Tahoma"/>
            <family val="2"/>
          </rPr>
          <t>Linear interpolation</t>
        </r>
      </text>
    </comment>
    <comment ref="H150" authorId="0">
      <text>
        <r>
          <rPr>
            <sz val="9"/>
            <color indexed="81"/>
            <rFont val="Tahoma"/>
            <family val="2"/>
          </rPr>
          <t>Linear interpolation</t>
        </r>
      </text>
    </comment>
    <comment ref="I150" authorId="0">
      <text>
        <r>
          <rPr>
            <sz val="9"/>
            <color indexed="81"/>
            <rFont val="Tahoma"/>
            <family val="2"/>
          </rPr>
          <t>Linear interpolation</t>
        </r>
      </text>
    </comment>
    <comment ref="J150" authorId="0">
      <text>
        <r>
          <rPr>
            <sz val="9"/>
            <color indexed="81"/>
            <rFont val="Tahoma"/>
            <family val="2"/>
          </rPr>
          <t>Linear interpolation</t>
        </r>
      </text>
    </comment>
    <comment ref="G151" authorId="0">
      <text>
        <r>
          <rPr>
            <sz val="9"/>
            <color indexed="81"/>
            <rFont val="Tahoma"/>
            <family val="2"/>
          </rPr>
          <t>Linear interpolation</t>
        </r>
      </text>
    </comment>
    <comment ref="C154" authorId="0">
      <text>
        <r>
          <rPr>
            <sz val="9"/>
            <color indexed="81"/>
            <rFont val="Tahoma"/>
            <family val="2"/>
          </rPr>
          <t>Linear interpolation</t>
        </r>
      </text>
    </comment>
    <comment ref="F155" authorId="0">
      <text>
        <r>
          <rPr>
            <sz val="9"/>
            <color indexed="81"/>
            <rFont val="Tahoma"/>
            <family val="2"/>
          </rPr>
          <t>Linear interpolation</t>
        </r>
      </text>
    </comment>
    <comment ref="H155" authorId="0">
      <text>
        <r>
          <rPr>
            <sz val="9"/>
            <color indexed="81"/>
            <rFont val="Tahoma"/>
            <family val="2"/>
          </rPr>
          <t>Linear interpolation</t>
        </r>
      </text>
    </comment>
    <comment ref="I155" authorId="0">
      <text>
        <r>
          <rPr>
            <sz val="9"/>
            <color indexed="81"/>
            <rFont val="Tahoma"/>
            <family val="2"/>
          </rPr>
          <t>Linear interpolation</t>
        </r>
      </text>
    </comment>
    <comment ref="J155" authorId="0">
      <text>
        <r>
          <rPr>
            <sz val="9"/>
            <color indexed="81"/>
            <rFont val="Tahoma"/>
            <family val="2"/>
          </rPr>
          <t>Linear interpolation</t>
        </r>
      </text>
    </comment>
    <comment ref="F158" authorId="0">
      <text>
        <r>
          <rPr>
            <sz val="9"/>
            <color indexed="81"/>
            <rFont val="Tahoma"/>
            <family val="2"/>
          </rPr>
          <t>Linear interpolation</t>
        </r>
      </text>
    </comment>
    <comment ref="E160" authorId="0">
      <text>
        <r>
          <rPr>
            <sz val="9"/>
            <color indexed="81"/>
            <rFont val="Tahoma"/>
            <family val="2"/>
          </rPr>
          <t>Linear interpolation</t>
        </r>
      </text>
    </comment>
    <comment ref="F160" authorId="0">
      <text>
        <r>
          <rPr>
            <sz val="9"/>
            <color indexed="81"/>
            <rFont val="Tahoma"/>
            <family val="2"/>
          </rPr>
          <t>Linear interpolation</t>
        </r>
      </text>
    </comment>
    <comment ref="J162" authorId="0">
      <text>
        <r>
          <rPr>
            <sz val="9"/>
            <color indexed="81"/>
            <rFont val="Tahoma"/>
            <family val="2"/>
          </rPr>
          <t>Linear interpolation</t>
        </r>
      </text>
    </comment>
    <comment ref="H169" authorId="0">
      <text>
        <r>
          <rPr>
            <sz val="9"/>
            <color indexed="81"/>
            <rFont val="Tahoma"/>
            <family val="2"/>
          </rPr>
          <t>Linear interpolation</t>
        </r>
      </text>
    </comment>
    <comment ref="I169" authorId="0">
      <text>
        <r>
          <rPr>
            <sz val="9"/>
            <color indexed="81"/>
            <rFont val="Tahoma"/>
            <family val="2"/>
          </rPr>
          <t>Linear interpolation</t>
        </r>
      </text>
    </comment>
    <comment ref="D180" authorId="0">
      <text>
        <r>
          <rPr>
            <sz val="9"/>
            <color indexed="81"/>
            <rFont val="Tahoma"/>
            <family val="2"/>
          </rPr>
          <t>Linear interpolation</t>
        </r>
      </text>
    </comment>
    <comment ref="F180" authorId="0">
      <text>
        <r>
          <rPr>
            <sz val="9"/>
            <color indexed="81"/>
            <rFont val="Tahoma"/>
            <family val="2"/>
          </rPr>
          <t>Linear interpolation</t>
        </r>
      </text>
    </comment>
    <comment ref="H180" authorId="0">
      <text>
        <r>
          <rPr>
            <sz val="9"/>
            <color indexed="81"/>
            <rFont val="Tahoma"/>
            <family val="2"/>
          </rPr>
          <t>Linear interpolation</t>
        </r>
      </text>
    </comment>
    <comment ref="I180" authorId="0">
      <text>
        <r>
          <rPr>
            <sz val="9"/>
            <color indexed="81"/>
            <rFont val="Tahoma"/>
            <family val="2"/>
          </rPr>
          <t>Linear interpolation</t>
        </r>
      </text>
    </comment>
    <comment ref="H182" authorId="0">
      <text>
        <r>
          <rPr>
            <sz val="9"/>
            <color indexed="81"/>
            <rFont val="Tahoma"/>
            <family val="2"/>
          </rPr>
          <t>Linear interpolation</t>
        </r>
      </text>
    </comment>
    <comment ref="I182" authorId="0">
      <text>
        <r>
          <rPr>
            <sz val="9"/>
            <color indexed="81"/>
            <rFont val="Tahoma"/>
            <family val="2"/>
          </rPr>
          <t>Linear interpolation</t>
        </r>
      </text>
    </comment>
    <comment ref="G192" authorId="0">
      <text>
        <r>
          <rPr>
            <sz val="9"/>
            <color indexed="81"/>
            <rFont val="Tahoma"/>
            <family val="2"/>
          </rPr>
          <t>Linear interpolation</t>
        </r>
      </text>
    </comment>
    <comment ref="J194" authorId="0">
      <text>
        <r>
          <rPr>
            <sz val="9"/>
            <color indexed="81"/>
            <rFont val="Tahoma"/>
            <family val="2"/>
          </rPr>
          <t>Linear interpolation</t>
        </r>
      </text>
    </comment>
    <comment ref="G209" authorId="0">
      <text>
        <r>
          <rPr>
            <sz val="9"/>
            <color indexed="81"/>
            <rFont val="Tahoma"/>
            <family val="2"/>
          </rPr>
          <t>Linear interpolation</t>
        </r>
      </text>
    </comment>
    <comment ref="G212" authorId="0">
      <text>
        <r>
          <rPr>
            <sz val="9"/>
            <color indexed="81"/>
            <rFont val="Tahoma"/>
            <family val="2"/>
          </rPr>
          <t>Linear interpolation</t>
        </r>
      </text>
    </comment>
    <comment ref="H212" authorId="0">
      <text>
        <r>
          <rPr>
            <sz val="9"/>
            <color indexed="81"/>
            <rFont val="Tahoma"/>
            <family val="2"/>
          </rPr>
          <t>Linear interpolation</t>
        </r>
      </text>
    </comment>
    <comment ref="I212" authorId="0">
      <text>
        <r>
          <rPr>
            <sz val="9"/>
            <color indexed="81"/>
            <rFont val="Tahoma"/>
            <family val="2"/>
          </rPr>
          <t>Linear interpolation</t>
        </r>
      </text>
    </comment>
    <comment ref="F214" authorId="0">
      <text>
        <r>
          <rPr>
            <sz val="9"/>
            <color indexed="81"/>
            <rFont val="Tahoma"/>
            <family val="2"/>
          </rPr>
          <t>Linear interpolation</t>
        </r>
      </text>
    </comment>
    <comment ref="G214" authorId="0">
      <text>
        <r>
          <rPr>
            <sz val="9"/>
            <color indexed="81"/>
            <rFont val="Tahoma"/>
            <family val="2"/>
          </rPr>
          <t>Linear interpolation</t>
        </r>
      </text>
    </comment>
    <comment ref="H214" authorId="0">
      <text>
        <r>
          <rPr>
            <sz val="9"/>
            <color indexed="81"/>
            <rFont val="Tahoma"/>
            <family val="2"/>
          </rPr>
          <t>Linear interpolation</t>
        </r>
      </text>
    </comment>
    <comment ref="I214" authorId="0">
      <text>
        <r>
          <rPr>
            <sz val="9"/>
            <color indexed="81"/>
            <rFont val="Tahoma"/>
            <family val="2"/>
          </rPr>
          <t>Linear interpolation</t>
        </r>
      </text>
    </comment>
    <comment ref="F216" authorId="0">
      <text>
        <r>
          <rPr>
            <sz val="9"/>
            <color indexed="81"/>
            <rFont val="Tahoma"/>
            <family val="2"/>
          </rPr>
          <t>Linear interpolation</t>
        </r>
      </text>
    </comment>
    <comment ref="H217" authorId="0">
      <text>
        <r>
          <rPr>
            <sz val="9"/>
            <color indexed="81"/>
            <rFont val="Tahoma"/>
            <family val="2"/>
          </rPr>
          <t>Linear interpolation</t>
        </r>
      </text>
    </comment>
    <comment ref="I217" authorId="0">
      <text>
        <r>
          <rPr>
            <sz val="9"/>
            <color indexed="81"/>
            <rFont val="Tahoma"/>
            <family val="2"/>
          </rPr>
          <t>Linear interpolation</t>
        </r>
      </text>
    </comment>
    <comment ref="H222" authorId="0">
      <text>
        <r>
          <rPr>
            <sz val="9"/>
            <color indexed="81"/>
            <rFont val="Tahoma"/>
            <family val="2"/>
          </rPr>
          <t>Linear interpolation</t>
        </r>
      </text>
    </comment>
    <comment ref="I222" authorId="0">
      <text>
        <r>
          <rPr>
            <sz val="9"/>
            <color indexed="81"/>
            <rFont val="Tahoma"/>
            <family val="2"/>
          </rPr>
          <t>Linear interpolation</t>
        </r>
      </text>
    </comment>
    <comment ref="F226" authorId="0">
      <text>
        <r>
          <rPr>
            <sz val="9"/>
            <color indexed="81"/>
            <rFont val="Tahoma"/>
            <family val="2"/>
          </rPr>
          <t>Linear interpolation</t>
        </r>
      </text>
    </comment>
    <comment ref="F259" authorId="0">
      <text>
        <r>
          <rPr>
            <sz val="9"/>
            <color indexed="81"/>
            <rFont val="Tahoma"/>
            <family val="2"/>
          </rPr>
          <t>Linear interpolation</t>
        </r>
      </text>
    </comment>
    <comment ref="J259" authorId="0">
      <text>
        <r>
          <rPr>
            <sz val="9"/>
            <color indexed="81"/>
            <rFont val="Tahoma"/>
            <family val="2"/>
          </rPr>
          <t>Linear interpolation</t>
        </r>
      </text>
    </comment>
    <comment ref="F262" authorId="0">
      <text>
        <r>
          <rPr>
            <sz val="9"/>
            <color indexed="81"/>
            <rFont val="Tahoma"/>
            <family val="2"/>
          </rPr>
          <t>Linear interpolation</t>
        </r>
      </text>
    </comment>
    <comment ref="J262" authorId="0">
      <text>
        <r>
          <rPr>
            <sz val="9"/>
            <color indexed="81"/>
            <rFont val="Tahoma"/>
            <family val="2"/>
          </rPr>
          <t>Linear interpolation</t>
        </r>
      </text>
    </comment>
    <comment ref="H268" authorId="0">
      <text>
        <r>
          <rPr>
            <sz val="9"/>
            <color indexed="81"/>
            <rFont val="Tahoma"/>
            <family val="2"/>
          </rPr>
          <t>Linear interpolation</t>
        </r>
      </text>
    </comment>
  </commentList>
</comments>
</file>

<file path=xl/comments10.xml><?xml version="1.0" encoding="utf-8"?>
<comments xmlns="http://schemas.openxmlformats.org/spreadsheetml/2006/main">
  <authors>
    <author>Zwart, P. de (Pim)</author>
  </authors>
  <commentList>
    <comment ref="H28" authorId="0">
      <text>
        <r>
          <rPr>
            <b/>
            <sz val="8"/>
            <color indexed="81"/>
            <rFont val="Tahoma"/>
            <family val="2"/>
          </rPr>
          <t>Zwart, P. de (Pim):</t>
        </r>
        <r>
          <rPr>
            <sz val="8"/>
            <color indexed="81"/>
            <rFont val="Tahoma"/>
            <family val="2"/>
          </rPr>
          <t xml:space="preserve">
error?</t>
        </r>
      </text>
    </comment>
    <comment ref="N78" authorId="0">
      <text>
        <r>
          <rPr>
            <b/>
            <sz val="8"/>
            <color indexed="81"/>
            <rFont val="Tahoma"/>
            <family val="2"/>
          </rPr>
          <t>Zwart, P. de (Pim):</t>
        </r>
        <r>
          <rPr>
            <sz val="8"/>
            <color indexed="81"/>
            <rFont val="Tahoma"/>
            <family val="2"/>
          </rPr>
          <t xml:space="preserve">
from the observations from 1784 &amp; 1785 it became clear that "klappus oil" was some 30 per cent more expensive. This calculation corrects for that.</t>
        </r>
      </text>
    </comment>
    <comment ref="N90" authorId="0">
      <text>
        <r>
          <rPr>
            <b/>
            <sz val="8"/>
            <color indexed="81"/>
            <rFont val="Tahoma"/>
            <family val="2"/>
          </rPr>
          <t>Zwart, P. de (Pim):</t>
        </r>
        <r>
          <rPr>
            <sz val="8"/>
            <color indexed="81"/>
            <rFont val="Tahoma"/>
            <family val="2"/>
          </rPr>
          <t xml:space="preserve">
from the observations from 1784 &amp; 1785 it became clear that "klappus oil" was some 30 per cent more expensive. This calculation corrects for that.</t>
        </r>
      </text>
    </comment>
    <comment ref="N95" authorId="0">
      <text>
        <r>
          <rPr>
            <b/>
            <sz val="8"/>
            <color indexed="81"/>
            <rFont val="Tahoma"/>
            <family val="2"/>
          </rPr>
          <t>Zwart, P. de (Pim):</t>
        </r>
        <r>
          <rPr>
            <sz val="8"/>
            <color indexed="81"/>
            <rFont val="Tahoma"/>
            <family val="2"/>
          </rPr>
          <t xml:space="preserve">
from the observations from 1784 &amp; 1785 it became clear that "klappus oil" was some 30 per cent more expensive. This calculation corrects for that.</t>
        </r>
      </text>
    </comment>
    <comment ref="N113" authorId="0">
      <text>
        <r>
          <rPr>
            <b/>
            <sz val="8"/>
            <color indexed="81"/>
            <rFont val="Tahoma"/>
            <family val="2"/>
          </rPr>
          <t>Zwart, P. de (Pim):</t>
        </r>
        <r>
          <rPr>
            <sz val="8"/>
            <color indexed="81"/>
            <rFont val="Tahoma"/>
            <family val="2"/>
          </rPr>
          <t xml:space="preserve">
from the observations from 1784 &amp; 1785 it became clear that "klappus oil" was some 30 per cent more expensive. This calculation corrects for that.</t>
        </r>
      </text>
    </comment>
    <comment ref="N138" authorId="0">
      <text>
        <r>
          <rPr>
            <b/>
            <sz val="8"/>
            <color indexed="81"/>
            <rFont val="Tahoma"/>
            <family val="2"/>
          </rPr>
          <t>Zwart, P. de (Pim):</t>
        </r>
        <r>
          <rPr>
            <sz val="8"/>
            <color indexed="81"/>
            <rFont val="Tahoma"/>
            <family val="2"/>
          </rPr>
          <t xml:space="preserve">
series of traan was preferred</t>
        </r>
      </text>
    </comment>
    <comment ref="L265" authorId="0">
      <text>
        <r>
          <rPr>
            <b/>
            <sz val="8"/>
            <color indexed="81"/>
            <rFont val="Tahoma"/>
            <family val="2"/>
          </rPr>
          <t>Zwart, P. de (Pim):</t>
        </r>
        <r>
          <rPr>
            <sz val="8"/>
            <color indexed="81"/>
            <rFont val="Tahoma"/>
            <family val="2"/>
          </rPr>
          <t xml:space="preserve">
1911-1913: lampoil</t>
        </r>
      </text>
    </comment>
  </commentList>
</comments>
</file>

<file path=xl/comments11.xml><?xml version="1.0" encoding="utf-8"?>
<comments xmlns="http://schemas.openxmlformats.org/spreadsheetml/2006/main">
  <authors>
    <author>Zwart, P. de (Pim)</author>
  </authors>
  <commentList>
    <comment ref="F5" authorId="0">
      <text>
        <r>
          <rPr>
            <b/>
            <sz val="8"/>
            <color indexed="81"/>
            <rFont val="Tahoma"/>
            <family val="2"/>
          </rPr>
          <t>Zwart, P. de (Pim):</t>
        </r>
        <r>
          <rPr>
            <sz val="8"/>
            <color indexed="81"/>
            <rFont val="Tahoma"/>
            <family val="2"/>
          </rPr>
          <t xml:space="preserve">
assumed to be similar to a "vracht"</t>
        </r>
      </text>
    </comment>
    <comment ref="B22" authorId="0">
      <text>
        <r>
          <rPr>
            <b/>
            <sz val="8"/>
            <color indexed="81"/>
            <rFont val="Tahoma"/>
            <family val="2"/>
          </rPr>
          <t>Zwart, P. de (Pim):</t>
        </r>
        <r>
          <rPr>
            <sz val="8"/>
            <color indexed="81"/>
            <rFont val="Tahoma"/>
            <family val="2"/>
          </rPr>
          <t xml:space="preserve">
"voer, or voeder", assumed to be similar to the vracht</t>
        </r>
      </text>
    </comment>
    <comment ref="B23" authorId="0">
      <text>
        <r>
          <rPr>
            <b/>
            <sz val="8"/>
            <color indexed="81"/>
            <rFont val="Tahoma"/>
            <family val="2"/>
          </rPr>
          <t>Zwart, P. de (Pim):</t>
        </r>
        <r>
          <rPr>
            <sz val="8"/>
            <color indexed="81"/>
            <rFont val="Tahoma"/>
            <family val="2"/>
          </rPr>
          <t xml:space="preserve">
"voer, or voeder", assumed to be similar to the vracht</t>
        </r>
      </text>
    </comment>
    <comment ref="B24" authorId="0">
      <text>
        <r>
          <rPr>
            <b/>
            <sz val="8"/>
            <color indexed="81"/>
            <rFont val="Tahoma"/>
            <family val="2"/>
          </rPr>
          <t>Zwart, P. de (Pim):</t>
        </r>
        <r>
          <rPr>
            <sz val="8"/>
            <color indexed="81"/>
            <rFont val="Tahoma"/>
            <family val="2"/>
          </rPr>
          <t xml:space="preserve">
"voer, or voeder", assumed to be similar to the vracht</t>
        </r>
      </text>
    </comment>
    <comment ref="D27" authorId="0">
      <text>
        <r>
          <rPr>
            <b/>
            <sz val="8"/>
            <color indexed="81"/>
            <rFont val="Tahoma"/>
            <family val="2"/>
          </rPr>
          <t>Zwart, P. de (Pim):</t>
        </r>
        <r>
          <rPr>
            <sz val="8"/>
            <color indexed="81"/>
            <rFont val="Tahoma"/>
            <family val="2"/>
          </rPr>
          <t xml:space="preserve">
per "vaem"</t>
        </r>
      </text>
    </comment>
    <comment ref="J27" authorId="0">
      <text>
        <r>
          <rPr>
            <b/>
            <sz val="8"/>
            <color indexed="81"/>
            <rFont val="Tahoma"/>
            <family val="2"/>
          </rPr>
          <t>Zwart, P. de (Pim):</t>
        </r>
        <r>
          <rPr>
            <sz val="8"/>
            <color indexed="81"/>
            <rFont val="Tahoma"/>
            <family val="2"/>
          </rPr>
          <t xml:space="preserve">
average of 2</t>
        </r>
      </text>
    </comment>
  </commentList>
</comments>
</file>

<file path=xl/comments12.xml><?xml version="1.0" encoding="utf-8"?>
<comments xmlns="http://schemas.openxmlformats.org/spreadsheetml/2006/main">
  <authors>
    <author>Pim de Zwart</author>
  </authors>
  <commentList>
    <comment ref="N113" authorId="0">
      <text>
        <r>
          <rPr>
            <b/>
            <sz val="9"/>
            <color indexed="81"/>
            <rFont val="Tahoma"/>
            <family val="2"/>
          </rPr>
          <t>Pim de Zwart:</t>
        </r>
        <r>
          <rPr>
            <sz val="9"/>
            <color indexed="81"/>
            <rFont val="Tahoma"/>
            <family val="2"/>
          </rPr>
          <t xml:space="preserve">
error????</t>
        </r>
      </text>
    </comment>
  </commentList>
</comments>
</file>

<file path=xl/comments13.xml><?xml version="1.0" encoding="utf-8"?>
<comments xmlns="http://schemas.openxmlformats.org/spreadsheetml/2006/main">
  <authors>
    <author>Pim de Zwart</author>
    <author>Zwart, P. de (Pim)</author>
  </authors>
  <commentList>
    <comment ref="O274" authorId="0">
      <text>
        <r>
          <rPr>
            <b/>
            <sz val="9"/>
            <color indexed="81"/>
            <rFont val="Tahoma"/>
            <family val="2"/>
          </rPr>
          <t>Pim de Zwart:</t>
        </r>
        <r>
          <rPr>
            <sz val="9"/>
            <color indexed="81"/>
            <rFont val="Tahoma"/>
            <family val="2"/>
          </rPr>
          <t xml:space="preserve">
error?!</t>
        </r>
      </text>
    </comment>
    <comment ref="J443" authorId="0">
      <text>
        <r>
          <rPr>
            <b/>
            <sz val="9"/>
            <color indexed="81"/>
            <rFont val="Tahoma"/>
            <family val="2"/>
          </rPr>
          <t>Pim de Zwart:</t>
        </r>
        <r>
          <rPr>
            <sz val="9"/>
            <color indexed="81"/>
            <rFont val="Tahoma"/>
            <family val="2"/>
          </rPr>
          <t xml:space="preserve">
error?!</t>
        </r>
      </text>
    </comment>
    <comment ref="K543" authorId="1">
      <text>
        <r>
          <rPr>
            <b/>
            <sz val="8"/>
            <color indexed="81"/>
            <rFont val="Tahoma"/>
            <family val="2"/>
          </rPr>
          <t>Zwart, P. de (Pim):</t>
        </r>
        <r>
          <rPr>
            <sz val="8"/>
            <color indexed="81"/>
            <rFont val="Tahoma"/>
            <family val="2"/>
          </rPr>
          <t xml:space="preserve">
project bookkeeper general</t>
        </r>
      </text>
    </comment>
    <comment ref="L543" authorId="1">
      <text>
        <r>
          <rPr>
            <b/>
            <sz val="8"/>
            <color indexed="81"/>
            <rFont val="Tahoma"/>
            <family val="2"/>
          </rPr>
          <t>Zwart, P. de (Pim):</t>
        </r>
        <r>
          <rPr>
            <sz val="8"/>
            <color indexed="81"/>
            <rFont val="Tahoma"/>
            <family val="2"/>
          </rPr>
          <t xml:space="preserve">
voyage no.</t>
        </r>
      </text>
    </comment>
    <comment ref="J2515" authorId="0">
      <text>
        <r>
          <rPr>
            <b/>
            <sz val="9"/>
            <color indexed="81"/>
            <rFont val="Tahoma"/>
            <family val="2"/>
          </rPr>
          <t>Pim de Zwart:</t>
        </r>
        <r>
          <rPr>
            <sz val="9"/>
            <color indexed="81"/>
            <rFont val="Tahoma"/>
            <family val="2"/>
          </rPr>
          <t xml:space="preserve">
error!?</t>
        </r>
      </text>
    </comment>
  </commentList>
</comments>
</file>

<file path=xl/comments14.xml><?xml version="1.0" encoding="utf-8"?>
<comments xmlns="http://schemas.openxmlformats.org/spreadsheetml/2006/main">
  <authors>
    <author>Pim de Zwart</author>
  </authors>
  <commentList>
    <comment ref="I11" authorId="0">
      <text>
        <r>
          <rPr>
            <b/>
            <sz val="9"/>
            <color indexed="81"/>
            <rFont val="Tahoma"/>
            <family val="2"/>
          </rPr>
          <t>Pim de Zwart:</t>
        </r>
        <r>
          <rPr>
            <sz val="9"/>
            <color indexed="81"/>
            <rFont val="Tahoma"/>
            <family val="2"/>
          </rPr>
          <t xml:space="preserve">
error was assumed: changed guilders from 14 to 1400</t>
        </r>
      </text>
    </comment>
  </commentList>
</comments>
</file>

<file path=xl/comments2.xml><?xml version="1.0" encoding="utf-8"?>
<comments xmlns="http://schemas.openxmlformats.org/spreadsheetml/2006/main">
  <authors>
    <author>Pim</author>
  </authors>
  <commentList>
    <comment ref="H8" authorId="0">
      <text>
        <r>
          <rPr>
            <sz val="9"/>
            <color indexed="81"/>
            <rFont val="Tahoma"/>
            <family val="2"/>
          </rPr>
          <t>Linear interpolation</t>
        </r>
      </text>
    </comment>
    <comment ref="H11" authorId="0">
      <text>
        <r>
          <rPr>
            <sz val="9"/>
            <color indexed="81"/>
            <rFont val="Tahoma"/>
            <family val="2"/>
          </rPr>
          <t>Linear interpolation</t>
        </r>
      </text>
    </comment>
    <comment ref="I11" authorId="0">
      <text>
        <r>
          <rPr>
            <sz val="9"/>
            <color indexed="81"/>
            <rFont val="Tahoma"/>
            <family val="2"/>
          </rPr>
          <t>Linear interpolation</t>
        </r>
      </text>
    </comment>
    <comment ref="F17" authorId="0">
      <text>
        <r>
          <rPr>
            <sz val="9"/>
            <color indexed="81"/>
            <rFont val="Tahoma"/>
            <family val="2"/>
          </rPr>
          <t>Linear interpolation</t>
        </r>
      </text>
    </comment>
    <comment ref="J17" authorId="0">
      <text>
        <r>
          <rPr>
            <sz val="9"/>
            <color indexed="81"/>
            <rFont val="Tahoma"/>
            <family val="2"/>
          </rPr>
          <t>Linear interpolation</t>
        </r>
      </text>
    </comment>
    <comment ref="H18" authorId="0">
      <text>
        <r>
          <rPr>
            <sz val="9"/>
            <color indexed="81"/>
            <rFont val="Tahoma"/>
            <family val="2"/>
          </rPr>
          <t>Linear interpolation</t>
        </r>
      </text>
    </comment>
    <comment ref="I18" authorId="0">
      <text>
        <r>
          <rPr>
            <sz val="9"/>
            <color indexed="81"/>
            <rFont val="Tahoma"/>
            <family val="2"/>
          </rPr>
          <t>Linear interpolation</t>
        </r>
      </text>
    </comment>
    <comment ref="H26" authorId="0">
      <text>
        <r>
          <rPr>
            <sz val="9"/>
            <color indexed="81"/>
            <rFont val="Tahoma"/>
            <family val="2"/>
          </rPr>
          <t>Linear interpolation</t>
        </r>
      </text>
    </comment>
    <comment ref="I26" authorId="0">
      <text>
        <r>
          <rPr>
            <sz val="9"/>
            <color indexed="81"/>
            <rFont val="Tahoma"/>
            <family val="2"/>
          </rPr>
          <t>Linear interpolation</t>
        </r>
      </text>
    </comment>
    <comment ref="J26" authorId="0">
      <text>
        <r>
          <rPr>
            <sz val="9"/>
            <color indexed="81"/>
            <rFont val="Tahoma"/>
            <family val="2"/>
          </rPr>
          <t>Linear interpolation</t>
        </r>
      </text>
    </comment>
    <comment ref="F30" authorId="0">
      <text>
        <r>
          <rPr>
            <sz val="9"/>
            <color indexed="81"/>
            <rFont val="Tahoma"/>
            <family val="2"/>
          </rPr>
          <t>Linear interpolation</t>
        </r>
      </text>
    </comment>
    <comment ref="H30" authorId="0">
      <text>
        <r>
          <rPr>
            <sz val="9"/>
            <color indexed="81"/>
            <rFont val="Tahoma"/>
            <family val="2"/>
          </rPr>
          <t>Linear interpolation</t>
        </r>
      </text>
    </comment>
    <comment ref="I30" authorId="0">
      <text>
        <r>
          <rPr>
            <sz val="9"/>
            <color indexed="81"/>
            <rFont val="Tahoma"/>
            <family val="2"/>
          </rPr>
          <t>Linear interpolation</t>
        </r>
      </text>
    </comment>
    <comment ref="F33" authorId="0">
      <text>
        <r>
          <rPr>
            <sz val="9"/>
            <color indexed="81"/>
            <rFont val="Tahoma"/>
            <family val="2"/>
          </rPr>
          <t>Linear interpolation</t>
        </r>
      </text>
    </comment>
    <comment ref="I33" authorId="0">
      <text>
        <r>
          <rPr>
            <sz val="9"/>
            <color indexed="81"/>
            <rFont val="Tahoma"/>
            <family val="2"/>
          </rPr>
          <t>Linear interpolation</t>
        </r>
      </text>
    </comment>
    <comment ref="H38" authorId="0">
      <text>
        <r>
          <rPr>
            <sz val="9"/>
            <color indexed="81"/>
            <rFont val="Tahoma"/>
            <family val="2"/>
          </rPr>
          <t>Linear interpolation</t>
        </r>
      </text>
    </comment>
    <comment ref="I38" authorId="0">
      <text>
        <r>
          <rPr>
            <sz val="9"/>
            <color indexed="81"/>
            <rFont val="Tahoma"/>
            <family val="2"/>
          </rPr>
          <t>Linear interpolation</t>
        </r>
      </text>
    </comment>
    <comment ref="J38" authorId="0">
      <text>
        <r>
          <rPr>
            <sz val="9"/>
            <color indexed="81"/>
            <rFont val="Tahoma"/>
            <family val="2"/>
          </rPr>
          <t>Linear interpolation</t>
        </r>
      </text>
    </comment>
    <comment ref="J40" authorId="0">
      <text>
        <r>
          <rPr>
            <sz val="9"/>
            <color indexed="81"/>
            <rFont val="Tahoma"/>
            <family val="2"/>
          </rPr>
          <t>Linear interpolation</t>
        </r>
      </text>
    </comment>
    <comment ref="H42" authorId="0">
      <text>
        <r>
          <rPr>
            <sz val="9"/>
            <color indexed="81"/>
            <rFont val="Tahoma"/>
            <family val="2"/>
          </rPr>
          <t>Linear interpolation</t>
        </r>
      </text>
    </comment>
    <comment ref="H45" authorId="0">
      <text>
        <r>
          <rPr>
            <sz val="9"/>
            <color indexed="81"/>
            <rFont val="Tahoma"/>
            <family val="2"/>
          </rPr>
          <t>Linear interpolation</t>
        </r>
      </text>
    </comment>
    <comment ref="F49" authorId="0">
      <text>
        <r>
          <rPr>
            <sz val="9"/>
            <color indexed="81"/>
            <rFont val="Tahoma"/>
            <family val="2"/>
          </rPr>
          <t>Linear interpolation</t>
        </r>
      </text>
    </comment>
    <comment ref="J49" authorId="0">
      <text>
        <r>
          <rPr>
            <sz val="9"/>
            <color indexed="81"/>
            <rFont val="Tahoma"/>
            <family val="2"/>
          </rPr>
          <t>Linear interpolation</t>
        </r>
      </text>
    </comment>
    <comment ref="F52" authorId="0">
      <text>
        <r>
          <rPr>
            <sz val="9"/>
            <color indexed="81"/>
            <rFont val="Tahoma"/>
            <family val="2"/>
          </rPr>
          <t>Linear interpolation</t>
        </r>
      </text>
    </comment>
    <comment ref="F54" authorId="0">
      <text>
        <r>
          <rPr>
            <sz val="9"/>
            <color indexed="81"/>
            <rFont val="Tahoma"/>
            <family val="2"/>
          </rPr>
          <t>Linear interpolation</t>
        </r>
      </text>
    </comment>
    <comment ref="H55" authorId="0">
      <text>
        <r>
          <rPr>
            <sz val="9"/>
            <color indexed="81"/>
            <rFont val="Tahoma"/>
            <family val="2"/>
          </rPr>
          <t>Linear interpolation</t>
        </r>
      </text>
    </comment>
    <comment ref="I58" authorId="0">
      <text>
        <r>
          <rPr>
            <sz val="9"/>
            <color indexed="81"/>
            <rFont val="Tahoma"/>
            <family val="2"/>
          </rPr>
          <t>Linear interpolation</t>
        </r>
      </text>
    </comment>
    <comment ref="J58" authorId="0">
      <text>
        <r>
          <rPr>
            <sz val="9"/>
            <color indexed="81"/>
            <rFont val="Tahoma"/>
            <family val="2"/>
          </rPr>
          <t>Linear interpolation</t>
        </r>
      </text>
    </comment>
    <comment ref="I60" authorId="0">
      <text>
        <r>
          <rPr>
            <sz val="9"/>
            <color indexed="81"/>
            <rFont val="Tahoma"/>
            <family val="2"/>
          </rPr>
          <t>Linear interpolation</t>
        </r>
      </text>
    </comment>
    <comment ref="F66" authorId="0">
      <text>
        <r>
          <rPr>
            <sz val="9"/>
            <color indexed="81"/>
            <rFont val="Tahoma"/>
            <family val="2"/>
          </rPr>
          <t>Linear interpolation</t>
        </r>
      </text>
    </comment>
    <comment ref="I67" authorId="0">
      <text>
        <r>
          <rPr>
            <sz val="9"/>
            <color indexed="81"/>
            <rFont val="Tahoma"/>
            <family val="2"/>
          </rPr>
          <t>Linear interpolation</t>
        </r>
      </text>
    </comment>
    <comment ref="F68" authorId="0">
      <text>
        <r>
          <rPr>
            <sz val="9"/>
            <color indexed="81"/>
            <rFont val="Tahoma"/>
            <family val="2"/>
          </rPr>
          <t>Linear interpolation</t>
        </r>
      </text>
    </comment>
    <comment ref="H69" authorId="0">
      <text>
        <r>
          <rPr>
            <sz val="9"/>
            <color indexed="81"/>
            <rFont val="Tahoma"/>
            <family val="2"/>
          </rPr>
          <t>Linear interpolation</t>
        </r>
      </text>
    </comment>
    <comment ref="I69" authorId="0">
      <text>
        <r>
          <rPr>
            <sz val="9"/>
            <color indexed="81"/>
            <rFont val="Tahoma"/>
            <family val="2"/>
          </rPr>
          <t>Linear interpolation</t>
        </r>
      </text>
    </comment>
    <comment ref="I74" authorId="0">
      <text>
        <r>
          <rPr>
            <sz val="9"/>
            <color indexed="81"/>
            <rFont val="Tahoma"/>
            <family val="2"/>
          </rPr>
          <t>Linear interpolation</t>
        </r>
      </text>
    </comment>
    <comment ref="I81" authorId="0">
      <text>
        <r>
          <rPr>
            <sz val="9"/>
            <color indexed="81"/>
            <rFont val="Tahoma"/>
            <family val="2"/>
          </rPr>
          <t>Linear interpolation</t>
        </r>
      </text>
    </comment>
    <comment ref="I89" authorId="0">
      <text>
        <r>
          <rPr>
            <sz val="9"/>
            <color indexed="81"/>
            <rFont val="Tahoma"/>
            <family val="2"/>
          </rPr>
          <t>Linear interpolation</t>
        </r>
      </text>
    </comment>
    <comment ref="I91" authorId="0">
      <text>
        <r>
          <rPr>
            <sz val="9"/>
            <color indexed="81"/>
            <rFont val="Tahoma"/>
            <family val="2"/>
          </rPr>
          <t>Linear interpolation</t>
        </r>
      </text>
    </comment>
    <comment ref="F101" authorId="0">
      <text>
        <r>
          <rPr>
            <sz val="9"/>
            <color indexed="81"/>
            <rFont val="Tahoma"/>
            <family val="2"/>
          </rPr>
          <t>Linear interpolation</t>
        </r>
      </text>
    </comment>
    <comment ref="F104" authorId="0">
      <text>
        <r>
          <rPr>
            <sz val="9"/>
            <color indexed="81"/>
            <rFont val="Tahoma"/>
            <family val="2"/>
          </rPr>
          <t>Linear interpolation</t>
        </r>
      </text>
    </comment>
    <comment ref="F112" authorId="0">
      <text>
        <r>
          <rPr>
            <sz val="9"/>
            <color indexed="81"/>
            <rFont val="Tahoma"/>
            <family val="2"/>
          </rPr>
          <t>Linear interpolation</t>
        </r>
      </text>
    </comment>
    <comment ref="F114" authorId="0">
      <text>
        <r>
          <rPr>
            <sz val="9"/>
            <color indexed="81"/>
            <rFont val="Tahoma"/>
            <family val="2"/>
          </rPr>
          <t>Linear interpolation</t>
        </r>
      </text>
    </comment>
    <comment ref="F117" authorId="0">
      <text>
        <r>
          <rPr>
            <sz val="9"/>
            <color indexed="81"/>
            <rFont val="Tahoma"/>
            <family val="2"/>
          </rPr>
          <t>Linear interpolation</t>
        </r>
      </text>
    </comment>
    <comment ref="F120" authorId="0">
      <text>
        <r>
          <rPr>
            <sz val="9"/>
            <color indexed="81"/>
            <rFont val="Tahoma"/>
            <family val="2"/>
          </rPr>
          <t>Linear interpolation</t>
        </r>
      </text>
    </comment>
    <comment ref="I121" authorId="0">
      <text>
        <r>
          <rPr>
            <sz val="9"/>
            <color indexed="81"/>
            <rFont val="Tahoma"/>
            <family val="2"/>
          </rPr>
          <t>Linear interpolation</t>
        </r>
      </text>
    </comment>
    <comment ref="F123" authorId="0">
      <text>
        <r>
          <rPr>
            <sz val="9"/>
            <color indexed="81"/>
            <rFont val="Tahoma"/>
            <family val="2"/>
          </rPr>
          <t>Linear interpolation</t>
        </r>
      </text>
    </comment>
    <comment ref="H137" authorId="0">
      <text>
        <r>
          <rPr>
            <sz val="9"/>
            <color indexed="81"/>
            <rFont val="Tahoma"/>
            <family val="2"/>
          </rPr>
          <t>Linear interpolation</t>
        </r>
      </text>
    </comment>
    <comment ref="I137" authorId="0">
      <text>
        <r>
          <rPr>
            <sz val="9"/>
            <color indexed="81"/>
            <rFont val="Tahoma"/>
            <family val="2"/>
          </rPr>
          <t>Linear interpolation</t>
        </r>
      </text>
    </comment>
    <comment ref="H140" authorId="0">
      <text>
        <r>
          <rPr>
            <sz val="9"/>
            <color indexed="81"/>
            <rFont val="Tahoma"/>
            <family val="2"/>
          </rPr>
          <t>Linear interpolation</t>
        </r>
      </text>
    </comment>
    <comment ref="I140" authorId="0">
      <text>
        <r>
          <rPr>
            <sz val="9"/>
            <color indexed="81"/>
            <rFont val="Tahoma"/>
            <family val="2"/>
          </rPr>
          <t>Linear interpolation</t>
        </r>
      </text>
    </comment>
    <comment ref="F145" authorId="0">
      <text>
        <r>
          <rPr>
            <sz val="9"/>
            <color indexed="81"/>
            <rFont val="Tahoma"/>
            <family val="2"/>
          </rPr>
          <t>Linear interpolation</t>
        </r>
      </text>
    </comment>
    <comment ref="H145" authorId="0">
      <text>
        <r>
          <rPr>
            <sz val="9"/>
            <color indexed="81"/>
            <rFont val="Tahoma"/>
            <family val="2"/>
          </rPr>
          <t>Linear interpolation</t>
        </r>
      </text>
    </comment>
    <comment ref="I145" authorId="0">
      <text>
        <r>
          <rPr>
            <sz val="9"/>
            <color indexed="81"/>
            <rFont val="Tahoma"/>
            <family val="2"/>
          </rPr>
          <t>Linear interpolation</t>
        </r>
      </text>
    </comment>
    <comment ref="J145" authorId="0">
      <text>
        <r>
          <rPr>
            <sz val="9"/>
            <color indexed="81"/>
            <rFont val="Tahoma"/>
            <family val="2"/>
          </rPr>
          <t>Linear interpolation</t>
        </r>
      </text>
    </comment>
    <comment ref="F150" authorId="0">
      <text>
        <r>
          <rPr>
            <sz val="9"/>
            <color indexed="81"/>
            <rFont val="Tahoma"/>
            <family val="2"/>
          </rPr>
          <t>Linear interpolation</t>
        </r>
      </text>
    </comment>
    <comment ref="F153" authorId="0">
      <text>
        <r>
          <rPr>
            <sz val="9"/>
            <color indexed="81"/>
            <rFont val="Tahoma"/>
            <family val="2"/>
          </rPr>
          <t>Linear interpolation</t>
        </r>
      </text>
    </comment>
    <comment ref="F175" authorId="0">
      <text>
        <r>
          <rPr>
            <sz val="9"/>
            <color indexed="81"/>
            <rFont val="Tahoma"/>
            <family val="2"/>
          </rPr>
          <t>Linear interpolation</t>
        </r>
      </text>
    </comment>
    <comment ref="H175" authorId="0">
      <text>
        <r>
          <rPr>
            <sz val="9"/>
            <color indexed="81"/>
            <rFont val="Tahoma"/>
            <family val="2"/>
          </rPr>
          <t>Linear interpolation</t>
        </r>
      </text>
    </comment>
    <comment ref="I175" authorId="0">
      <text>
        <r>
          <rPr>
            <sz val="9"/>
            <color indexed="81"/>
            <rFont val="Tahoma"/>
            <family val="2"/>
          </rPr>
          <t>Linear interpolation</t>
        </r>
      </text>
    </comment>
    <comment ref="H177" authorId="0">
      <text>
        <r>
          <rPr>
            <sz val="9"/>
            <color indexed="81"/>
            <rFont val="Tahoma"/>
            <family val="2"/>
          </rPr>
          <t>Linear interpolation</t>
        </r>
      </text>
    </comment>
    <comment ref="I177" authorId="0">
      <text>
        <r>
          <rPr>
            <sz val="9"/>
            <color indexed="81"/>
            <rFont val="Tahoma"/>
            <family val="2"/>
          </rPr>
          <t>Linear interpolation</t>
        </r>
      </text>
    </comment>
    <comment ref="H207" authorId="0">
      <text>
        <r>
          <rPr>
            <sz val="9"/>
            <color indexed="81"/>
            <rFont val="Tahoma"/>
            <family val="2"/>
          </rPr>
          <t>Linear interpolation</t>
        </r>
      </text>
    </comment>
    <comment ref="I207" authorId="0">
      <text>
        <r>
          <rPr>
            <sz val="9"/>
            <color indexed="81"/>
            <rFont val="Tahoma"/>
            <family val="2"/>
          </rPr>
          <t>Linear interpolation</t>
        </r>
      </text>
    </comment>
    <comment ref="F209" authorId="0">
      <text>
        <r>
          <rPr>
            <sz val="9"/>
            <color indexed="81"/>
            <rFont val="Tahoma"/>
            <family val="2"/>
          </rPr>
          <t>Linear interpolation</t>
        </r>
      </text>
    </comment>
    <comment ref="H209" authorId="0">
      <text>
        <r>
          <rPr>
            <sz val="9"/>
            <color indexed="81"/>
            <rFont val="Tahoma"/>
            <family val="2"/>
          </rPr>
          <t>Linear interpolation</t>
        </r>
      </text>
    </comment>
    <comment ref="I209" authorId="0">
      <text>
        <r>
          <rPr>
            <sz val="9"/>
            <color indexed="81"/>
            <rFont val="Tahoma"/>
            <family val="2"/>
          </rPr>
          <t>Linear interpolation</t>
        </r>
      </text>
    </comment>
    <comment ref="F211" authorId="0">
      <text>
        <r>
          <rPr>
            <sz val="9"/>
            <color indexed="81"/>
            <rFont val="Tahoma"/>
            <family val="2"/>
          </rPr>
          <t>Linear interpolation</t>
        </r>
      </text>
    </comment>
    <comment ref="H212" authorId="0">
      <text>
        <r>
          <rPr>
            <sz val="9"/>
            <color indexed="81"/>
            <rFont val="Tahoma"/>
            <family val="2"/>
          </rPr>
          <t>Linear interpolation</t>
        </r>
      </text>
    </comment>
    <comment ref="I212" authorId="0">
      <text>
        <r>
          <rPr>
            <sz val="9"/>
            <color indexed="81"/>
            <rFont val="Tahoma"/>
            <family val="2"/>
          </rPr>
          <t>Linear interpolation</t>
        </r>
      </text>
    </comment>
    <comment ref="H217" authorId="0">
      <text>
        <r>
          <rPr>
            <sz val="9"/>
            <color indexed="81"/>
            <rFont val="Tahoma"/>
            <family val="2"/>
          </rPr>
          <t>Linear interpolation</t>
        </r>
      </text>
    </comment>
    <comment ref="I217" authorId="0">
      <text>
        <r>
          <rPr>
            <sz val="9"/>
            <color indexed="81"/>
            <rFont val="Tahoma"/>
            <family val="2"/>
          </rPr>
          <t>Linear interpolation</t>
        </r>
      </text>
    </comment>
    <comment ref="F254" authorId="0">
      <text>
        <r>
          <rPr>
            <sz val="9"/>
            <color indexed="81"/>
            <rFont val="Tahoma"/>
            <family val="2"/>
          </rPr>
          <t>Linear interpolation</t>
        </r>
      </text>
    </comment>
    <comment ref="J254" authorId="0">
      <text>
        <r>
          <rPr>
            <sz val="9"/>
            <color indexed="81"/>
            <rFont val="Tahoma"/>
            <family val="2"/>
          </rPr>
          <t>Linear interpolation</t>
        </r>
      </text>
    </comment>
    <comment ref="F257" authorId="0">
      <text>
        <r>
          <rPr>
            <sz val="9"/>
            <color indexed="81"/>
            <rFont val="Tahoma"/>
            <family val="2"/>
          </rPr>
          <t>Linear interpolation</t>
        </r>
      </text>
    </comment>
    <comment ref="J257" authorId="0">
      <text>
        <r>
          <rPr>
            <sz val="9"/>
            <color indexed="81"/>
            <rFont val="Tahoma"/>
            <family val="2"/>
          </rPr>
          <t>Linear interpolation</t>
        </r>
      </text>
    </comment>
    <comment ref="H263" authorId="0">
      <text>
        <r>
          <rPr>
            <sz val="9"/>
            <color indexed="81"/>
            <rFont val="Tahoma"/>
            <family val="2"/>
          </rPr>
          <t>Linear interpolation</t>
        </r>
      </text>
    </comment>
  </commentList>
</comments>
</file>

<file path=xl/comments3.xml><?xml version="1.0" encoding="utf-8"?>
<comments xmlns="http://schemas.openxmlformats.org/spreadsheetml/2006/main">
  <authors>
    <author>Pim de Zwart</author>
  </authors>
  <commentList>
    <comment ref="E3" authorId="0">
      <text>
        <r>
          <rPr>
            <b/>
            <sz val="9"/>
            <color indexed="81"/>
            <rFont val="Tahoma"/>
            <family val="2"/>
          </rPr>
          <t>Pim de Zwart:</t>
        </r>
        <r>
          <rPr>
            <sz val="9"/>
            <color indexed="81"/>
            <rFont val="Tahoma"/>
            <family val="2"/>
          </rPr>
          <t xml:space="preserve">
See sheet: VOC.</t>
        </r>
      </text>
    </comment>
    <comment ref="L4" authorId="0">
      <text>
        <r>
          <rPr>
            <b/>
            <sz val="9"/>
            <color indexed="81"/>
            <rFont val="Tahoma"/>
            <family val="2"/>
          </rPr>
          <t>Pim de Zwart:</t>
        </r>
        <r>
          <rPr>
            <sz val="9"/>
            <color indexed="81"/>
            <rFont val="Tahoma"/>
            <family val="2"/>
          </rPr>
          <t xml:space="preserve">
already converted in other sheet, orignal Rds per muid.</t>
        </r>
      </text>
    </comment>
    <comment ref="V12" authorId="0">
      <text>
        <r>
          <rPr>
            <sz val="9"/>
            <color indexed="81"/>
            <rFont val="Tahoma"/>
            <family val="2"/>
          </rPr>
          <t>Linear interpolation</t>
        </r>
      </text>
    </comment>
    <comment ref="V17" authorId="0">
      <text>
        <r>
          <rPr>
            <sz val="9"/>
            <color indexed="81"/>
            <rFont val="Tahoma"/>
            <family val="2"/>
          </rPr>
          <t>Linear interpolation</t>
        </r>
      </text>
    </comment>
    <comment ref="V28" authorId="0">
      <text>
        <r>
          <rPr>
            <sz val="9"/>
            <color indexed="81"/>
            <rFont val="Tahoma"/>
            <family val="2"/>
          </rPr>
          <t>Linear interpolation</t>
        </r>
      </text>
    </comment>
    <comment ref="V31" authorId="0">
      <text>
        <r>
          <rPr>
            <sz val="9"/>
            <color indexed="81"/>
            <rFont val="Tahoma"/>
            <family val="2"/>
          </rPr>
          <t>Linear interpolation</t>
        </r>
      </text>
    </comment>
    <comment ref="J38" authorId="0">
      <text>
        <r>
          <rPr>
            <b/>
            <sz val="9"/>
            <color indexed="81"/>
            <rFont val="Tahoma"/>
            <family val="2"/>
          </rPr>
          <t>Pim de Zwart:</t>
        </r>
        <r>
          <rPr>
            <sz val="9"/>
            <color indexed="81"/>
            <rFont val="Tahoma"/>
            <family val="2"/>
          </rPr>
          <t xml:space="preserve">
MOOC8/1.2</t>
        </r>
      </text>
    </comment>
    <comment ref="V40" authorId="0">
      <text>
        <r>
          <rPr>
            <sz val="9"/>
            <color indexed="81"/>
            <rFont val="Tahoma"/>
            <family val="2"/>
          </rPr>
          <t>Linear interpolation</t>
        </r>
      </text>
    </comment>
    <comment ref="V45" authorId="0">
      <text>
        <r>
          <rPr>
            <sz val="9"/>
            <color indexed="81"/>
            <rFont val="Tahoma"/>
            <family val="2"/>
          </rPr>
          <t>Linear interpolation</t>
        </r>
      </text>
    </comment>
    <comment ref="J54" authorId="0">
      <text>
        <r>
          <rPr>
            <b/>
            <sz val="9"/>
            <color indexed="81"/>
            <rFont val="Tahoma"/>
            <family val="2"/>
          </rPr>
          <t>Pim de Zwart:</t>
        </r>
        <r>
          <rPr>
            <sz val="9"/>
            <color indexed="81"/>
            <rFont val="Tahoma"/>
            <family val="2"/>
          </rPr>
          <t xml:space="preserve">
MOOC10/1.18</t>
        </r>
      </text>
    </comment>
    <comment ref="J60" authorId="0">
      <text>
        <r>
          <rPr>
            <b/>
            <sz val="9"/>
            <color indexed="81"/>
            <rFont val="Tahoma"/>
            <family val="2"/>
          </rPr>
          <t>Pim de Zwart:</t>
        </r>
        <r>
          <rPr>
            <sz val="9"/>
            <color indexed="81"/>
            <rFont val="Tahoma"/>
            <family val="2"/>
          </rPr>
          <t xml:space="preserve">
MOOC10/1.40</t>
        </r>
      </text>
    </comment>
    <comment ref="E61" authorId="0">
      <text>
        <r>
          <rPr>
            <b/>
            <sz val="9"/>
            <color indexed="81"/>
            <rFont val="Tahoma"/>
            <family val="2"/>
          </rPr>
          <t>Pim de Zwart:</t>
        </r>
        <r>
          <rPr>
            <sz val="9"/>
            <color indexed="81"/>
            <rFont val="Tahoma"/>
            <family val="2"/>
          </rPr>
          <t xml:space="preserve">
tarwe meel=wheat flour, apparantly going for the same price as wheat
</t>
        </r>
      </text>
    </comment>
    <comment ref="J61" authorId="0">
      <text>
        <r>
          <rPr>
            <b/>
            <sz val="9"/>
            <color indexed="81"/>
            <rFont val="Tahoma"/>
            <family val="2"/>
          </rPr>
          <t>Pim de Zwart:</t>
        </r>
        <r>
          <rPr>
            <sz val="9"/>
            <color indexed="81"/>
            <rFont val="Tahoma"/>
            <family val="2"/>
          </rPr>
          <t xml:space="preserve">
MOOC8/2.24</t>
        </r>
      </text>
    </comment>
    <comment ref="V65" authorId="0">
      <text>
        <r>
          <rPr>
            <sz val="9"/>
            <color indexed="81"/>
            <rFont val="Tahoma"/>
            <family val="2"/>
          </rPr>
          <t>Linear interpolation</t>
        </r>
      </text>
    </comment>
    <comment ref="E67" authorId="0">
      <text>
        <r>
          <rPr>
            <b/>
            <sz val="9"/>
            <color indexed="81"/>
            <rFont val="Tahoma"/>
            <family val="2"/>
          </rPr>
          <t>Pim de Zwart:</t>
        </r>
        <r>
          <rPr>
            <sz val="9"/>
            <color indexed="81"/>
            <rFont val="Tahoma"/>
            <family val="2"/>
          </rPr>
          <t xml:space="preserve">
tarwe meel=wheat flour, apparantly going for the same price as wheat</t>
        </r>
      </text>
    </comment>
    <comment ref="V68" authorId="0">
      <text>
        <r>
          <rPr>
            <sz val="9"/>
            <color indexed="81"/>
            <rFont val="Tahoma"/>
            <family val="2"/>
          </rPr>
          <t>Linear interpolation</t>
        </r>
      </text>
    </comment>
    <comment ref="J72" authorId="0">
      <text>
        <r>
          <rPr>
            <b/>
            <sz val="9"/>
            <color indexed="81"/>
            <rFont val="Tahoma"/>
            <family val="2"/>
          </rPr>
          <t>Pim de Zwart:</t>
        </r>
        <r>
          <rPr>
            <sz val="9"/>
            <color indexed="81"/>
            <rFont val="Tahoma"/>
            <family val="2"/>
          </rPr>
          <t xml:space="preserve">
MOOC8/3.99</t>
        </r>
      </text>
    </comment>
    <comment ref="J73" authorId="0">
      <text>
        <r>
          <rPr>
            <b/>
            <sz val="9"/>
            <color indexed="81"/>
            <rFont val="Tahoma"/>
            <family val="2"/>
          </rPr>
          <t>Pim de Zwart:</t>
        </r>
        <r>
          <rPr>
            <sz val="9"/>
            <color indexed="81"/>
            <rFont val="Tahoma"/>
            <family val="2"/>
          </rPr>
          <t xml:space="preserve">
MOOC8/4.3</t>
        </r>
      </text>
    </comment>
    <comment ref="V74" authorId="0">
      <text>
        <r>
          <rPr>
            <sz val="9"/>
            <color indexed="81"/>
            <rFont val="Tahoma"/>
            <family val="2"/>
          </rPr>
          <t>Linear interpolation</t>
        </r>
      </text>
    </comment>
    <comment ref="J76" authorId="0">
      <text>
        <r>
          <rPr>
            <b/>
            <sz val="9"/>
            <color indexed="81"/>
            <rFont val="Tahoma"/>
            <family val="2"/>
          </rPr>
          <t>Pim de Zwart:</t>
        </r>
        <r>
          <rPr>
            <sz val="9"/>
            <color indexed="81"/>
            <rFont val="Tahoma"/>
            <family val="2"/>
          </rPr>
          <t xml:space="preserve">
average over 5 prices; MOOC10/3.42</t>
        </r>
      </text>
    </comment>
    <comment ref="V80" authorId="0">
      <text>
        <r>
          <rPr>
            <sz val="9"/>
            <color indexed="81"/>
            <rFont val="Tahoma"/>
            <family val="2"/>
          </rPr>
          <t>Linear interpolation</t>
        </r>
      </text>
    </comment>
    <comment ref="J87" authorId="0">
      <text>
        <r>
          <rPr>
            <b/>
            <sz val="9"/>
            <color indexed="81"/>
            <rFont val="Tahoma"/>
            <family val="2"/>
          </rPr>
          <t>Pim de Zwart:</t>
        </r>
        <r>
          <rPr>
            <sz val="9"/>
            <color indexed="81"/>
            <rFont val="Tahoma"/>
            <family val="2"/>
          </rPr>
          <t xml:space="preserve">
MOOC8/5.68</t>
        </r>
      </text>
    </comment>
    <comment ref="D91" authorId="0">
      <text>
        <r>
          <rPr>
            <b/>
            <sz val="9"/>
            <color indexed="81"/>
            <rFont val="Tahoma"/>
            <family val="2"/>
          </rPr>
          <t>Pim de Zwart:</t>
        </r>
        <r>
          <rPr>
            <sz val="9"/>
            <color indexed="81"/>
            <rFont val="Tahoma"/>
            <family val="2"/>
          </rPr>
          <t xml:space="preserve">
average of 5 and 6</t>
        </r>
      </text>
    </comment>
    <comment ref="J91" authorId="0">
      <text>
        <r>
          <rPr>
            <b/>
            <sz val="9"/>
            <color indexed="81"/>
            <rFont val="Tahoma"/>
            <family val="2"/>
          </rPr>
          <t>Pim de Zwart:</t>
        </r>
        <r>
          <rPr>
            <sz val="9"/>
            <color indexed="81"/>
            <rFont val="Tahoma"/>
            <family val="2"/>
          </rPr>
          <t xml:space="preserve">
average of 2 prices: MOOC8/6.10a; MOOC8/6.14</t>
        </r>
      </text>
    </comment>
    <comment ref="J93" authorId="0">
      <text>
        <r>
          <rPr>
            <b/>
            <sz val="9"/>
            <color indexed="81"/>
            <rFont val="Tahoma"/>
            <family val="2"/>
          </rPr>
          <t>Pim de Zwart:</t>
        </r>
        <r>
          <rPr>
            <sz val="9"/>
            <color indexed="81"/>
            <rFont val="Tahoma"/>
            <family val="2"/>
          </rPr>
          <t xml:space="preserve">
average of 2 prices: MOOC8/6.34 &amp; MOOC8/6.37 </t>
        </r>
      </text>
    </comment>
    <comment ref="J94" authorId="0">
      <text>
        <r>
          <rPr>
            <b/>
            <sz val="9"/>
            <color indexed="81"/>
            <rFont val="Tahoma"/>
            <family val="2"/>
          </rPr>
          <t>Pim de Zwart:</t>
        </r>
        <r>
          <rPr>
            <sz val="9"/>
            <color indexed="81"/>
            <rFont val="Tahoma"/>
            <family val="2"/>
          </rPr>
          <t xml:space="preserve">
MOOC8/6.45</t>
        </r>
      </text>
    </comment>
    <comment ref="J97" authorId="0">
      <text>
        <r>
          <rPr>
            <b/>
            <sz val="9"/>
            <color indexed="81"/>
            <rFont val="Tahoma"/>
            <family val="2"/>
          </rPr>
          <t>Pim de Zwart:</t>
        </r>
        <r>
          <rPr>
            <sz val="9"/>
            <color indexed="81"/>
            <rFont val="Tahoma"/>
            <family val="2"/>
          </rPr>
          <t xml:space="preserve">
MOOC8/6.70</t>
        </r>
      </text>
    </comment>
    <comment ref="J98" authorId="0">
      <text>
        <r>
          <rPr>
            <b/>
            <sz val="9"/>
            <color indexed="81"/>
            <rFont val="Tahoma"/>
            <family val="2"/>
          </rPr>
          <t>Pim de Zwart:</t>
        </r>
        <r>
          <rPr>
            <sz val="9"/>
            <color indexed="81"/>
            <rFont val="Tahoma"/>
            <family val="2"/>
          </rPr>
          <t xml:space="preserve">
MOOC8/6.78</t>
        </r>
      </text>
    </comment>
    <comment ref="J100" authorId="0">
      <text>
        <r>
          <rPr>
            <b/>
            <sz val="9"/>
            <color indexed="81"/>
            <rFont val="Tahoma"/>
            <family val="2"/>
          </rPr>
          <t>Pim de Zwart:</t>
        </r>
        <r>
          <rPr>
            <sz val="9"/>
            <color indexed="81"/>
            <rFont val="Tahoma"/>
            <family val="2"/>
          </rPr>
          <t xml:space="preserve">
MOOC8/6.115</t>
        </r>
      </text>
    </comment>
    <comment ref="J101" authorId="0">
      <text>
        <r>
          <rPr>
            <b/>
            <sz val="9"/>
            <color indexed="81"/>
            <rFont val="Tahoma"/>
            <family val="2"/>
          </rPr>
          <t>Pim de Zwart:</t>
        </r>
        <r>
          <rPr>
            <sz val="9"/>
            <color indexed="81"/>
            <rFont val="Tahoma"/>
            <family val="2"/>
          </rPr>
          <t xml:space="preserve">
MOOC8/6.129</t>
        </r>
      </text>
    </comment>
    <comment ref="J103" authorId="0">
      <text>
        <r>
          <rPr>
            <b/>
            <sz val="9"/>
            <color indexed="81"/>
            <rFont val="Tahoma"/>
            <family val="2"/>
          </rPr>
          <t>Pim de Zwart:</t>
        </r>
        <r>
          <rPr>
            <sz val="9"/>
            <color indexed="81"/>
            <rFont val="Tahoma"/>
            <family val="2"/>
          </rPr>
          <t xml:space="preserve">
MOOC8/7.12</t>
        </r>
      </text>
    </comment>
    <comment ref="J105" authorId="0">
      <text>
        <r>
          <rPr>
            <b/>
            <sz val="9"/>
            <color indexed="81"/>
            <rFont val="Tahoma"/>
            <family val="2"/>
          </rPr>
          <t>Pim de Zwart:</t>
        </r>
        <r>
          <rPr>
            <sz val="9"/>
            <color indexed="81"/>
            <rFont val="Tahoma"/>
            <family val="2"/>
          </rPr>
          <t xml:space="preserve">
average of 3 prices: MOOC8/7.25; MOOC8/9.4; MOOC8/7.28</t>
        </r>
      </text>
    </comment>
    <comment ref="J106" authorId="0">
      <text>
        <r>
          <rPr>
            <b/>
            <sz val="9"/>
            <color indexed="81"/>
            <rFont val="Tahoma"/>
            <family val="2"/>
          </rPr>
          <t>Pim de Zwart:</t>
        </r>
        <r>
          <rPr>
            <sz val="9"/>
            <color indexed="81"/>
            <rFont val="Tahoma"/>
            <family val="2"/>
          </rPr>
          <t xml:space="preserve">
MOOC8/7.30</t>
        </r>
      </text>
    </comment>
    <comment ref="J112" authorId="0">
      <text>
        <r>
          <rPr>
            <b/>
            <sz val="9"/>
            <color indexed="81"/>
            <rFont val="Tahoma"/>
            <family val="2"/>
          </rPr>
          <t>Pim de Zwart:</t>
        </r>
        <r>
          <rPr>
            <sz val="9"/>
            <color indexed="81"/>
            <rFont val="Tahoma"/>
            <family val="2"/>
          </rPr>
          <t xml:space="preserve">
MOOC8/9.1a</t>
        </r>
      </text>
    </comment>
    <comment ref="J115" authorId="0">
      <text>
        <r>
          <rPr>
            <b/>
            <sz val="9"/>
            <color indexed="81"/>
            <rFont val="Tahoma"/>
            <family val="2"/>
          </rPr>
          <t>Pim de Zwart:</t>
        </r>
        <r>
          <rPr>
            <sz val="9"/>
            <color indexed="81"/>
            <rFont val="Tahoma"/>
            <family val="2"/>
          </rPr>
          <t xml:space="preserve">
MOOC8/10.15</t>
        </r>
      </text>
    </comment>
    <comment ref="J119" authorId="0">
      <text>
        <r>
          <rPr>
            <b/>
            <sz val="9"/>
            <color indexed="81"/>
            <rFont val="Tahoma"/>
            <family val="2"/>
          </rPr>
          <t>Pim de Zwart:</t>
        </r>
        <r>
          <rPr>
            <sz val="9"/>
            <color indexed="81"/>
            <rFont val="Tahoma"/>
            <family val="2"/>
          </rPr>
          <t xml:space="preserve">
MOOC8/11.38a</t>
        </r>
      </text>
    </comment>
    <comment ref="J124" authorId="0">
      <text>
        <r>
          <rPr>
            <b/>
            <sz val="9"/>
            <color indexed="81"/>
            <rFont val="Tahoma"/>
            <family val="2"/>
          </rPr>
          <t>Pim de Zwart:</t>
        </r>
        <r>
          <rPr>
            <sz val="9"/>
            <color indexed="81"/>
            <rFont val="Tahoma"/>
            <family val="2"/>
          </rPr>
          <t xml:space="preserve">
MOOC8/13.54a</t>
        </r>
      </text>
    </comment>
    <comment ref="J127" authorId="0">
      <text>
        <r>
          <rPr>
            <b/>
            <sz val="9"/>
            <color indexed="81"/>
            <rFont val="Tahoma"/>
            <family val="2"/>
          </rPr>
          <t>Pim de Zwart:</t>
        </r>
        <r>
          <rPr>
            <sz val="9"/>
            <color indexed="81"/>
            <rFont val="Tahoma"/>
            <family val="2"/>
          </rPr>
          <t xml:space="preserve">
MOOC8/16.53</t>
        </r>
      </text>
    </comment>
    <comment ref="J129" authorId="0">
      <text>
        <r>
          <rPr>
            <b/>
            <sz val="9"/>
            <color indexed="81"/>
            <rFont val="Tahoma"/>
            <family val="2"/>
          </rPr>
          <t>Pim de Zwart:</t>
        </r>
        <r>
          <rPr>
            <sz val="9"/>
            <color indexed="81"/>
            <rFont val="Tahoma"/>
            <family val="2"/>
          </rPr>
          <t xml:space="preserve">
MOOC8/16.40b</t>
        </r>
      </text>
    </comment>
    <comment ref="J135" authorId="0">
      <text>
        <r>
          <rPr>
            <b/>
            <sz val="9"/>
            <color indexed="81"/>
            <rFont val="Tahoma"/>
            <family val="2"/>
          </rPr>
          <t>Pim de Zwart:</t>
        </r>
        <r>
          <rPr>
            <sz val="9"/>
            <color indexed="81"/>
            <rFont val="Tahoma"/>
            <family val="2"/>
          </rPr>
          <t xml:space="preserve">
MOOC8/49.22a</t>
        </r>
      </text>
    </comment>
    <comment ref="F137" authorId="0">
      <text>
        <r>
          <rPr>
            <b/>
            <sz val="9"/>
            <color indexed="81"/>
            <rFont val="Tahoma"/>
            <family val="2"/>
          </rPr>
          <t>Pim de Zwart:</t>
        </r>
        <r>
          <rPr>
            <sz val="9"/>
            <color indexed="81"/>
            <rFont val="Tahoma"/>
            <family val="2"/>
          </rPr>
          <t xml:space="preserve">
Source: CP 2739</t>
        </r>
      </text>
    </comment>
    <comment ref="G137" authorId="0">
      <text>
        <r>
          <rPr>
            <b/>
            <sz val="9"/>
            <color indexed="81"/>
            <rFont val="Tahoma"/>
            <family val="2"/>
          </rPr>
          <t>Pim de Zwart:</t>
        </r>
        <r>
          <rPr>
            <sz val="9"/>
            <color indexed="81"/>
            <rFont val="Tahoma"/>
            <family val="2"/>
          </rPr>
          <t xml:space="preserve">
Source: CP 2739</t>
        </r>
      </text>
    </comment>
    <comment ref="H137" authorId="0">
      <text>
        <r>
          <rPr>
            <b/>
            <sz val="9"/>
            <color indexed="81"/>
            <rFont val="Tahoma"/>
            <family val="2"/>
          </rPr>
          <t>Pim de Zwart:</t>
        </r>
        <r>
          <rPr>
            <sz val="9"/>
            <color indexed="81"/>
            <rFont val="Tahoma"/>
            <family val="2"/>
          </rPr>
          <t xml:space="preserve">
Source: CP 2739</t>
        </r>
      </text>
    </comment>
    <comment ref="F138" authorId="0">
      <text>
        <r>
          <rPr>
            <b/>
            <sz val="9"/>
            <color indexed="81"/>
            <rFont val="Tahoma"/>
            <family val="2"/>
          </rPr>
          <t>Pim de Zwart:</t>
        </r>
        <r>
          <rPr>
            <sz val="9"/>
            <color indexed="81"/>
            <rFont val="Tahoma"/>
            <family val="2"/>
          </rPr>
          <t xml:space="preserve">
CP 2734</t>
        </r>
      </text>
    </comment>
    <comment ref="G138" authorId="0">
      <text>
        <r>
          <rPr>
            <b/>
            <sz val="9"/>
            <color indexed="81"/>
            <rFont val="Tahoma"/>
            <family val="2"/>
          </rPr>
          <t>Pim de Zwart:</t>
        </r>
        <r>
          <rPr>
            <sz val="9"/>
            <color indexed="81"/>
            <rFont val="Tahoma"/>
            <family val="2"/>
          </rPr>
          <t xml:space="preserve">
CP 2739</t>
        </r>
      </text>
    </comment>
    <comment ref="F139" authorId="0">
      <text>
        <r>
          <rPr>
            <b/>
            <sz val="9"/>
            <color indexed="81"/>
            <rFont val="Tahoma"/>
            <family val="2"/>
          </rPr>
          <t>Pim de Zwart:</t>
        </r>
        <r>
          <rPr>
            <sz val="9"/>
            <color indexed="81"/>
            <rFont val="Tahoma"/>
            <family val="2"/>
          </rPr>
          <t xml:space="preserve">
CP 2734</t>
        </r>
      </text>
    </comment>
    <comment ref="J141" authorId="0">
      <text>
        <r>
          <rPr>
            <b/>
            <sz val="9"/>
            <color indexed="81"/>
            <rFont val="Tahoma"/>
            <family val="2"/>
          </rPr>
          <t>Pim de Zwart:</t>
        </r>
        <r>
          <rPr>
            <sz val="9"/>
            <color indexed="81"/>
            <rFont val="Tahoma"/>
            <family val="2"/>
          </rPr>
          <t xml:space="preserve">
MOOC8/50.39 1/2</t>
        </r>
      </text>
    </comment>
    <comment ref="F146" authorId="0">
      <text>
        <r>
          <rPr>
            <b/>
            <sz val="9"/>
            <color indexed="81"/>
            <rFont val="Tahoma"/>
            <family val="2"/>
          </rPr>
          <t>Pim de Zwart:</t>
        </r>
        <r>
          <rPr>
            <sz val="9"/>
            <color indexed="81"/>
            <rFont val="Tahoma"/>
            <family val="2"/>
          </rPr>
          <t xml:space="preserve">
purchasing price; source: CP 2766
</t>
        </r>
      </text>
    </comment>
    <comment ref="G146" authorId="0">
      <text>
        <r>
          <rPr>
            <b/>
            <sz val="9"/>
            <color indexed="81"/>
            <rFont val="Tahoma"/>
            <family val="2"/>
          </rPr>
          <t>Pim de Zwart:</t>
        </r>
        <r>
          <rPr>
            <sz val="9"/>
            <color indexed="81"/>
            <rFont val="Tahoma"/>
            <family val="2"/>
          </rPr>
          <t xml:space="preserve">
Selling price; source: CP 2766</t>
        </r>
      </text>
    </comment>
    <comment ref="F147" authorId="0">
      <text>
        <r>
          <rPr>
            <b/>
            <sz val="9"/>
            <color indexed="81"/>
            <rFont val="Tahoma"/>
            <family val="2"/>
          </rPr>
          <t>Pim de Zwart:</t>
        </r>
        <r>
          <rPr>
            <sz val="9"/>
            <color indexed="81"/>
            <rFont val="Tahoma"/>
            <family val="2"/>
          </rPr>
          <t xml:space="preserve">
purchasing price; source: CP 2766</t>
        </r>
      </text>
    </comment>
    <comment ref="G147" authorId="0">
      <text>
        <r>
          <rPr>
            <b/>
            <sz val="9"/>
            <color indexed="81"/>
            <rFont val="Tahoma"/>
            <family val="2"/>
          </rPr>
          <t>Pim de Zwart:</t>
        </r>
        <r>
          <rPr>
            <sz val="9"/>
            <color indexed="81"/>
            <rFont val="Tahoma"/>
            <family val="2"/>
          </rPr>
          <t xml:space="preserve">
Selling price; source: CP 2766</t>
        </r>
      </text>
    </comment>
    <comment ref="H147" authorId="0">
      <text>
        <r>
          <rPr>
            <b/>
            <sz val="9"/>
            <color indexed="81"/>
            <rFont val="Tahoma"/>
            <family val="2"/>
          </rPr>
          <t>Pim de Zwart:</t>
        </r>
        <r>
          <rPr>
            <sz val="9"/>
            <color indexed="81"/>
            <rFont val="Tahoma"/>
            <family val="2"/>
          </rPr>
          <t xml:space="preserve">
Source: BRD 41</t>
        </r>
      </text>
    </comment>
    <comment ref="J147" authorId="0">
      <text>
        <r>
          <rPr>
            <b/>
            <sz val="9"/>
            <color indexed="81"/>
            <rFont val="Tahoma"/>
            <family val="2"/>
          </rPr>
          <t>Pim de Zwart:</t>
        </r>
        <r>
          <rPr>
            <sz val="9"/>
            <color indexed="81"/>
            <rFont val="Tahoma"/>
            <family val="2"/>
          </rPr>
          <t xml:space="preserve">
MOOC8/51.10a</t>
        </r>
      </text>
    </comment>
    <comment ref="F148" authorId="0">
      <text>
        <r>
          <rPr>
            <b/>
            <sz val="9"/>
            <color indexed="81"/>
            <rFont val="Tahoma"/>
            <family val="2"/>
          </rPr>
          <t>Pim de Zwart:</t>
        </r>
        <r>
          <rPr>
            <sz val="9"/>
            <color indexed="81"/>
            <rFont val="Tahoma"/>
            <family val="2"/>
          </rPr>
          <t xml:space="preserve">
purchasing price; source: CP 2766</t>
        </r>
      </text>
    </comment>
    <comment ref="G148" authorId="0">
      <text>
        <r>
          <rPr>
            <b/>
            <sz val="9"/>
            <color indexed="81"/>
            <rFont val="Tahoma"/>
            <family val="2"/>
          </rPr>
          <t>Pim de Zwart:</t>
        </r>
        <r>
          <rPr>
            <sz val="9"/>
            <color indexed="81"/>
            <rFont val="Tahoma"/>
            <family val="2"/>
          </rPr>
          <t xml:space="preserve">
Selling price; source: CP 2766</t>
        </r>
      </text>
    </comment>
    <comment ref="J148" authorId="0">
      <text>
        <r>
          <rPr>
            <b/>
            <sz val="9"/>
            <color indexed="81"/>
            <rFont val="Tahoma"/>
            <family val="2"/>
          </rPr>
          <t>Pim de Zwart:</t>
        </r>
        <r>
          <rPr>
            <sz val="9"/>
            <color indexed="81"/>
            <rFont val="Tahoma"/>
            <family val="2"/>
          </rPr>
          <t xml:space="preserve">
MOOC8/51.37a</t>
        </r>
      </text>
    </comment>
    <comment ref="J149" authorId="0">
      <text>
        <r>
          <rPr>
            <b/>
            <sz val="9"/>
            <color indexed="81"/>
            <rFont val="Tahoma"/>
            <family val="2"/>
          </rPr>
          <t>Pim de Zwart:</t>
        </r>
        <r>
          <rPr>
            <sz val="9"/>
            <color indexed="81"/>
            <rFont val="Tahoma"/>
            <family val="2"/>
          </rPr>
          <t xml:space="preserve">
MOOC8/51.50a</t>
        </r>
      </text>
    </comment>
    <comment ref="J150" authorId="0">
      <text>
        <r>
          <rPr>
            <b/>
            <sz val="9"/>
            <color indexed="81"/>
            <rFont val="Tahoma"/>
            <family val="2"/>
          </rPr>
          <t>Pim de Zwart:</t>
        </r>
        <r>
          <rPr>
            <sz val="9"/>
            <color indexed="81"/>
            <rFont val="Tahoma"/>
            <family val="2"/>
          </rPr>
          <t xml:space="preserve">
Rds: MOOC8/52.39a</t>
        </r>
      </text>
    </comment>
    <comment ref="K150" authorId="0">
      <text>
        <r>
          <rPr>
            <b/>
            <sz val="9"/>
            <color indexed="81"/>
            <rFont val="Tahoma"/>
            <family val="2"/>
          </rPr>
          <t>Pim de Zwart:</t>
        </r>
        <r>
          <rPr>
            <sz val="9"/>
            <color indexed="81"/>
            <rFont val="Tahoma"/>
            <family val="2"/>
          </rPr>
          <t xml:space="preserve">
Theal, vol. 2, p. 237; 2.5 Rds per muid</t>
        </r>
      </text>
    </comment>
    <comment ref="K151" authorId="0">
      <text>
        <r>
          <rPr>
            <b/>
            <sz val="9"/>
            <color indexed="81"/>
            <rFont val="Tahoma"/>
            <family val="2"/>
          </rPr>
          <t>Pim de Zwart:</t>
        </r>
        <r>
          <rPr>
            <sz val="9"/>
            <color indexed="81"/>
            <rFont val="Tahoma"/>
            <family val="2"/>
          </rPr>
          <t xml:space="preserve">
Theal, vol. 2, p. 237; 3.25 Rds</t>
        </r>
      </text>
    </comment>
    <comment ref="V152" authorId="0">
      <text>
        <r>
          <rPr>
            <sz val="9"/>
            <color indexed="81"/>
            <rFont val="Tahoma"/>
            <family val="2"/>
          </rPr>
          <t>Linear interpolation</t>
        </r>
      </text>
    </comment>
    <comment ref="J154" authorId="0">
      <text>
        <r>
          <rPr>
            <b/>
            <sz val="9"/>
            <color indexed="81"/>
            <rFont val="Tahoma"/>
            <family val="2"/>
          </rPr>
          <t>Pim de Zwart:</t>
        </r>
        <r>
          <rPr>
            <sz val="9"/>
            <color indexed="81"/>
            <rFont val="Tahoma"/>
            <family val="2"/>
          </rPr>
          <t xml:space="preserve">
Rds: MOOC8/53.48a</t>
        </r>
      </text>
    </comment>
    <comment ref="K154" authorId="0">
      <text>
        <r>
          <rPr>
            <b/>
            <sz val="9"/>
            <color indexed="81"/>
            <rFont val="Tahoma"/>
            <family val="2"/>
          </rPr>
          <t>Pim de Zwart:</t>
        </r>
        <r>
          <rPr>
            <sz val="9"/>
            <color indexed="81"/>
            <rFont val="Tahoma"/>
            <family val="2"/>
          </rPr>
          <t xml:space="preserve">
Theal, vol. 3, p. 397</t>
        </r>
      </text>
    </comment>
    <comment ref="K155" authorId="0">
      <text>
        <r>
          <rPr>
            <b/>
            <sz val="9"/>
            <color indexed="81"/>
            <rFont val="Tahoma"/>
            <family val="2"/>
          </rPr>
          <t>Pim de Zwart:</t>
        </r>
        <r>
          <rPr>
            <sz val="9"/>
            <color indexed="81"/>
            <rFont val="Tahoma"/>
            <family val="2"/>
          </rPr>
          <t xml:space="preserve">
Theal, vol. 4, p. 456</t>
        </r>
      </text>
    </comment>
    <comment ref="V156" authorId="0">
      <text>
        <r>
          <rPr>
            <sz val="9"/>
            <color indexed="81"/>
            <rFont val="Tahoma"/>
            <family val="2"/>
          </rPr>
          <t>Linear interpolation</t>
        </r>
      </text>
    </comment>
    <comment ref="F158" authorId="0">
      <text>
        <r>
          <rPr>
            <b/>
            <sz val="9"/>
            <color indexed="81"/>
            <rFont val="Tahoma"/>
            <family val="2"/>
          </rPr>
          <t>Pim de Zwart:</t>
        </r>
        <r>
          <rPr>
            <sz val="9"/>
            <color indexed="81"/>
            <rFont val="Tahoma"/>
            <family val="2"/>
          </rPr>
          <t xml:space="preserve">
4.55 Rds; Source: T 175.</t>
        </r>
      </text>
    </comment>
    <comment ref="V159" authorId="0">
      <text>
        <r>
          <rPr>
            <sz val="9"/>
            <color indexed="81"/>
            <rFont val="Tahoma"/>
            <family val="2"/>
          </rPr>
          <t>Linear interpolation</t>
        </r>
      </text>
    </comment>
    <comment ref="I166" authorId="0">
      <text>
        <r>
          <rPr>
            <b/>
            <sz val="9"/>
            <color indexed="81"/>
            <rFont val="Tahoma"/>
            <family val="2"/>
          </rPr>
          <t>Pim de Zwart:</t>
        </r>
        <r>
          <rPr>
            <sz val="9"/>
            <color indexed="81"/>
            <rFont val="Tahoma"/>
            <family val="2"/>
          </rPr>
          <t xml:space="preserve">
Neumark, p. 33; in original; Rds per 10 Muid; here converted to guilders per muid.</t>
        </r>
      </text>
    </comment>
    <comment ref="J166" authorId="0">
      <text>
        <r>
          <rPr>
            <b/>
            <sz val="9"/>
            <color indexed="81"/>
            <rFont val="Tahoma"/>
            <family val="2"/>
          </rPr>
          <t>Pim de Zwart:</t>
        </r>
        <r>
          <rPr>
            <sz val="9"/>
            <color indexed="81"/>
            <rFont val="Tahoma"/>
            <family val="2"/>
          </rPr>
          <t xml:space="preserve">
Guilder, original 7 rds.: MOOC8/59.34a </t>
        </r>
      </text>
    </comment>
    <comment ref="F168" authorId="0">
      <text>
        <r>
          <rPr>
            <b/>
            <sz val="9"/>
            <color indexed="81"/>
            <rFont val="Tahoma"/>
            <family val="2"/>
          </rPr>
          <t>Pim de Zwart:</t>
        </r>
        <r>
          <rPr>
            <sz val="9"/>
            <color indexed="81"/>
            <rFont val="Tahoma"/>
            <family val="2"/>
          </rPr>
          <t xml:space="preserve">
original in rds; GPF 1</t>
        </r>
      </text>
    </comment>
    <comment ref="F171" authorId="0">
      <text>
        <r>
          <rPr>
            <b/>
            <sz val="9"/>
            <color indexed="81"/>
            <rFont val="Tahoma"/>
            <family val="2"/>
          </rPr>
          <t>Pim de Zwart:</t>
        </r>
        <r>
          <rPr>
            <sz val="9"/>
            <color indexed="81"/>
            <rFont val="Tahoma"/>
            <family val="2"/>
          </rPr>
          <t xml:space="preserve">
RDG 211: until 1825, purchasing price. Original rds, 2.40 guilder per rds.</t>
        </r>
      </text>
    </comment>
    <comment ref="G171" authorId="0">
      <text>
        <r>
          <rPr>
            <b/>
            <sz val="9"/>
            <color indexed="81"/>
            <rFont val="Tahoma"/>
            <family val="2"/>
          </rPr>
          <t>Pim de Zwart:</t>
        </r>
        <r>
          <rPr>
            <sz val="9"/>
            <color indexed="81"/>
            <rFont val="Tahoma"/>
            <family val="2"/>
          </rPr>
          <t xml:space="preserve">
RDG 211 until 1826; selling price</t>
        </r>
      </text>
    </comment>
    <comment ref="H171" authorId="0">
      <text>
        <r>
          <rPr>
            <b/>
            <sz val="9"/>
            <color indexed="81"/>
            <rFont val="Tahoma"/>
            <family val="2"/>
          </rPr>
          <t>Pim de Zwart:</t>
        </r>
        <r>
          <rPr>
            <sz val="9"/>
            <color indexed="81"/>
            <rFont val="Tahoma"/>
            <family val="2"/>
          </rPr>
          <t xml:space="preserve">
RDG 204</t>
        </r>
      </text>
    </comment>
    <comment ref="H172" authorId="0">
      <text>
        <r>
          <rPr>
            <b/>
            <sz val="9"/>
            <color indexed="81"/>
            <rFont val="Tahoma"/>
            <family val="2"/>
          </rPr>
          <t>Pim de Zwart:</t>
        </r>
        <r>
          <rPr>
            <sz val="9"/>
            <color indexed="81"/>
            <rFont val="Tahoma"/>
            <family val="2"/>
          </rPr>
          <t xml:space="preserve">
average over year; RDG 204</t>
        </r>
      </text>
    </comment>
    <comment ref="H173" authorId="0">
      <text>
        <r>
          <rPr>
            <b/>
            <sz val="9"/>
            <color indexed="81"/>
            <rFont val="Tahoma"/>
            <family val="2"/>
          </rPr>
          <t>Pim de Zwart:</t>
        </r>
        <r>
          <rPr>
            <sz val="9"/>
            <color indexed="81"/>
            <rFont val="Tahoma"/>
            <family val="2"/>
          </rPr>
          <t xml:space="preserve">
average over year; RDG 206</t>
        </r>
      </text>
    </comment>
    <comment ref="H174" authorId="0">
      <text>
        <r>
          <rPr>
            <b/>
            <sz val="9"/>
            <color indexed="81"/>
            <rFont val="Tahoma"/>
            <family val="2"/>
          </rPr>
          <t>Pim de Zwart:</t>
        </r>
        <r>
          <rPr>
            <sz val="9"/>
            <color indexed="81"/>
            <rFont val="Tahoma"/>
            <family val="2"/>
          </rPr>
          <t xml:space="preserve">
average over jan-mar; dec, RDG 206</t>
        </r>
      </text>
    </comment>
    <comment ref="H175" authorId="0">
      <text>
        <r>
          <rPr>
            <b/>
            <sz val="9"/>
            <color indexed="81"/>
            <rFont val="Tahoma"/>
            <family val="2"/>
          </rPr>
          <t>Pim de Zwart:</t>
        </r>
        <r>
          <rPr>
            <sz val="9"/>
            <color indexed="81"/>
            <rFont val="Tahoma"/>
            <family val="2"/>
          </rPr>
          <t xml:space="preserve">
RDG 206; average over jan; dec</t>
        </r>
      </text>
    </comment>
    <comment ref="L178" authorId="0">
      <text>
        <r>
          <rPr>
            <b/>
            <sz val="9"/>
            <color indexed="81"/>
            <rFont val="Tahoma"/>
            <family val="2"/>
          </rPr>
          <t>Pim de Zwart:</t>
        </r>
        <r>
          <rPr>
            <sz val="9"/>
            <color indexed="81"/>
            <rFont val="Tahoma"/>
            <family val="2"/>
          </rPr>
          <t xml:space="preserve">
Data from Jorrit Bakker; annual average taken; monthly variation in original data.</t>
        </r>
      </text>
    </comment>
    <comment ref="H180" authorId="0">
      <text>
        <r>
          <rPr>
            <b/>
            <sz val="9"/>
            <color indexed="81"/>
            <rFont val="Tahoma"/>
            <family val="2"/>
          </rPr>
          <t>Pim de Zwart:</t>
        </r>
        <r>
          <rPr>
            <sz val="9"/>
            <color indexed="81"/>
            <rFont val="Tahoma"/>
            <family val="2"/>
          </rPr>
          <t xml:space="preserve">
average of weekly price taken over months jan-mar; Source: RDG211</t>
        </r>
      </text>
    </comment>
    <comment ref="M181" authorId="0">
      <text>
        <r>
          <rPr>
            <b/>
            <sz val="9"/>
            <color indexed="81"/>
            <rFont val="Tahoma"/>
            <family val="2"/>
          </rPr>
          <t>Pim de Zwart:</t>
        </r>
        <r>
          <rPr>
            <sz val="9"/>
            <color indexed="81"/>
            <rFont val="Tahoma"/>
            <family val="2"/>
          </rPr>
          <t xml:space="preserve">
Price per bushel</t>
        </r>
      </text>
    </comment>
    <comment ref="M186" authorId="0">
      <text>
        <r>
          <rPr>
            <b/>
            <sz val="9"/>
            <color indexed="81"/>
            <rFont val="Tahoma"/>
            <family val="2"/>
          </rPr>
          <t>Pim de Zwart:</t>
        </r>
        <r>
          <rPr>
            <sz val="9"/>
            <color indexed="81"/>
            <rFont val="Tahoma"/>
            <family val="2"/>
          </rPr>
          <t xml:space="preserve">
Price per bushel</t>
        </r>
      </text>
    </comment>
    <comment ref="M188" authorId="0">
      <text>
        <r>
          <rPr>
            <b/>
            <sz val="9"/>
            <color indexed="81"/>
            <rFont val="Tahoma"/>
            <family val="2"/>
          </rPr>
          <t>Pim de Zwart:</t>
        </r>
        <r>
          <rPr>
            <sz val="9"/>
            <color indexed="81"/>
            <rFont val="Tahoma"/>
            <family val="2"/>
          </rPr>
          <t xml:space="preserve">
Price per bushel</t>
        </r>
      </text>
    </comment>
    <comment ref="N189" authorId="0">
      <text>
        <r>
          <rPr>
            <b/>
            <sz val="9"/>
            <color indexed="81"/>
            <rFont val="Tahoma"/>
            <family val="2"/>
          </rPr>
          <t>Pim de Zwart:</t>
        </r>
        <r>
          <rPr>
            <sz val="9"/>
            <color indexed="81"/>
            <rFont val="Tahoma"/>
            <family val="2"/>
          </rPr>
          <t xml:space="preserve">
CPI Cape Colony 19th century</t>
        </r>
      </text>
    </comment>
    <comment ref="L204" authorId="0">
      <text>
        <r>
          <rPr>
            <b/>
            <sz val="9"/>
            <color indexed="81"/>
            <rFont val="Tahoma"/>
            <family val="2"/>
          </rPr>
          <t>Pim de Zwart:</t>
        </r>
        <r>
          <rPr>
            <sz val="9"/>
            <color indexed="81"/>
            <rFont val="Tahoma"/>
            <family val="2"/>
          </rPr>
          <t xml:space="preserve">
Three very low notations have been omitted; error assumed.</t>
        </r>
      </text>
    </comment>
  </commentList>
</comments>
</file>

<file path=xl/comments4.xml><?xml version="1.0" encoding="utf-8"?>
<comments xmlns="http://schemas.openxmlformats.org/spreadsheetml/2006/main">
  <authors>
    <author>Pim de Zwart</author>
  </authors>
  <commentList>
    <comment ref="B7" authorId="0">
      <text>
        <r>
          <rPr>
            <b/>
            <sz val="9"/>
            <color indexed="81"/>
            <rFont val="Tahoma"/>
            <family val="2"/>
          </rPr>
          <t>Pim de Zwart:</t>
        </r>
        <r>
          <rPr>
            <sz val="9"/>
            <color indexed="81"/>
            <rFont val="Tahoma"/>
            <family val="2"/>
          </rPr>
          <t xml:space="preserve">
calculated from last, 3010 liter</t>
        </r>
      </text>
    </comment>
    <comment ref="O8" authorId="0">
      <text>
        <r>
          <rPr>
            <sz val="9"/>
            <color indexed="81"/>
            <rFont val="Tahoma"/>
            <family val="2"/>
          </rPr>
          <t>Linear interpolation</t>
        </r>
      </text>
    </comment>
    <comment ref="B17" authorId="0">
      <text>
        <r>
          <rPr>
            <b/>
            <sz val="9"/>
            <color indexed="81"/>
            <rFont val="Tahoma"/>
            <family val="2"/>
          </rPr>
          <t>Pim de Zwart:</t>
        </r>
        <r>
          <rPr>
            <sz val="9"/>
            <color indexed="81"/>
            <rFont val="Tahoma"/>
            <family val="2"/>
          </rPr>
          <t xml:space="preserve">
calculated from schepel, which is 27.814 liter; VOC Glossarium</t>
        </r>
      </text>
    </comment>
    <comment ref="O18" authorId="0">
      <text>
        <r>
          <rPr>
            <sz val="9"/>
            <color indexed="81"/>
            <rFont val="Tahoma"/>
            <family val="2"/>
          </rPr>
          <t>Linear interpolation</t>
        </r>
      </text>
    </comment>
    <comment ref="O21" authorId="0">
      <text>
        <r>
          <rPr>
            <sz val="9"/>
            <color indexed="81"/>
            <rFont val="Tahoma"/>
            <family val="2"/>
          </rPr>
          <t>Linear interpolation</t>
        </r>
      </text>
    </comment>
    <comment ref="O51" authorId="0">
      <text>
        <r>
          <rPr>
            <sz val="9"/>
            <color indexed="81"/>
            <rFont val="Tahoma"/>
            <family val="2"/>
          </rPr>
          <t>Linear interpolation</t>
        </r>
      </text>
    </comment>
    <comment ref="O69" authorId="0">
      <text>
        <r>
          <rPr>
            <sz val="9"/>
            <color indexed="81"/>
            <rFont val="Tahoma"/>
            <family val="2"/>
          </rPr>
          <t>Linear interpolation</t>
        </r>
      </text>
    </comment>
    <comment ref="O73" authorId="0">
      <text>
        <r>
          <rPr>
            <sz val="9"/>
            <color indexed="81"/>
            <rFont val="Tahoma"/>
            <family val="2"/>
          </rPr>
          <t>Linear interpolation</t>
        </r>
      </text>
    </comment>
    <comment ref="O76" authorId="0">
      <text>
        <r>
          <rPr>
            <sz val="9"/>
            <color indexed="81"/>
            <rFont val="Tahoma"/>
            <family val="2"/>
          </rPr>
          <t>Linear interpolation</t>
        </r>
      </text>
    </comment>
    <comment ref="O78" authorId="0">
      <text>
        <r>
          <rPr>
            <sz val="9"/>
            <color indexed="81"/>
            <rFont val="Tahoma"/>
            <family val="2"/>
          </rPr>
          <t>Linear interpolation</t>
        </r>
      </text>
    </comment>
    <comment ref="C138" authorId="0">
      <text>
        <r>
          <rPr>
            <b/>
            <sz val="9"/>
            <color indexed="81"/>
            <rFont val="Tahoma"/>
            <family val="2"/>
          </rPr>
          <t>Pim de Zwart:</t>
        </r>
        <r>
          <rPr>
            <sz val="9"/>
            <color indexed="81"/>
            <rFont val="Tahoma"/>
            <family val="2"/>
          </rPr>
          <t xml:space="preserve">
CP 2739</t>
        </r>
      </text>
    </comment>
    <comment ref="C139" authorId="0">
      <text>
        <r>
          <rPr>
            <b/>
            <sz val="9"/>
            <color indexed="81"/>
            <rFont val="Tahoma"/>
            <family val="2"/>
          </rPr>
          <t>Pim de Zwart:</t>
        </r>
        <r>
          <rPr>
            <sz val="9"/>
            <color indexed="81"/>
            <rFont val="Tahoma"/>
            <family val="2"/>
          </rPr>
          <t xml:space="preserve">
CP 2739</t>
        </r>
      </text>
    </comment>
    <comment ref="D139" authorId="0">
      <text>
        <r>
          <rPr>
            <b/>
            <sz val="9"/>
            <color indexed="81"/>
            <rFont val="Tahoma"/>
            <family val="2"/>
          </rPr>
          <t>Pim de Zwart:</t>
        </r>
        <r>
          <rPr>
            <sz val="9"/>
            <color indexed="81"/>
            <rFont val="Tahoma"/>
            <family val="2"/>
          </rPr>
          <t xml:space="preserve">
CP 2734</t>
        </r>
      </text>
    </comment>
    <comment ref="D140" authorId="0">
      <text>
        <r>
          <rPr>
            <b/>
            <sz val="9"/>
            <color indexed="81"/>
            <rFont val="Tahoma"/>
            <family val="2"/>
          </rPr>
          <t>Pim de Zwart:</t>
        </r>
        <r>
          <rPr>
            <sz val="9"/>
            <color indexed="81"/>
            <rFont val="Tahoma"/>
            <family val="2"/>
          </rPr>
          <t xml:space="preserve">
CP 2734</t>
        </r>
      </text>
    </comment>
    <comment ref="O150" authorId="0">
      <text>
        <r>
          <rPr>
            <sz val="9"/>
            <color indexed="81"/>
            <rFont val="Tahoma"/>
            <family val="2"/>
          </rPr>
          <t>Linear interpolation</t>
        </r>
      </text>
    </comment>
    <comment ref="O152" authorId="0">
      <text>
        <r>
          <rPr>
            <sz val="9"/>
            <color indexed="81"/>
            <rFont val="Tahoma"/>
            <family val="2"/>
          </rPr>
          <t>Linear interpolation</t>
        </r>
      </text>
    </comment>
    <comment ref="O211" authorId="0">
      <text>
        <r>
          <rPr>
            <sz val="9"/>
            <color indexed="81"/>
            <rFont val="Tahoma"/>
            <family val="2"/>
          </rPr>
          <t>Linear interpolation</t>
        </r>
      </text>
    </comment>
    <comment ref="O251" authorId="0">
      <text>
        <r>
          <rPr>
            <sz val="9"/>
            <color indexed="81"/>
            <rFont val="Tahoma"/>
            <family val="2"/>
          </rPr>
          <t>Linear interpolation</t>
        </r>
      </text>
    </comment>
    <comment ref="O259" authorId="0">
      <text>
        <r>
          <rPr>
            <sz val="9"/>
            <color indexed="81"/>
            <rFont val="Tahoma"/>
            <family val="2"/>
          </rPr>
          <t>Linear interpolation</t>
        </r>
      </text>
    </comment>
    <comment ref="O266" authorId="0">
      <text>
        <r>
          <rPr>
            <sz val="9"/>
            <color indexed="81"/>
            <rFont val="Tahoma"/>
            <family val="2"/>
          </rPr>
          <t>Linear interpolation</t>
        </r>
      </text>
    </comment>
  </commentList>
</comments>
</file>

<file path=xl/comments5.xml><?xml version="1.0" encoding="utf-8"?>
<comments xmlns="http://schemas.openxmlformats.org/spreadsheetml/2006/main">
  <authors>
    <author>Pim de Zwart</author>
  </authors>
  <commentList>
    <comment ref="B3" authorId="0">
      <text>
        <r>
          <rPr>
            <b/>
            <sz val="9"/>
            <color indexed="81"/>
            <rFont val="Tahoma"/>
            <family val="2"/>
          </rPr>
          <t>Pim de Zwart:</t>
        </r>
        <r>
          <rPr>
            <sz val="9"/>
            <color indexed="81"/>
            <rFont val="Tahoma"/>
            <family val="2"/>
          </rPr>
          <t xml:space="preserve">
see "vlees"</t>
        </r>
      </text>
    </comment>
    <comment ref="C3" authorId="0">
      <text>
        <r>
          <rPr>
            <b/>
            <sz val="9"/>
            <color indexed="81"/>
            <rFont val="Tahoma"/>
            <family val="2"/>
          </rPr>
          <t>Pim de Zwart:</t>
        </r>
        <r>
          <rPr>
            <sz val="9"/>
            <color indexed="81"/>
            <rFont val="Tahoma"/>
            <family val="2"/>
          </rPr>
          <t xml:space="preserve">
these notations explicitely said 'fresh meat'; 'vers vlees'.</t>
        </r>
      </text>
    </comment>
    <comment ref="D5" authorId="0">
      <text>
        <r>
          <rPr>
            <b/>
            <sz val="9"/>
            <color indexed="81"/>
            <rFont val="Tahoma"/>
            <family val="2"/>
          </rPr>
          <t>Pim de Zwart:</t>
        </r>
        <r>
          <rPr>
            <sz val="9"/>
            <color indexed="81"/>
            <rFont val="Tahoma"/>
            <family val="2"/>
          </rPr>
          <t xml:space="preserve">
vat = 400 pond?</t>
        </r>
      </text>
    </comment>
    <comment ref="K12" authorId="0">
      <text>
        <r>
          <rPr>
            <b/>
            <sz val="9"/>
            <color indexed="81"/>
            <rFont val="Tahoma"/>
            <family val="2"/>
          </rPr>
          <t>Pim de Zwart:</t>
        </r>
        <r>
          <rPr>
            <sz val="9"/>
            <color indexed="81"/>
            <rFont val="Tahoma"/>
            <family val="2"/>
          </rPr>
          <t xml:space="preserve">
calc of vat, assuming 400 pond</t>
        </r>
      </text>
    </comment>
    <comment ref="P13" authorId="0">
      <text>
        <r>
          <rPr>
            <sz val="9"/>
            <color indexed="81"/>
            <rFont val="Tahoma"/>
            <family val="2"/>
          </rPr>
          <t>Linear interpolation</t>
        </r>
      </text>
    </comment>
    <comment ref="K17" authorId="0">
      <text>
        <r>
          <rPr>
            <b/>
            <sz val="9"/>
            <color indexed="81"/>
            <rFont val="Tahoma"/>
            <family val="2"/>
          </rPr>
          <t>Pim de Zwart:</t>
        </r>
        <r>
          <rPr>
            <sz val="9"/>
            <color indexed="81"/>
            <rFont val="Tahoma"/>
            <family val="2"/>
          </rPr>
          <t xml:space="preserve">
calc of vat, assuming 400 pond</t>
        </r>
      </text>
    </comment>
    <comment ref="P18" authorId="0">
      <text>
        <r>
          <rPr>
            <sz val="9"/>
            <color indexed="81"/>
            <rFont val="Tahoma"/>
            <family val="2"/>
          </rPr>
          <t>Linear interpolation</t>
        </r>
      </text>
    </comment>
    <comment ref="K20" authorId="0">
      <text>
        <r>
          <rPr>
            <b/>
            <sz val="9"/>
            <color indexed="81"/>
            <rFont val="Tahoma"/>
            <family val="2"/>
          </rPr>
          <t>Pim de Zwart:</t>
        </r>
        <r>
          <rPr>
            <sz val="9"/>
            <color indexed="81"/>
            <rFont val="Tahoma"/>
            <family val="2"/>
          </rPr>
          <t xml:space="preserve">
calc of vat, assuming 400 pond</t>
        </r>
      </text>
    </comment>
    <comment ref="K21" authorId="0">
      <text>
        <r>
          <rPr>
            <b/>
            <sz val="9"/>
            <color indexed="81"/>
            <rFont val="Tahoma"/>
            <family val="2"/>
          </rPr>
          <t>Pim de Zwart:</t>
        </r>
        <r>
          <rPr>
            <sz val="9"/>
            <color indexed="81"/>
            <rFont val="Tahoma"/>
            <family val="2"/>
          </rPr>
          <t xml:space="preserve">
calc of vat, assuming 400 pond</t>
        </r>
      </text>
    </comment>
    <comment ref="K24" authorId="0">
      <text>
        <r>
          <rPr>
            <b/>
            <sz val="9"/>
            <color indexed="81"/>
            <rFont val="Tahoma"/>
            <family val="2"/>
          </rPr>
          <t>Pim de Zwart:</t>
        </r>
        <r>
          <rPr>
            <sz val="9"/>
            <color indexed="81"/>
            <rFont val="Tahoma"/>
            <family val="2"/>
          </rPr>
          <t xml:space="preserve">
calc of vat, assuming 400 pond</t>
        </r>
      </text>
    </comment>
    <comment ref="P26" authorId="0">
      <text>
        <r>
          <rPr>
            <sz val="9"/>
            <color indexed="81"/>
            <rFont val="Tahoma"/>
            <family val="2"/>
          </rPr>
          <t>Linear interpolation</t>
        </r>
      </text>
    </comment>
    <comment ref="P28" authorId="0">
      <text>
        <r>
          <rPr>
            <sz val="9"/>
            <color indexed="81"/>
            <rFont val="Tahoma"/>
            <family val="2"/>
          </rPr>
          <t>Linear interpolation</t>
        </r>
      </text>
    </comment>
    <comment ref="K39" authorId="0">
      <text>
        <r>
          <rPr>
            <b/>
            <sz val="9"/>
            <color indexed="81"/>
            <rFont val="Tahoma"/>
            <family val="2"/>
          </rPr>
          <t>Pim de Zwart:</t>
        </r>
        <r>
          <rPr>
            <sz val="9"/>
            <color indexed="81"/>
            <rFont val="Tahoma"/>
            <family val="2"/>
          </rPr>
          <t xml:space="preserve">
calc of vat, assuming 400 pond</t>
        </r>
      </text>
    </comment>
    <comment ref="P40" authorId="0">
      <text>
        <r>
          <rPr>
            <sz val="9"/>
            <color indexed="81"/>
            <rFont val="Tahoma"/>
            <family val="2"/>
          </rPr>
          <t>Linear interpolation</t>
        </r>
      </text>
    </comment>
    <comment ref="K42" authorId="0">
      <text>
        <r>
          <rPr>
            <b/>
            <sz val="9"/>
            <color indexed="81"/>
            <rFont val="Tahoma"/>
            <family val="2"/>
          </rPr>
          <t>Pim de Zwart:</t>
        </r>
        <r>
          <rPr>
            <sz val="9"/>
            <color indexed="81"/>
            <rFont val="Tahoma"/>
            <family val="2"/>
          </rPr>
          <t xml:space="preserve">
calc of vat, assuming 400 pond</t>
        </r>
      </text>
    </comment>
    <comment ref="P43" authorId="0">
      <text>
        <r>
          <rPr>
            <sz val="9"/>
            <color indexed="81"/>
            <rFont val="Tahoma"/>
            <family val="2"/>
          </rPr>
          <t>Linear interpolation</t>
        </r>
      </text>
    </comment>
    <comment ref="K44" authorId="0">
      <text>
        <r>
          <rPr>
            <b/>
            <sz val="9"/>
            <color indexed="81"/>
            <rFont val="Tahoma"/>
            <family val="2"/>
          </rPr>
          <t>Pim de Zwart:</t>
        </r>
        <r>
          <rPr>
            <sz val="9"/>
            <color indexed="81"/>
            <rFont val="Tahoma"/>
            <family val="2"/>
          </rPr>
          <t xml:space="preserve">
calc of vat, assuming 400 pond</t>
        </r>
      </text>
    </comment>
    <comment ref="K45" authorId="0">
      <text>
        <r>
          <rPr>
            <b/>
            <sz val="9"/>
            <color indexed="81"/>
            <rFont val="Tahoma"/>
            <family val="2"/>
          </rPr>
          <t>Pim de Zwart:</t>
        </r>
        <r>
          <rPr>
            <sz val="9"/>
            <color indexed="81"/>
            <rFont val="Tahoma"/>
            <family val="2"/>
          </rPr>
          <t xml:space="preserve">
calc of vat, assuming 400 pond</t>
        </r>
      </text>
    </comment>
    <comment ref="P48" authorId="0">
      <text>
        <r>
          <rPr>
            <sz val="9"/>
            <color indexed="81"/>
            <rFont val="Tahoma"/>
            <family val="2"/>
          </rPr>
          <t>Linear interpolation</t>
        </r>
      </text>
    </comment>
    <comment ref="K49" authorId="0">
      <text>
        <r>
          <rPr>
            <b/>
            <sz val="9"/>
            <color indexed="81"/>
            <rFont val="Tahoma"/>
            <family val="2"/>
          </rPr>
          <t>Pim de Zwart:</t>
        </r>
        <r>
          <rPr>
            <sz val="9"/>
            <color indexed="81"/>
            <rFont val="Tahoma"/>
            <family val="2"/>
          </rPr>
          <t xml:space="preserve">
calc of vat, assuming 400 pond</t>
        </r>
      </text>
    </comment>
    <comment ref="K50" authorId="0">
      <text>
        <r>
          <rPr>
            <b/>
            <sz val="9"/>
            <color indexed="81"/>
            <rFont val="Tahoma"/>
            <family val="2"/>
          </rPr>
          <t>Pim de Zwart:</t>
        </r>
        <r>
          <rPr>
            <sz val="9"/>
            <color indexed="81"/>
            <rFont val="Tahoma"/>
            <family val="2"/>
          </rPr>
          <t xml:space="preserve">
calc of vat, assuming 400 pond</t>
        </r>
      </text>
    </comment>
    <comment ref="P53" authorId="0">
      <text>
        <r>
          <rPr>
            <sz val="9"/>
            <color indexed="81"/>
            <rFont val="Tahoma"/>
            <family val="2"/>
          </rPr>
          <t>Linear interpolation</t>
        </r>
      </text>
    </comment>
    <comment ref="B67" authorId="0">
      <text>
        <r>
          <rPr>
            <b/>
            <sz val="9"/>
            <color indexed="81"/>
            <rFont val="Tahoma"/>
            <family val="2"/>
          </rPr>
          <t>Pim de Zwart:</t>
        </r>
        <r>
          <rPr>
            <sz val="9"/>
            <color indexed="81"/>
            <rFont val="Tahoma"/>
            <family val="2"/>
          </rPr>
          <t xml:space="preserve">
vlees, vers</t>
        </r>
      </text>
    </comment>
    <comment ref="B72" authorId="0">
      <text>
        <r>
          <rPr>
            <b/>
            <sz val="9"/>
            <color indexed="81"/>
            <rFont val="Tahoma"/>
            <family val="2"/>
          </rPr>
          <t>Pim de Zwart:</t>
        </r>
        <r>
          <rPr>
            <sz val="9"/>
            <color indexed="81"/>
            <rFont val="Tahoma"/>
            <family val="2"/>
          </rPr>
          <t xml:space="preserve">
vlees, vers</t>
        </r>
      </text>
    </comment>
    <comment ref="P84" authorId="0">
      <text>
        <r>
          <rPr>
            <sz val="9"/>
            <color indexed="81"/>
            <rFont val="Tahoma"/>
            <family val="2"/>
          </rPr>
          <t>Linear interpolation</t>
        </r>
      </text>
    </comment>
    <comment ref="P100" authorId="0">
      <text>
        <r>
          <rPr>
            <sz val="9"/>
            <color indexed="81"/>
            <rFont val="Tahoma"/>
            <family val="2"/>
          </rPr>
          <t>Linear interpolation</t>
        </r>
      </text>
    </comment>
    <comment ref="P112" authorId="0">
      <text>
        <r>
          <rPr>
            <sz val="9"/>
            <color indexed="81"/>
            <rFont val="Tahoma"/>
            <family val="2"/>
          </rPr>
          <t>Linear interpolation</t>
        </r>
      </text>
    </comment>
    <comment ref="B118" authorId="0">
      <text>
        <r>
          <rPr>
            <b/>
            <sz val="9"/>
            <color indexed="81"/>
            <rFont val="Tahoma"/>
            <family val="2"/>
          </rPr>
          <t>Pim de Zwart:</t>
        </r>
        <r>
          <rPr>
            <sz val="9"/>
            <color indexed="81"/>
            <rFont val="Tahoma"/>
            <family val="2"/>
          </rPr>
          <t xml:space="preserve">
until april</t>
        </r>
      </text>
    </comment>
    <comment ref="C118" authorId="0">
      <text>
        <r>
          <rPr>
            <b/>
            <sz val="9"/>
            <color indexed="81"/>
            <rFont val="Tahoma"/>
            <family val="2"/>
          </rPr>
          <t>Pim de Zwart:</t>
        </r>
        <r>
          <rPr>
            <sz val="9"/>
            <color indexed="81"/>
            <rFont val="Tahoma"/>
            <family val="2"/>
          </rPr>
          <t xml:space="preserve">
from june</t>
        </r>
      </text>
    </comment>
    <comment ref="P136" authorId="0">
      <text>
        <r>
          <rPr>
            <sz val="9"/>
            <color indexed="81"/>
            <rFont val="Tahoma"/>
            <family val="2"/>
          </rPr>
          <t>Linear interpolation</t>
        </r>
      </text>
    </comment>
    <comment ref="B138" authorId="0">
      <text>
        <r>
          <rPr>
            <b/>
            <sz val="9"/>
            <color indexed="81"/>
            <rFont val="Tahoma"/>
            <family val="2"/>
          </rPr>
          <t>Pim de Zwart:</t>
        </r>
        <r>
          <rPr>
            <sz val="9"/>
            <color indexed="81"/>
            <rFont val="Tahoma"/>
            <family val="2"/>
          </rPr>
          <t xml:space="preserve">
april</t>
        </r>
      </text>
    </comment>
    <comment ref="C138" authorId="0">
      <text>
        <r>
          <rPr>
            <b/>
            <sz val="9"/>
            <color indexed="81"/>
            <rFont val="Tahoma"/>
            <family val="2"/>
          </rPr>
          <t>Pim de Zwart:</t>
        </r>
        <r>
          <rPr>
            <sz val="9"/>
            <color indexed="81"/>
            <rFont val="Tahoma"/>
            <family val="2"/>
          </rPr>
          <t xml:space="preserve">
dec</t>
        </r>
      </text>
    </comment>
    <comment ref="E138" authorId="0">
      <text>
        <r>
          <rPr>
            <b/>
            <sz val="9"/>
            <color indexed="81"/>
            <rFont val="Tahoma"/>
            <family val="2"/>
          </rPr>
          <t>Pim de Zwart:</t>
        </r>
        <r>
          <rPr>
            <sz val="9"/>
            <color indexed="81"/>
            <rFont val="Tahoma"/>
            <family val="2"/>
          </rPr>
          <t xml:space="preserve">
CP 2739; sep/nov</t>
        </r>
      </text>
    </comment>
    <comment ref="E139" authorId="0">
      <text>
        <r>
          <rPr>
            <b/>
            <sz val="9"/>
            <color indexed="81"/>
            <rFont val="Tahoma"/>
            <family val="2"/>
          </rPr>
          <t>Pim de Zwart:</t>
        </r>
        <r>
          <rPr>
            <sz val="9"/>
            <color indexed="81"/>
            <rFont val="Tahoma"/>
            <family val="2"/>
          </rPr>
          <t xml:space="preserve">
CP 2739</t>
        </r>
      </text>
    </comment>
    <comment ref="F140" authorId="0">
      <text>
        <r>
          <rPr>
            <b/>
            <sz val="9"/>
            <color indexed="81"/>
            <rFont val="Tahoma"/>
            <family val="2"/>
          </rPr>
          <t>Pim de Zwart:</t>
        </r>
        <r>
          <rPr>
            <sz val="9"/>
            <color indexed="81"/>
            <rFont val="Tahoma"/>
            <family val="2"/>
          </rPr>
          <t xml:space="preserve">
CP 2734</t>
        </r>
      </text>
    </comment>
    <comment ref="K140" authorId="0">
      <text>
        <r>
          <rPr>
            <b/>
            <sz val="9"/>
            <color indexed="81"/>
            <rFont val="Tahoma"/>
            <family val="2"/>
          </rPr>
          <t>Pim de Zwart:</t>
        </r>
        <r>
          <rPr>
            <sz val="9"/>
            <color indexed="81"/>
            <rFont val="Tahoma"/>
            <family val="2"/>
          </rPr>
          <t xml:space="preserve">
considering the consistency of the series, the observation of 0.06 rds (0.15 guilder) is left out</t>
        </r>
      </text>
    </comment>
    <comment ref="B143" authorId="0">
      <text>
        <r>
          <rPr>
            <b/>
            <sz val="9"/>
            <color indexed="81"/>
            <rFont val="Tahoma"/>
            <family val="2"/>
          </rPr>
          <t>Pim de Zwart:</t>
        </r>
        <r>
          <rPr>
            <sz val="9"/>
            <color indexed="81"/>
            <rFont val="Tahoma"/>
            <family val="2"/>
          </rPr>
          <t xml:space="preserve">
march</t>
        </r>
      </text>
    </comment>
    <comment ref="C143" authorId="0">
      <text>
        <r>
          <rPr>
            <b/>
            <sz val="9"/>
            <color indexed="81"/>
            <rFont val="Tahoma"/>
            <family val="2"/>
          </rPr>
          <t>Pim de Zwart:</t>
        </r>
        <r>
          <rPr>
            <sz val="9"/>
            <color indexed="81"/>
            <rFont val="Tahoma"/>
            <family val="2"/>
          </rPr>
          <t xml:space="preserve">
aug</t>
        </r>
      </text>
    </comment>
    <comment ref="E143" authorId="0">
      <text>
        <r>
          <rPr>
            <b/>
            <sz val="9"/>
            <color indexed="81"/>
            <rFont val="Tahoma"/>
            <family val="2"/>
          </rPr>
          <t>Pim de Zwart:</t>
        </r>
        <r>
          <rPr>
            <sz val="9"/>
            <color indexed="81"/>
            <rFont val="Tahoma"/>
            <family val="2"/>
          </rPr>
          <t xml:space="preserve">
BRD 40</t>
        </r>
      </text>
    </comment>
    <comment ref="E144" authorId="0">
      <text>
        <r>
          <rPr>
            <b/>
            <sz val="9"/>
            <color indexed="81"/>
            <rFont val="Tahoma"/>
            <family val="2"/>
          </rPr>
          <t>Pim de Zwart:</t>
        </r>
        <r>
          <rPr>
            <sz val="9"/>
            <color indexed="81"/>
            <rFont val="Tahoma"/>
            <family val="2"/>
          </rPr>
          <t xml:space="preserve">
BRD 40</t>
        </r>
      </text>
    </comment>
    <comment ref="B147" authorId="0">
      <text>
        <r>
          <rPr>
            <b/>
            <sz val="9"/>
            <color indexed="81"/>
            <rFont val="Tahoma"/>
            <family val="2"/>
          </rPr>
          <t>Pim de Zwart:</t>
        </r>
        <r>
          <rPr>
            <sz val="9"/>
            <color indexed="81"/>
            <rFont val="Tahoma"/>
            <family val="2"/>
          </rPr>
          <t xml:space="preserve">
july</t>
        </r>
      </text>
    </comment>
    <comment ref="C147" authorId="0">
      <text>
        <r>
          <rPr>
            <b/>
            <sz val="9"/>
            <color indexed="81"/>
            <rFont val="Tahoma"/>
            <family val="2"/>
          </rPr>
          <t>Pim de Zwart:</t>
        </r>
        <r>
          <rPr>
            <sz val="9"/>
            <color indexed="81"/>
            <rFont val="Tahoma"/>
            <family val="2"/>
          </rPr>
          <t xml:space="preserve">
oct</t>
        </r>
      </text>
    </comment>
    <comment ref="P148" authorId="0">
      <text>
        <r>
          <rPr>
            <sz val="9"/>
            <color indexed="81"/>
            <rFont val="Tahoma"/>
            <family val="2"/>
          </rPr>
          <t>Linear interpolation</t>
        </r>
      </text>
    </comment>
    <comment ref="H149" authorId="0">
      <text>
        <r>
          <rPr>
            <b/>
            <sz val="9"/>
            <color indexed="81"/>
            <rFont val="Tahoma"/>
            <family val="2"/>
          </rPr>
          <t>Pim de Zwart:</t>
        </r>
        <r>
          <rPr>
            <sz val="9"/>
            <color indexed="81"/>
            <rFont val="Tahoma"/>
            <family val="2"/>
          </rPr>
          <t xml:space="preserve">
vol. 1, p. 216</t>
        </r>
      </text>
    </comment>
    <comment ref="P150" authorId="0">
      <text>
        <r>
          <rPr>
            <sz val="9"/>
            <color indexed="81"/>
            <rFont val="Tahoma"/>
            <family val="2"/>
          </rPr>
          <t>Linear interpolation</t>
        </r>
      </text>
    </comment>
    <comment ref="P153" authorId="0">
      <text>
        <r>
          <rPr>
            <sz val="9"/>
            <color indexed="81"/>
            <rFont val="Tahoma"/>
            <family val="2"/>
          </rPr>
          <t>Linear interpolation</t>
        </r>
      </text>
    </comment>
    <comment ref="H154" authorId="0">
      <text>
        <r>
          <rPr>
            <b/>
            <sz val="9"/>
            <color indexed="81"/>
            <rFont val="Tahoma"/>
            <family val="2"/>
          </rPr>
          <t>Pim de Zwart:</t>
        </r>
        <r>
          <rPr>
            <sz val="9"/>
            <color indexed="81"/>
            <rFont val="Tahoma"/>
            <family val="2"/>
          </rPr>
          <t xml:space="preserve">
vol. 3, p. 195</t>
        </r>
      </text>
    </comment>
    <comment ref="H155" authorId="0">
      <text>
        <r>
          <rPr>
            <b/>
            <sz val="9"/>
            <color indexed="81"/>
            <rFont val="Tahoma"/>
            <family val="2"/>
          </rPr>
          <t>Pim de Zwart:</t>
        </r>
        <r>
          <rPr>
            <sz val="9"/>
            <color indexed="81"/>
            <rFont val="Tahoma"/>
            <family val="2"/>
          </rPr>
          <t xml:space="preserve">
vol 3, p. 397</t>
        </r>
      </text>
    </comment>
    <comment ref="P156" authorId="0">
      <text>
        <r>
          <rPr>
            <sz val="9"/>
            <color indexed="81"/>
            <rFont val="Tahoma"/>
            <family val="2"/>
          </rPr>
          <t>Linear interpolation</t>
        </r>
      </text>
    </comment>
    <comment ref="P158" authorId="0">
      <text>
        <r>
          <rPr>
            <sz val="9"/>
            <color indexed="81"/>
            <rFont val="Tahoma"/>
            <family val="2"/>
          </rPr>
          <t>Linear interpolation</t>
        </r>
      </text>
    </comment>
    <comment ref="H165" authorId="0">
      <text>
        <r>
          <rPr>
            <b/>
            <sz val="9"/>
            <color indexed="81"/>
            <rFont val="Tahoma"/>
            <family val="2"/>
          </rPr>
          <t>Pim de Zwart:</t>
        </r>
        <r>
          <rPr>
            <sz val="9"/>
            <color indexed="81"/>
            <rFont val="Tahoma"/>
            <family val="2"/>
          </rPr>
          <t xml:space="preserve">
</t>
        </r>
        <r>
          <rPr>
            <sz val="9"/>
            <color indexed="81"/>
            <rFont val="Arial"/>
            <family val="2"/>
          </rPr>
          <t>£; vol. 8, p. 209</t>
        </r>
      </text>
    </comment>
    <comment ref="P167" authorId="0">
      <text>
        <r>
          <rPr>
            <sz val="9"/>
            <color indexed="81"/>
            <rFont val="Tahoma"/>
            <family val="2"/>
          </rPr>
          <t>Linear interpolation</t>
        </r>
      </text>
    </comment>
    <comment ref="F171" authorId="0">
      <text>
        <r>
          <rPr>
            <b/>
            <sz val="9"/>
            <color indexed="81"/>
            <rFont val="Tahoma"/>
            <family val="2"/>
          </rPr>
          <t>Pim de Zwart:</t>
        </r>
        <r>
          <rPr>
            <sz val="9"/>
            <color indexed="81"/>
            <rFont val="Tahoma"/>
            <family val="2"/>
          </rPr>
          <t xml:space="preserve">
RDG 197</t>
        </r>
      </text>
    </comment>
    <comment ref="P172" authorId="0">
      <text>
        <r>
          <rPr>
            <sz val="9"/>
            <color indexed="81"/>
            <rFont val="Tahoma"/>
            <family val="2"/>
          </rPr>
          <t>Linear interpolation</t>
        </r>
      </text>
    </comment>
    <comment ref="F173" authorId="0">
      <text>
        <r>
          <rPr>
            <b/>
            <sz val="9"/>
            <color indexed="81"/>
            <rFont val="Tahoma"/>
            <family val="2"/>
          </rPr>
          <t>Pim de Zwart:</t>
        </r>
        <r>
          <rPr>
            <sz val="9"/>
            <color indexed="81"/>
            <rFont val="Tahoma"/>
            <family val="2"/>
          </rPr>
          <t xml:space="preserve">
RDG 197; average of beef and sheep's meat</t>
        </r>
      </text>
    </comment>
    <comment ref="H174" authorId="0">
      <text>
        <r>
          <rPr>
            <b/>
            <sz val="9"/>
            <color indexed="81"/>
            <rFont val="Tahoma"/>
            <family val="2"/>
          </rPr>
          <t>Pim de Zwart:</t>
        </r>
        <r>
          <rPr>
            <sz val="9"/>
            <color indexed="81"/>
            <rFont val="Tahoma"/>
            <family val="2"/>
          </rPr>
          <t xml:space="preserve">
vol. 16, p. 151</t>
        </r>
      </text>
    </comment>
    <comment ref="P175" authorId="0">
      <text>
        <r>
          <rPr>
            <sz val="9"/>
            <color indexed="81"/>
            <rFont val="Tahoma"/>
            <family val="2"/>
          </rPr>
          <t>Linear interpolation</t>
        </r>
      </text>
    </comment>
    <comment ref="F177" authorId="0">
      <text>
        <r>
          <rPr>
            <b/>
            <sz val="9"/>
            <color indexed="81"/>
            <rFont val="Tahoma"/>
            <family val="2"/>
          </rPr>
          <t>Pim de Zwart:</t>
        </r>
        <r>
          <rPr>
            <sz val="9"/>
            <color indexed="81"/>
            <rFont val="Tahoma"/>
            <family val="2"/>
          </rPr>
          <t xml:space="preserve">
RDG 197, average of cows and sheeps meat</t>
        </r>
      </text>
    </comment>
    <comment ref="P178" authorId="0">
      <text>
        <r>
          <rPr>
            <sz val="9"/>
            <color indexed="81"/>
            <rFont val="Tahoma"/>
            <family val="2"/>
          </rPr>
          <t>Linear interpolation</t>
        </r>
      </text>
    </comment>
    <comment ref="P188" authorId="0">
      <text>
        <r>
          <rPr>
            <sz val="9"/>
            <color indexed="81"/>
            <rFont val="Tahoma"/>
            <family val="2"/>
          </rPr>
          <t>Linear interpolation</t>
        </r>
      </text>
    </comment>
    <comment ref="P200" authorId="0">
      <text>
        <r>
          <rPr>
            <sz val="9"/>
            <color indexed="81"/>
            <rFont val="Tahoma"/>
            <family val="2"/>
          </rPr>
          <t>Linear interpolation</t>
        </r>
      </text>
    </comment>
    <comment ref="P206" authorId="0">
      <text>
        <r>
          <rPr>
            <sz val="9"/>
            <color indexed="81"/>
            <rFont val="Tahoma"/>
            <family val="2"/>
          </rPr>
          <t>Linear interpolation</t>
        </r>
      </text>
    </comment>
    <comment ref="P212" authorId="0">
      <text>
        <r>
          <rPr>
            <sz val="9"/>
            <color indexed="81"/>
            <rFont val="Tahoma"/>
            <family val="2"/>
          </rPr>
          <t>Linear interpolation</t>
        </r>
      </text>
    </comment>
    <comment ref="P224" authorId="0">
      <text>
        <r>
          <rPr>
            <sz val="9"/>
            <color indexed="81"/>
            <rFont val="Tahoma"/>
            <family val="2"/>
          </rPr>
          <t>Linear interpolation</t>
        </r>
      </text>
    </comment>
    <comment ref="P259" authorId="0">
      <text>
        <r>
          <rPr>
            <sz val="9"/>
            <color indexed="81"/>
            <rFont val="Tahoma"/>
            <family val="2"/>
          </rPr>
          <t>Linear interpolation</t>
        </r>
      </text>
    </comment>
    <comment ref="P266" authorId="0">
      <text>
        <r>
          <rPr>
            <sz val="9"/>
            <color indexed="81"/>
            <rFont val="Tahoma"/>
            <family val="2"/>
          </rPr>
          <t>Linear interpolation</t>
        </r>
      </text>
    </comment>
  </commentList>
</comments>
</file>

<file path=xl/comments6.xml><?xml version="1.0" encoding="utf-8"?>
<comments xmlns="http://schemas.openxmlformats.org/spreadsheetml/2006/main">
  <authors>
    <author>Pim de Zwart</author>
  </authors>
  <commentList>
    <comment ref="D3" authorId="0">
      <text>
        <r>
          <rPr>
            <b/>
            <sz val="9"/>
            <color indexed="81"/>
            <rFont val="Tahoma"/>
            <family val="2"/>
          </rPr>
          <t>Pim de Zwart:</t>
        </r>
        <r>
          <rPr>
            <sz val="9"/>
            <color indexed="81"/>
            <rFont val="Tahoma"/>
            <family val="2"/>
          </rPr>
          <t xml:space="preserve">
stated explicitely that it concerned butter from the Cape</t>
        </r>
      </text>
    </comment>
    <comment ref="B5" authorId="0">
      <text>
        <r>
          <rPr>
            <b/>
            <sz val="9"/>
            <color indexed="81"/>
            <rFont val="Tahoma"/>
            <family val="2"/>
          </rPr>
          <t>Pim de Zwart:</t>
        </r>
        <r>
          <rPr>
            <sz val="9"/>
            <color indexed="81"/>
            <rFont val="Tahoma"/>
            <family val="2"/>
          </rPr>
          <t xml:space="preserve">
check</t>
        </r>
      </text>
    </comment>
    <comment ref="R12" authorId="0">
      <text>
        <r>
          <rPr>
            <sz val="9"/>
            <color indexed="81"/>
            <rFont val="Tahoma"/>
            <family val="2"/>
          </rPr>
          <t>Linear interpolation</t>
        </r>
      </text>
    </comment>
    <comment ref="R14" authorId="0">
      <text>
        <r>
          <rPr>
            <sz val="9"/>
            <color indexed="81"/>
            <rFont val="Tahoma"/>
            <family val="2"/>
          </rPr>
          <t>Linear interpolation</t>
        </r>
      </text>
    </comment>
    <comment ref="R18" authorId="0">
      <text>
        <r>
          <rPr>
            <sz val="9"/>
            <color indexed="81"/>
            <rFont val="Tahoma"/>
            <family val="2"/>
          </rPr>
          <t>Linear interpolation</t>
        </r>
      </text>
    </comment>
    <comment ref="R20" authorId="0">
      <text>
        <r>
          <rPr>
            <sz val="9"/>
            <color indexed="81"/>
            <rFont val="Tahoma"/>
            <family val="2"/>
          </rPr>
          <t>Linear interpolation</t>
        </r>
      </text>
    </comment>
    <comment ref="R29" authorId="0">
      <text>
        <r>
          <rPr>
            <sz val="9"/>
            <color indexed="81"/>
            <rFont val="Tahoma"/>
            <family val="2"/>
          </rPr>
          <t>Linear interpolation</t>
        </r>
      </text>
    </comment>
    <comment ref="R32" authorId="0">
      <text>
        <r>
          <rPr>
            <sz val="9"/>
            <color indexed="81"/>
            <rFont val="Tahoma"/>
            <family val="2"/>
          </rPr>
          <t>Linear interpolation</t>
        </r>
      </text>
    </comment>
    <comment ref="R40" authorId="0">
      <text>
        <r>
          <rPr>
            <sz val="9"/>
            <color indexed="81"/>
            <rFont val="Tahoma"/>
            <family val="2"/>
          </rPr>
          <t>Linear interpolation</t>
        </r>
      </text>
    </comment>
    <comment ref="R44" authorId="0">
      <text>
        <r>
          <rPr>
            <sz val="9"/>
            <color indexed="81"/>
            <rFont val="Tahoma"/>
            <family val="2"/>
          </rPr>
          <t>Linear interpolation</t>
        </r>
      </text>
    </comment>
    <comment ref="R49" authorId="0">
      <text>
        <r>
          <rPr>
            <sz val="9"/>
            <color indexed="81"/>
            <rFont val="Tahoma"/>
            <family val="2"/>
          </rPr>
          <t>Linear interpolation</t>
        </r>
      </text>
    </comment>
    <comment ref="R55" authorId="0">
      <text>
        <r>
          <rPr>
            <sz val="9"/>
            <color indexed="81"/>
            <rFont val="Tahoma"/>
            <family val="2"/>
          </rPr>
          <t>Linear interpolation</t>
        </r>
      </text>
    </comment>
    <comment ref="R58" authorId="0">
      <text>
        <r>
          <rPr>
            <sz val="9"/>
            <color indexed="81"/>
            <rFont val="Tahoma"/>
            <family val="2"/>
          </rPr>
          <t>Linear interpolation</t>
        </r>
      </text>
    </comment>
    <comment ref="R63" authorId="0">
      <text>
        <r>
          <rPr>
            <sz val="9"/>
            <color indexed="81"/>
            <rFont val="Tahoma"/>
            <family val="2"/>
          </rPr>
          <t>Linear interpolation</t>
        </r>
      </text>
    </comment>
    <comment ref="F68" authorId="0">
      <text>
        <r>
          <rPr>
            <b/>
            <sz val="9"/>
            <color indexed="81"/>
            <rFont val="Tahoma"/>
            <family val="2"/>
          </rPr>
          <t>Pim de Zwart:</t>
        </r>
        <r>
          <rPr>
            <sz val="9"/>
            <color indexed="81"/>
            <rFont val="Tahoma"/>
            <family val="2"/>
          </rPr>
          <t xml:space="preserve">
MOOC8/3.9</t>
        </r>
      </text>
    </comment>
    <comment ref="F69" authorId="0">
      <text>
        <r>
          <rPr>
            <b/>
            <sz val="9"/>
            <color indexed="81"/>
            <rFont val="Tahoma"/>
            <family val="2"/>
          </rPr>
          <t>Pim de Zwart:</t>
        </r>
        <r>
          <rPr>
            <sz val="9"/>
            <color indexed="81"/>
            <rFont val="Tahoma"/>
            <family val="2"/>
          </rPr>
          <t xml:space="preserve">
MOOC8/3.10</t>
        </r>
      </text>
    </comment>
    <comment ref="R72" authorId="0">
      <text>
        <r>
          <rPr>
            <sz val="9"/>
            <color indexed="81"/>
            <rFont val="Tahoma"/>
            <family val="2"/>
          </rPr>
          <t>Linear interpolation</t>
        </r>
      </text>
    </comment>
    <comment ref="R75" authorId="0">
      <text>
        <r>
          <rPr>
            <sz val="9"/>
            <color indexed="81"/>
            <rFont val="Tahoma"/>
            <family val="2"/>
          </rPr>
          <t>Linear interpolation</t>
        </r>
      </text>
    </comment>
    <comment ref="R96" authorId="0">
      <text>
        <r>
          <rPr>
            <sz val="9"/>
            <color indexed="81"/>
            <rFont val="Tahoma"/>
            <family val="2"/>
          </rPr>
          <t>Linear interpolation</t>
        </r>
      </text>
    </comment>
    <comment ref="R103" authorId="0">
      <text>
        <r>
          <rPr>
            <sz val="9"/>
            <color indexed="81"/>
            <rFont val="Tahoma"/>
            <family val="2"/>
          </rPr>
          <t>Linear interpolation</t>
        </r>
      </text>
    </comment>
    <comment ref="R119" authorId="0">
      <text>
        <r>
          <rPr>
            <sz val="9"/>
            <color indexed="81"/>
            <rFont val="Tahoma"/>
            <family val="2"/>
          </rPr>
          <t>Linear interpolation</t>
        </r>
      </text>
    </comment>
    <comment ref="R124" authorId="0">
      <text>
        <r>
          <rPr>
            <sz val="9"/>
            <color indexed="81"/>
            <rFont val="Tahoma"/>
            <family val="2"/>
          </rPr>
          <t>Linear interpolation</t>
        </r>
      </text>
    </comment>
    <comment ref="G137" authorId="0">
      <text>
        <r>
          <rPr>
            <b/>
            <sz val="9"/>
            <color indexed="81"/>
            <rFont val="Tahoma"/>
            <family val="2"/>
          </rPr>
          <t>Pim de Zwart:</t>
        </r>
        <r>
          <rPr>
            <sz val="9"/>
            <color indexed="81"/>
            <rFont val="Tahoma"/>
            <family val="2"/>
          </rPr>
          <t xml:space="preserve">
assume Dutch pond</t>
        </r>
      </text>
    </comment>
    <comment ref="E138" authorId="0">
      <text>
        <r>
          <rPr>
            <b/>
            <sz val="9"/>
            <color indexed="81"/>
            <rFont val="Tahoma"/>
            <family val="2"/>
          </rPr>
          <t>Pim de Zwart:</t>
        </r>
        <r>
          <rPr>
            <sz val="9"/>
            <color indexed="81"/>
            <rFont val="Tahoma"/>
            <family val="2"/>
          </rPr>
          <t xml:space="preserve">
CP 2739</t>
        </r>
      </text>
    </comment>
    <comment ref="E139" authorId="0">
      <text>
        <r>
          <rPr>
            <b/>
            <sz val="9"/>
            <color indexed="81"/>
            <rFont val="Tahoma"/>
            <family val="2"/>
          </rPr>
          <t>Pim de Zwart:</t>
        </r>
        <r>
          <rPr>
            <sz val="9"/>
            <color indexed="81"/>
            <rFont val="Tahoma"/>
            <family val="2"/>
          </rPr>
          <t xml:space="preserve">
CP 2739</t>
        </r>
      </text>
    </comment>
    <comment ref="R141" authorId="0">
      <text>
        <r>
          <rPr>
            <sz val="9"/>
            <color indexed="81"/>
            <rFont val="Tahoma"/>
            <family val="2"/>
          </rPr>
          <t>Linear interpolation</t>
        </r>
      </text>
    </comment>
    <comment ref="R146" authorId="0">
      <text>
        <r>
          <rPr>
            <sz val="9"/>
            <color indexed="81"/>
            <rFont val="Tahoma"/>
            <family val="2"/>
          </rPr>
          <t>Linear interpolation</t>
        </r>
      </text>
    </comment>
    <comment ref="R148" authorId="0">
      <text>
        <r>
          <rPr>
            <sz val="9"/>
            <color indexed="81"/>
            <rFont val="Tahoma"/>
            <family val="2"/>
          </rPr>
          <t>Linear interpolation</t>
        </r>
      </text>
    </comment>
    <comment ref="R153" authorId="0">
      <text>
        <r>
          <rPr>
            <sz val="9"/>
            <color indexed="81"/>
            <rFont val="Tahoma"/>
            <family val="2"/>
          </rPr>
          <t>Linear interpolation</t>
        </r>
      </text>
    </comment>
    <comment ref="R156" authorId="0">
      <text>
        <r>
          <rPr>
            <sz val="9"/>
            <color indexed="81"/>
            <rFont val="Tahoma"/>
            <family val="2"/>
          </rPr>
          <t>Linear interpolation</t>
        </r>
      </text>
    </comment>
    <comment ref="R158" authorId="0">
      <text>
        <r>
          <rPr>
            <sz val="9"/>
            <color indexed="81"/>
            <rFont val="Tahoma"/>
            <family val="2"/>
          </rPr>
          <t>Linear interpolation</t>
        </r>
      </text>
    </comment>
    <comment ref="R212" authorId="0">
      <text>
        <r>
          <rPr>
            <sz val="9"/>
            <color indexed="81"/>
            <rFont val="Tahoma"/>
            <family val="2"/>
          </rPr>
          <t>Linear interpolation</t>
        </r>
      </text>
    </comment>
    <comment ref="R224" authorId="0">
      <text>
        <r>
          <rPr>
            <sz val="9"/>
            <color indexed="81"/>
            <rFont val="Tahoma"/>
            <family val="2"/>
          </rPr>
          <t>Linear interpolation</t>
        </r>
      </text>
    </comment>
    <comment ref="R258" authorId="0">
      <text>
        <r>
          <rPr>
            <sz val="9"/>
            <color indexed="81"/>
            <rFont val="Tahoma"/>
            <family val="2"/>
          </rPr>
          <t>Linear interpolation</t>
        </r>
      </text>
    </comment>
    <comment ref="R266" authorId="0">
      <text>
        <r>
          <rPr>
            <sz val="9"/>
            <color indexed="81"/>
            <rFont val="Tahoma"/>
            <family val="2"/>
          </rPr>
          <t>Linear interpolation</t>
        </r>
      </text>
    </comment>
  </commentList>
</comments>
</file>

<file path=xl/comments7.xml><?xml version="1.0" encoding="utf-8"?>
<comments xmlns="http://schemas.openxmlformats.org/spreadsheetml/2006/main">
  <authors>
    <author>Pim de Zwart</author>
    <author>Zwart, P. de (Pim)</author>
  </authors>
  <commentList>
    <comment ref="Q101" authorId="0">
      <text>
        <r>
          <rPr>
            <b/>
            <sz val="9"/>
            <color indexed="81"/>
            <rFont val="Tahoma"/>
            <family val="2"/>
          </rPr>
          <t>Pim de Zwart:</t>
        </r>
        <r>
          <rPr>
            <sz val="9"/>
            <color indexed="81"/>
            <rFont val="Tahoma"/>
            <family val="2"/>
          </rPr>
          <t xml:space="preserve">
In period 1747-1775, I have relied solely on the sales prices from the rendementen</t>
        </r>
      </text>
    </comment>
    <comment ref="F104" authorId="0">
      <text>
        <r>
          <rPr>
            <b/>
            <sz val="9"/>
            <color indexed="81"/>
            <rFont val="Tahoma"/>
            <family val="2"/>
          </rPr>
          <t>Pim de Zwart:</t>
        </r>
        <r>
          <rPr>
            <sz val="9"/>
            <color indexed="81"/>
            <rFont val="Tahoma"/>
            <family val="2"/>
          </rPr>
          <t xml:space="preserve">
error?</t>
        </r>
      </text>
    </comment>
    <comment ref="G104" authorId="0">
      <text>
        <r>
          <rPr>
            <b/>
            <sz val="9"/>
            <color indexed="81"/>
            <rFont val="Tahoma"/>
            <family val="2"/>
          </rPr>
          <t>Pim de Zwart:</t>
        </r>
        <r>
          <rPr>
            <sz val="9"/>
            <color indexed="81"/>
            <rFont val="Tahoma"/>
            <family val="2"/>
          </rPr>
          <t xml:space="preserve">
error?
</t>
        </r>
      </text>
    </comment>
    <comment ref="F106" authorId="0">
      <text>
        <r>
          <rPr>
            <b/>
            <sz val="9"/>
            <color indexed="81"/>
            <rFont val="Tahoma"/>
            <family val="2"/>
          </rPr>
          <t>Pim de Zwart:</t>
        </r>
        <r>
          <rPr>
            <sz val="9"/>
            <color indexed="81"/>
            <rFont val="Tahoma"/>
            <family val="2"/>
          </rPr>
          <t xml:space="preserve">
average of 2 prices</t>
        </r>
      </text>
    </comment>
    <comment ref="F108" authorId="0">
      <text>
        <r>
          <rPr>
            <b/>
            <sz val="9"/>
            <color indexed="81"/>
            <rFont val="Tahoma"/>
            <family val="2"/>
          </rPr>
          <t>Pim de Zwart:</t>
        </r>
        <r>
          <rPr>
            <sz val="9"/>
            <color indexed="81"/>
            <rFont val="Tahoma"/>
            <family val="2"/>
          </rPr>
          <t xml:space="preserve">
spanish soap</t>
        </r>
      </text>
    </comment>
    <comment ref="F118" authorId="0">
      <text>
        <r>
          <rPr>
            <b/>
            <sz val="9"/>
            <color indexed="81"/>
            <rFont val="Tahoma"/>
            <family val="2"/>
          </rPr>
          <t>Pim de Zwart:</t>
        </r>
        <r>
          <rPr>
            <sz val="9"/>
            <color indexed="81"/>
            <rFont val="Tahoma"/>
            <family val="2"/>
          </rPr>
          <t xml:space="preserve">
spanish</t>
        </r>
      </text>
    </comment>
    <comment ref="F119" authorId="0">
      <text>
        <r>
          <rPr>
            <b/>
            <sz val="9"/>
            <color indexed="81"/>
            <rFont val="Tahoma"/>
            <family val="2"/>
          </rPr>
          <t>Pim de Zwart:</t>
        </r>
        <r>
          <rPr>
            <sz val="9"/>
            <color indexed="81"/>
            <rFont val="Tahoma"/>
            <family val="2"/>
          </rPr>
          <t xml:space="preserve">
spanish</t>
        </r>
      </text>
    </comment>
    <comment ref="F122" authorId="0">
      <text>
        <r>
          <rPr>
            <b/>
            <sz val="9"/>
            <color indexed="81"/>
            <rFont val="Tahoma"/>
            <family val="2"/>
          </rPr>
          <t>Pim de Zwart:</t>
        </r>
        <r>
          <rPr>
            <sz val="9"/>
            <color indexed="81"/>
            <rFont val="Tahoma"/>
            <family val="2"/>
          </rPr>
          <t xml:space="preserve">
spanish soap</t>
        </r>
      </text>
    </comment>
    <comment ref="F124" authorId="0">
      <text>
        <r>
          <rPr>
            <b/>
            <sz val="9"/>
            <color indexed="81"/>
            <rFont val="Tahoma"/>
            <family val="2"/>
          </rPr>
          <t>Pim de Zwart:</t>
        </r>
        <r>
          <rPr>
            <sz val="9"/>
            <color indexed="81"/>
            <rFont val="Tahoma"/>
            <family val="2"/>
          </rPr>
          <t xml:space="preserve">
spanish</t>
        </r>
      </text>
    </comment>
    <comment ref="E126" authorId="0">
      <text>
        <r>
          <rPr>
            <b/>
            <sz val="9"/>
            <color indexed="81"/>
            <rFont val="Tahoma"/>
            <family val="2"/>
          </rPr>
          <t>Pim de Zwart:</t>
        </r>
        <r>
          <rPr>
            <sz val="9"/>
            <color indexed="81"/>
            <rFont val="Tahoma"/>
            <family val="2"/>
          </rPr>
          <t xml:space="preserve">
average of 2 prices</t>
        </r>
      </text>
    </comment>
    <comment ref="F128" authorId="0">
      <text>
        <r>
          <rPr>
            <b/>
            <sz val="9"/>
            <color indexed="81"/>
            <rFont val="Tahoma"/>
            <family val="2"/>
          </rPr>
          <t>Pim de Zwart:</t>
        </r>
        <r>
          <rPr>
            <sz val="9"/>
            <color indexed="81"/>
            <rFont val="Tahoma"/>
            <family val="2"/>
          </rPr>
          <t xml:space="preserve">
spanish</t>
        </r>
      </text>
    </comment>
    <comment ref="F129" authorId="0">
      <text>
        <r>
          <rPr>
            <b/>
            <sz val="9"/>
            <color indexed="81"/>
            <rFont val="Tahoma"/>
            <family val="2"/>
          </rPr>
          <t>Pim de Zwart:</t>
        </r>
        <r>
          <rPr>
            <sz val="9"/>
            <color indexed="81"/>
            <rFont val="Tahoma"/>
            <family val="2"/>
          </rPr>
          <t xml:space="preserve">
spanish</t>
        </r>
      </text>
    </comment>
    <comment ref="E150" authorId="0">
      <text>
        <r>
          <rPr>
            <b/>
            <sz val="9"/>
            <color indexed="81"/>
            <rFont val="Tahoma"/>
            <family val="2"/>
          </rPr>
          <t>Pim de Zwart:</t>
        </r>
        <r>
          <rPr>
            <sz val="9"/>
            <color indexed="81"/>
            <rFont val="Tahoma"/>
            <family val="2"/>
          </rPr>
          <t xml:space="preserve">
japanese</t>
        </r>
      </text>
    </comment>
    <comment ref="R151" authorId="1">
      <text>
        <r>
          <rPr>
            <b/>
            <sz val="8"/>
            <color indexed="81"/>
            <rFont val="Tahoma"/>
            <family val="2"/>
          </rPr>
          <t>Zwart, P. de (Pim):</t>
        </r>
        <r>
          <rPr>
            <sz val="8"/>
            <color indexed="81"/>
            <rFont val="Tahoma"/>
            <family val="2"/>
          </rPr>
          <t xml:space="preserve">
if conversion made from guilder</t>
        </r>
      </text>
    </comment>
    <comment ref="R152" authorId="1">
      <text>
        <r>
          <rPr>
            <b/>
            <sz val="8"/>
            <color indexed="81"/>
            <rFont val="Tahoma"/>
            <family val="2"/>
          </rPr>
          <t>Zwart, P. de (Pim):</t>
        </r>
        <r>
          <rPr>
            <sz val="8"/>
            <color indexed="81"/>
            <rFont val="Tahoma"/>
            <family val="2"/>
          </rPr>
          <t xml:space="preserve">
if conversion made from guilder</t>
        </r>
      </text>
    </comment>
    <comment ref="R155" authorId="1">
      <text>
        <r>
          <rPr>
            <b/>
            <sz val="8"/>
            <color indexed="81"/>
            <rFont val="Tahoma"/>
            <family val="2"/>
          </rPr>
          <t>Zwart, P. de (Pim):</t>
        </r>
        <r>
          <rPr>
            <sz val="8"/>
            <color indexed="81"/>
            <rFont val="Tahoma"/>
            <family val="2"/>
          </rPr>
          <t xml:space="preserve">
if conversion made from guilder</t>
        </r>
      </text>
    </comment>
    <comment ref="R157" authorId="1">
      <text>
        <r>
          <rPr>
            <b/>
            <sz val="8"/>
            <color indexed="81"/>
            <rFont val="Tahoma"/>
            <family val="2"/>
          </rPr>
          <t>Zwart, P. de (Pim):</t>
        </r>
        <r>
          <rPr>
            <sz val="8"/>
            <color indexed="81"/>
            <rFont val="Tahoma"/>
            <family val="2"/>
          </rPr>
          <t xml:space="preserve">
if conversion made from guilder</t>
        </r>
      </text>
    </comment>
  </commentList>
</comments>
</file>

<file path=xl/comments8.xml><?xml version="1.0" encoding="utf-8"?>
<comments xmlns="http://schemas.openxmlformats.org/spreadsheetml/2006/main">
  <authors>
    <author>Pim de Zwart</author>
  </authors>
  <commentList>
    <comment ref="D4" authorId="0">
      <text>
        <r>
          <rPr>
            <b/>
            <sz val="9"/>
            <color indexed="81"/>
            <rFont val="Tahoma"/>
            <family val="2"/>
          </rPr>
          <t>Pim de Zwart:</t>
        </r>
        <r>
          <rPr>
            <sz val="9"/>
            <color indexed="81"/>
            <rFont val="Tahoma"/>
            <family val="2"/>
          </rPr>
          <t xml:space="preserve">
original prices in rds, 2.4 rds per guilder</t>
        </r>
      </text>
    </comment>
    <comment ref="E4" authorId="0">
      <text>
        <r>
          <rPr>
            <b/>
            <sz val="9"/>
            <color indexed="81"/>
            <rFont val="Tahoma"/>
            <family val="2"/>
          </rPr>
          <t>Pim de Zwart:</t>
        </r>
        <r>
          <rPr>
            <sz val="9"/>
            <color indexed="81"/>
            <rFont val="Tahoma"/>
            <family val="2"/>
          </rPr>
          <t xml:space="preserve">
original prices in rds, 2.4 rds per guilder</t>
        </r>
      </text>
    </comment>
    <comment ref="F4" authorId="0">
      <text>
        <r>
          <rPr>
            <b/>
            <sz val="9"/>
            <color indexed="81"/>
            <rFont val="Tahoma"/>
            <family val="2"/>
          </rPr>
          <t>Pim de Zwart:</t>
        </r>
        <r>
          <rPr>
            <sz val="9"/>
            <color indexed="81"/>
            <rFont val="Tahoma"/>
            <family val="2"/>
          </rPr>
          <t xml:space="preserve">
original prices in rds, 2.4 rds per guilder</t>
        </r>
      </text>
    </comment>
    <comment ref="G4" authorId="0">
      <text>
        <r>
          <rPr>
            <b/>
            <sz val="9"/>
            <color indexed="81"/>
            <rFont val="Tahoma"/>
            <family val="2"/>
          </rPr>
          <t>Pim de Zwart:</t>
        </r>
        <r>
          <rPr>
            <sz val="9"/>
            <color indexed="81"/>
            <rFont val="Tahoma"/>
            <family val="2"/>
          </rPr>
          <t xml:space="preserve">
original prices in rds, 2.4 rds per guilder</t>
        </r>
      </text>
    </comment>
    <comment ref="B17" authorId="0">
      <text>
        <r>
          <rPr>
            <b/>
            <sz val="9"/>
            <color indexed="81"/>
            <rFont val="Tahoma"/>
            <family val="2"/>
          </rPr>
          <t>Pim de Zwart:</t>
        </r>
        <r>
          <rPr>
            <sz val="9"/>
            <color indexed="81"/>
            <rFont val="Tahoma"/>
            <family val="2"/>
          </rPr>
          <t xml:space="preserve">
blue</t>
        </r>
      </text>
    </comment>
    <comment ref="B19" authorId="0">
      <text>
        <r>
          <rPr>
            <b/>
            <sz val="9"/>
            <color indexed="81"/>
            <rFont val="Tahoma"/>
            <family val="2"/>
          </rPr>
          <t>Pim de Zwart:</t>
        </r>
        <r>
          <rPr>
            <sz val="9"/>
            <color indexed="81"/>
            <rFont val="Tahoma"/>
            <family val="2"/>
          </rPr>
          <t xml:space="preserve">
black</t>
        </r>
      </text>
    </comment>
    <comment ref="B26" authorId="0">
      <text>
        <r>
          <rPr>
            <b/>
            <sz val="9"/>
            <color indexed="81"/>
            <rFont val="Tahoma"/>
            <family val="2"/>
          </rPr>
          <t>Pim de Zwart:</t>
        </r>
        <r>
          <rPr>
            <sz val="9"/>
            <color indexed="81"/>
            <rFont val="Tahoma"/>
            <family val="2"/>
          </rPr>
          <t xml:space="preserve">
assumed brede considering price</t>
        </r>
      </text>
    </comment>
    <comment ref="B43" authorId="0">
      <text>
        <r>
          <rPr>
            <b/>
            <sz val="9"/>
            <color indexed="81"/>
            <rFont val="Tahoma"/>
            <family val="2"/>
          </rPr>
          <t>Pim de Zwart:</t>
        </r>
        <r>
          <rPr>
            <sz val="9"/>
            <color indexed="81"/>
            <rFont val="Tahoma"/>
            <family val="2"/>
          </rPr>
          <t xml:space="preserve">
breed, average of 2 prices</t>
        </r>
      </text>
    </comment>
    <comment ref="B53" authorId="0">
      <text>
        <r>
          <rPr>
            <b/>
            <sz val="9"/>
            <color indexed="81"/>
            <rFont val="Tahoma"/>
            <family val="2"/>
          </rPr>
          <t>Pim de Zwart:</t>
        </r>
        <r>
          <rPr>
            <sz val="9"/>
            <color indexed="81"/>
            <rFont val="Tahoma"/>
            <family val="2"/>
          </rPr>
          <t xml:space="preserve">
blue</t>
        </r>
      </text>
    </comment>
    <comment ref="E67" authorId="0">
      <text>
        <r>
          <rPr>
            <b/>
            <sz val="9"/>
            <color indexed="81"/>
            <rFont val="Tahoma"/>
            <family val="2"/>
          </rPr>
          <t>Pim de Zwart:</t>
        </r>
        <r>
          <rPr>
            <sz val="9"/>
            <color indexed="81"/>
            <rFont val="Tahoma"/>
            <family val="2"/>
          </rPr>
          <t xml:space="preserve">
average of 3 prices</t>
        </r>
      </text>
    </comment>
    <comment ref="D76" authorId="0">
      <text>
        <r>
          <rPr>
            <b/>
            <sz val="9"/>
            <color indexed="81"/>
            <rFont val="Tahoma"/>
            <family val="2"/>
          </rPr>
          <t>Pim de Zwart:</t>
        </r>
        <r>
          <rPr>
            <sz val="9"/>
            <color indexed="81"/>
            <rFont val="Tahoma"/>
            <family val="2"/>
          </rPr>
          <t xml:space="preserve">
price of two times 'half a bafta'</t>
        </r>
      </text>
    </comment>
    <comment ref="Q108" authorId="0">
      <text>
        <r>
          <rPr>
            <b/>
            <sz val="9"/>
            <color indexed="81"/>
            <rFont val="Tahoma"/>
            <family val="2"/>
          </rPr>
          <t>Pim de Zwart:</t>
        </r>
        <r>
          <rPr>
            <sz val="9"/>
            <color indexed="81"/>
            <rFont val="Tahoma"/>
            <family val="2"/>
          </rPr>
          <t xml:space="preserve">
Please note, I have taken an average of prices, rather than the sales price; the bafta here is bleached and coloured, while clothing in other studies is often unbleached. It seems I am already overestimating the price of cotton.</t>
        </r>
      </text>
    </comment>
    <comment ref="N138" authorId="0">
      <text>
        <r>
          <rPr>
            <b/>
            <sz val="9"/>
            <color indexed="81"/>
            <rFont val="Tahoma"/>
            <family val="2"/>
          </rPr>
          <t>Pim de Zwart:</t>
        </r>
        <r>
          <rPr>
            <sz val="9"/>
            <color indexed="81"/>
            <rFont val="Tahoma"/>
            <family val="2"/>
          </rPr>
          <t xml:space="preserve">
CP 2739</t>
        </r>
      </text>
    </comment>
    <comment ref="N139" authorId="0">
      <text>
        <r>
          <rPr>
            <b/>
            <sz val="9"/>
            <color indexed="81"/>
            <rFont val="Tahoma"/>
            <family val="2"/>
          </rPr>
          <t>Pim de Zwart:</t>
        </r>
        <r>
          <rPr>
            <sz val="9"/>
            <color indexed="81"/>
            <rFont val="Tahoma"/>
            <family val="2"/>
          </rPr>
          <t xml:space="preserve">
white; CP 2739</t>
        </r>
      </text>
    </comment>
  </commentList>
</comments>
</file>

<file path=xl/comments9.xml><?xml version="1.0" encoding="utf-8"?>
<comments xmlns="http://schemas.openxmlformats.org/spreadsheetml/2006/main">
  <authors>
    <author>Zwart, P. de (Pim)</author>
  </authors>
  <commentList>
    <comment ref="E138" authorId="0">
      <text>
        <r>
          <rPr>
            <b/>
            <sz val="8"/>
            <color indexed="81"/>
            <rFont val="Tahoma"/>
            <family val="2"/>
          </rPr>
          <t>Zwart, P. de (Pim):</t>
        </r>
        <r>
          <rPr>
            <sz val="8"/>
            <color indexed="81"/>
            <rFont val="Tahoma"/>
            <family val="2"/>
          </rPr>
          <t xml:space="preserve">
CP 2739</t>
        </r>
      </text>
    </comment>
    <comment ref="F138" authorId="0">
      <text>
        <r>
          <rPr>
            <b/>
            <sz val="8"/>
            <color indexed="81"/>
            <rFont val="Tahoma"/>
            <family val="2"/>
          </rPr>
          <t>Zwart, P. de (Pim):</t>
        </r>
        <r>
          <rPr>
            <sz val="8"/>
            <color indexed="81"/>
            <rFont val="Tahoma"/>
            <family val="2"/>
          </rPr>
          <t xml:space="preserve">
CP 2739</t>
        </r>
      </text>
    </comment>
    <comment ref="E139" authorId="0">
      <text>
        <r>
          <rPr>
            <b/>
            <sz val="8"/>
            <color indexed="81"/>
            <rFont val="Tahoma"/>
            <family val="2"/>
          </rPr>
          <t>Zwart, P. de (Pim):</t>
        </r>
        <r>
          <rPr>
            <sz val="8"/>
            <color indexed="81"/>
            <rFont val="Tahoma"/>
            <family val="2"/>
          </rPr>
          <t xml:space="preserve">
CP 2739</t>
        </r>
      </text>
    </comment>
    <comment ref="D147" authorId="0">
      <text>
        <r>
          <rPr>
            <b/>
            <sz val="8"/>
            <color indexed="81"/>
            <rFont val="Tahoma"/>
            <family val="2"/>
          </rPr>
          <t>Zwart, P. de (Pim):</t>
        </r>
        <r>
          <rPr>
            <sz val="8"/>
            <color indexed="81"/>
            <rFont val="Tahoma"/>
            <family val="2"/>
          </rPr>
          <t xml:space="preserve">
price in Simon's Bay</t>
        </r>
      </text>
    </comment>
    <comment ref="I182" authorId="0">
      <text>
        <r>
          <rPr>
            <b/>
            <sz val="8"/>
            <color indexed="81"/>
            <rFont val="Tahoma"/>
            <family val="2"/>
          </rPr>
          <t>Zwart, P. de (Pim):</t>
        </r>
        <r>
          <rPr>
            <sz val="8"/>
            <color indexed="81"/>
            <rFont val="Tahoma"/>
            <family val="2"/>
          </rPr>
          <t xml:space="preserve">
Theal 0.10, preference is given to Neumark for series consistency</t>
        </r>
      </text>
    </comment>
    <comment ref="H187" authorId="0">
      <text>
        <r>
          <rPr>
            <b/>
            <sz val="8"/>
            <color indexed="81"/>
            <rFont val="Tahoma"/>
            <family val="2"/>
          </rPr>
          <t>Zwart, P. de (Pim):</t>
        </r>
        <r>
          <rPr>
            <sz val="8"/>
            <color indexed="81"/>
            <rFont val="Tahoma"/>
            <family val="2"/>
          </rPr>
          <t xml:space="preserve">
this number is also confirmed by the Blue Book data for this year.</t>
        </r>
      </text>
    </comment>
  </commentList>
</comments>
</file>

<file path=xl/sharedStrings.xml><?xml version="1.0" encoding="utf-8"?>
<sst xmlns="http://schemas.openxmlformats.org/spreadsheetml/2006/main" count="15498" uniqueCount="1089">
  <si>
    <t>European, unskilled</t>
  </si>
  <si>
    <t>European, skilled</t>
  </si>
  <si>
    <t>European, rural</t>
  </si>
  <si>
    <t>Coloured, urban</t>
  </si>
  <si>
    <t>Coloured, skill</t>
  </si>
  <si>
    <t>Coloured, rural</t>
  </si>
  <si>
    <t>CPI1</t>
  </si>
  <si>
    <t>CPI annual basket</t>
  </si>
  <si>
    <t>silver/day</t>
  </si>
  <si>
    <t>silver/year</t>
  </si>
  <si>
    <t>w*250/cpi</t>
  </si>
  <si>
    <t>Eur., unsk.</t>
  </si>
  <si>
    <t>Eur., skill.</t>
  </si>
  <si>
    <t>Eur., rur.</t>
  </si>
  <si>
    <t>Col., unsk.</t>
  </si>
  <si>
    <t>Col., skill.</t>
  </si>
  <si>
    <t>Col., rur.</t>
  </si>
  <si>
    <t>1653-1675</t>
  </si>
  <si>
    <t>1653-75</t>
  </si>
  <si>
    <t>1676-1700</t>
  </si>
  <si>
    <t>1676-00</t>
  </si>
  <si>
    <t>1701-1725</t>
  </si>
  <si>
    <t>1701-25</t>
  </si>
  <si>
    <t>1726-1750</t>
  </si>
  <si>
    <t>1726-50</t>
  </si>
  <si>
    <t>1751-1775</t>
  </si>
  <si>
    <t>1751-75</t>
  </si>
  <si>
    <t>1776-1800</t>
  </si>
  <si>
    <t>1776-00</t>
  </si>
  <si>
    <t>1801-1825</t>
  </si>
  <si>
    <t>1801-25</t>
  </si>
  <si>
    <t>1826-1850</t>
  </si>
  <si>
    <t>1826-50</t>
  </si>
  <si>
    <t>1851-1875</t>
  </si>
  <si>
    <t>1851-75</t>
  </si>
  <si>
    <t>1876-1900</t>
  </si>
  <si>
    <t>1876-00</t>
  </si>
  <si>
    <t>1901-1913</t>
  </si>
  <si>
    <t>1901-13</t>
  </si>
  <si>
    <t>Wheat</t>
  </si>
  <si>
    <t>Beans</t>
  </si>
  <si>
    <t>Beef</t>
  </si>
  <si>
    <t>Butter</t>
  </si>
  <si>
    <t>Soap</t>
  </si>
  <si>
    <t>Cotton</t>
  </si>
  <si>
    <t>Candles</t>
  </si>
  <si>
    <t>Lamp Oil</t>
  </si>
  <si>
    <t>Firewood / Coal</t>
  </si>
  <si>
    <t>Meat</t>
  </si>
  <si>
    <t>Lamp oil</t>
  </si>
  <si>
    <t>CPI</t>
  </si>
  <si>
    <t>Kg</t>
  </si>
  <si>
    <t>m2</t>
  </si>
  <si>
    <t>Lit</t>
  </si>
  <si>
    <t>Mbtu</t>
  </si>
  <si>
    <t>Silver</t>
  </si>
  <si>
    <t>%</t>
  </si>
  <si>
    <t>incomplete</t>
  </si>
  <si>
    <t>missing</t>
  </si>
  <si>
    <t>weights</t>
  </si>
  <si>
    <t>interpolated</t>
  </si>
  <si>
    <t>silver</t>
  </si>
  <si>
    <t>Prices from sources</t>
  </si>
  <si>
    <t>Average</t>
  </si>
  <si>
    <t>Exchange Rates</t>
  </si>
  <si>
    <t>Conversion</t>
  </si>
  <si>
    <t>Price series</t>
  </si>
  <si>
    <t>w. interpolation</t>
  </si>
  <si>
    <t>Source</t>
  </si>
  <si>
    <t>Du Plessis (1931)</t>
  </si>
  <si>
    <t>Van Duin and Ross (1987)</t>
  </si>
  <si>
    <t>Du Plessis and Du Plessis (2012)</t>
  </si>
  <si>
    <t>VOC</t>
  </si>
  <si>
    <t>Cape Archives</t>
  </si>
  <si>
    <t>Cape Archives2</t>
  </si>
  <si>
    <t>Cape Archives3</t>
  </si>
  <si>
    <t>Neumark (1957)</t>
  </si>
  <si>
    <t>MOOC</t>
  </si>
  <si>
    <t>Theal</t>
  </si>
  <si>
    <t>South African Commercial Advertiser</t>
  </si>
  <si>
    <t>Blue Books</t>
  </si>
  <si>
    <t>CPI 19th (Blue Books/Statistical Tables)</t>
  </si>
  <si>
    <t>All</t>
  </si>
  <si>
    <t>Neumark (1957; p. xiii): 1795, 1805; 1816-1825; Arndt (1928, p. 38): 1806-1815</t>
  </si>
  <si>
    <t>Currency</t>
  </si>
  <si>
    <t>Guilder</t>
  </si>
  <si>
    <t>Guilder / Rds</t>
  </si>
  <si>
    <t>Rds</t>
  </si>
  <si>
    <t>£</t>
  </si>
  <si>
    <t>£ per Rds</t>
  </si>
  <si>
    <t>Rds &gt; £</t>
  </si>
  <si>
    <t>Weight</t>
  </si>
  <si>
    <t>Muid</t>
  </si>
  <si>
    <t>Bushel</t>
  </si>
  <si>
    <t>South African Commerical Advertiser</t>
  </si>
  <si>
    <t>Blue Books / Statistical Tables</t>
  </si>
  <si>
    <t>Average price</t>
  </si>
  <si>
    <t>Conversions</t>
  </si>
  <si>
    <t>Neumark, p. 110, 189.</t>
  </si>
  <si>
    <t>Interpolated</t>
  </si>
  <si>
    <t>Rds / £</t>
  </si>
  <si>
    <t>Pond</t>
  </si>
  <si>
    <t>Vat</t>
  </si>
  <si>
    <t>Lbs</t>
  </si>
  <si>
    <t>Butter, fresh</t>
  </si>
  <si>
    <t>Butter, salt</t>
  </si>
  <si>
    <t>Neumark, p. 110</t>
  </si>
  <si>
    <t>Neumark, p. 189</t>
  </si>
  <si>
    <t>Neumark, p. 155</t>
  </si>
  <si>
    <t>Blue Books / Statistical tables</t>
  </si>
  <si>
    <t>Average / Interpolated</t>
  </si>
  <si>
    <t>Vat / Ton</t>
  </si>
  <si>
    <t>Lbs.</t>
  </si>
  <si>
    <t>Kg.</t>
  </si>
  <si>
    <t>VOC (Rendementen: purchasing)</t>
  </si>
  <si>
    <t>VOC (Rendementen: sales)</t>
  </si>
  <si>
    <t>Neumark, p. 110; 189.</t>
  </si>
  <si>
    <t>Neumark, p. 89, 155.</t>
  </si>
  <si>
    <t>Exchange rate</t>
  </si>
  <si>
    <t>&gt; Kg.</t>
  </si>
  <si>
    <t xml:space="preserve">Silver </t>
  </si>
  <si>
    <t>Pound per Rds</t>
  </si>
  <si>
    <t>Kist</t>
  </si>
  <si>
    <t>Pond/Lbs.</t>
  </si>
  <si>
    <t>Calculations</t>
  </si>
  <si>
    <t>Type</t>
  </si>
  <si>
    <t>Baftas, breed*</t>
  </si>
  <si>
    <t>Bafta, witte, brede</t>
  </si>
  <si>
    <t>Bafta</t>
  </si>
  <si>
    <t>Bafta, blue</t>
  </si>
  <si>
    <t>Bafta, wit, heel</t>
  </si>
  <si>
    <t>Bafta, dubbele</t>
  </si>
  <si>
    <t>Bafta, wit, hele, brede</t>
  </si>
  <si>
    <t>Bafta, zwarte, brede, hele</t>
  </si>
  <si>
    <t>Bafta, gem, geblk. Kust</t>
  </si>
  <si>
    <t>VOC, Rendement (Purchasing)</t>
  </si>
  <si>
    <t>VOC, Rendement (Sales)</t>
  </si>
  <si>
    <t>Converion</t>
  </si>
  <si>
    <t>Piece</t>
  </si>
  <si>
    <t>m^2</t>
  </si>
  <si>
    <t>Wax</t>
  </si>
  <si>
    <t>Waxcandle</t>
  </si>
  <si>
    <t>Candle</t>
  </si>
  <si>
    <t>Candle (tallow/wax)</t>
  </si>
  <si>
    <t>Cape Archive</t>
  </si>
  <si>
    <t>Neumark</t>
  </si>
  <si>
    <t>Silver (gr.)</t>
  </si>
  <si>
    <t>Picol</t>
  </si>
  <si>
    <t>EXTRAPOLATION</t>
  </si>
  <si>
    <t>Oil, Klappus</t>
  </si>
  <si>
    <t>Lampolie</t>
  </si>
  <si>
    <t>Traan</t>
  </si>
  <si>
    <t>Lampolie, klappus</t>
  </si>
  <si>
    <t>Lampolie, traan</t>
  </si>
  <si>
    <t>Oil, whale</t>
  </si>
  <si>
    <t>Converions</t>
  </si>
  <si>
    <t>Lampoil</t>
  </si>
  <si>
    <t>Kan</t>
  </si>
  <si>
    <t>Mengel/Kan</t>
  </si>
  <si>
    <t>Halfaam</t>
  </si>
  <si>
    <t>Aam</t>
  </si>
  <si>
    <t>Gallon</t>
  </si>
  <si>
    <t>"Brandhout"</t>
  </si>
  <si>
    <t>Firewood</t>
  </si>
  <si>
    <t>Coal</t>
  </si>
  <si>
    <t>Charcoal</t>
  </si>
  <si>
    <t xml:space="preserve">Vracht </t>
  </si>
  <si>
    <t>Vadem</t>
  </si>
  <si>
    <t>Vracht</t>
  </si>
  <si>
    <t>Small load</t>
  </si>
  <si>
    <t>MBTU</t>
  </si>
  <si>
    <t>Year</t>
  </si>
  <si>
    <t>Month</t>
  </si>
  <si>
    <t>Place</t>
  </si>
  <si>
    <t>Quantity</t>
  </si>
  <si>
    <t>Unit</t>
  </si>
  <si>
    <t>Product</t>
  </si>
  <si>
    <t>Schelling</t>
  </si>
  <si>
    <t>Stuivers</t>
  </si>
  <si>
    <t>Rds per unit</t>
  </si>
  <si>
    <t>Stuiver</t>
  </si>
  <si>
    <t>Penning</t>
  </si>
  <si>
    <t>Guilder per Unit</t>
  </si>
  <si>
    <t>Inv_Nr</t>
  </si>
  <si>
    <t>Page</t>
  </si>
  <si>
    <t>Note</t>
  </si>
  <si>
    <t>nov</t>
  </si>
  <si>
    <t>cape</t>
  </si>
  <si>
    <t>mudde</t>
  </si>
  <si>
    <t>tarwe</t>
  </si>
  <si>
    <t>BRD 32</t>
  </si>
  <si>
    <t>selling price</t>
  </si>
  <si>
    <t>oct</t>
  </si>
  <si>
    <t>pond</t>
  </si>
  <si>
    <t>vlees</t>
  </si>
  <si>
    <t>BRD 40</t>
  </si>
  <si>
    <t>feb</t>
  </si>
  <si>
    <t>jan</t>
  </si>
  <si>
    <t>BRD 41</t>
  </si>
  <si>
    <t>gekocht bij diverse landlieden</t>
  </si>
  <si>
    <t>sep</t>
  </si>
  <si>
    <t>cape town</t>
  </si>
  <si>
    <t>alluijn</t>
  </si>
  <si>
    <t>C.P. 2739</t>
  </si>
  <si>
    <t>stuks</t>
  </si>
  <si>
    <t>baftas, smalle gebleekte</t>
  </si>
  <si>
    <t>baftas, swarte, brede, hele</t>
  </si>
  <si>
    <t>baftas, witte</t>
  </si>
  <si>
    <t>bonen</t>
  </si>
  <si>
    <t>boter, kaaps</t>
  </si>
  <si>
    <t>erwten</t>
  </si>
  <si>
    <t>koffiebonen</t>
  </si>
  <si>
    <t>kannen</t>
  </si>
  <si>
    <t>lampolie, klappus</t>
  </si>
  <si>
    <t>lampolie, traan</t>
  </si>
  <si>
    <t>olie, olijf</t>
  </si>
  <si>
    <t>rijst</t>
  </si>
  <si>
    <t>staal</t>
  </si>
  <si>
    <t>suiker, kandij</t>
  </si>
  <si>
    <t>suiker, poeder</t>
  </si>
  <si>
    <t>thee</t>
  </si>
  <si>
    <t>vlees, vers</t>
  </si>
  <si>
    <t>wax, gemene</t>
  </si>
  <si>
    <t>wax, kaarsen</t>
  </si>
  <si>
    <t>zeep</t>
  </si>
  <si>
    <t>zeep, spaans</t>
  </si>
  <si>
    <t>aug</t>
  </si>
  <si>
    <t>baftas, witte, brede, hele</t>
  </si>
  <si>
    <t>boter, vaderlands</t>
  </si>
  <si>
    <t>garst</t>
  </si>
  <si>
    <t>CP 2734</t>
  </si>
  <si>
    <t>purchasing price</t>
  </si>
  <si>
    <t>vracht</t>
  </si>
  <si>
    <t>brandhout</t>
  </si>
  <si>
    <t>wheat</t>
  </si>
  <si>
    <t>CP 2766</t>
  </si>
  <si>
    <t>dec</t>
  </si>
  <si>
    <t>totaal 675 rds/6 sch/2 stuivers</t>
  </si>
  <si>
    <t>resterende</t>
  </si>
  <si>
    <t>lbs</t>
  </si>
  <si>
    <t>butter</t>
  </si>
  <si>
    <t>GPF 1</t>
  </si>
  <si>
    <t>barley</t>
  </si>
  <si>
    <t>wool</t>
  </si>
  <si>
    <t>jun</t>
  </si>
  <si>
    <t>kaarsvet</t>
  </si>
  <si>
    <t>RDG 197</t>
  </si>
  <si>
    <t>jul</t>
  </si>
  <si>
    <t>staart vet</t>
  </si>
  <si>
    <t>vlees, beest</t>
  </si>
  <si>
    <t>vlees, extra vet, beest</t>
  </si>
  <si>
    <t>vlees, schapen</t>
  </si>
  <si>
    <t>vlees, schapen en beeste</t>
  </si>
  <si>
    <t>mar</t>
  </si>
  <si>
    <t>talk</t>
  </si>
  <si>
    <t xml:space="preserve">lbs </t>
  </si>
  <si>
    <t>vlees, beest vet</t>
  </si>
  <si>
    <t>vlees, gemeste beest</t>
  </si>
  <si>
    <t>RDG 204</t>
  </si>
  <si>
    <t>meel</t>
  </si>
  <si>
    <t>may</t>
  </si>
  <si>
    <t>apr</t>
  </si>
  <si>
    <t>RDG 206</t>
  </si>
  <si>
    <t xml:space="preserve">mar </t>
  </si>
  <si>
    <t>T 175</t>
  </si>
  <si>
    <t>suiker</t>
  </si>
  <si>
    <t>Per_Unit</t>
  </si>
  <si>
    <t>Film_Nr</t>
  </si>
  <si>
    <t>kaapstad</t>
  </si>
  <si>
    <t>ajuijn</t>
  </si>
  <si>
    <t>simons baay</t>
  </si>
  <si>
    <t>Casteel de Goede Hoope</t>
  </si>
  <si>
    <t>oncosten uit magasijn</t>
  </si>
  <si>
    <t>gemeene oncosten</t>
  </si>
  <si>
    <t>Fort de Goede Hoope</t>
  </si>
  <si>
    <t>ancker brandewijn</t>
  </si>
  <si>
    <t>uijt 't forts magasijn (meerdere notities met zelfde prijst)</t>
  </si>
  <si>
    <t>Galjot Tulp</t>
  </si>
  <si>
    <t>leggers</t>
  </si>
  <si>
    <t>aracq</t>
  </si>
  <si>
    <t>legger</t>
  </si>
  <si>
    <t>uit magasijn</t>
  </si>
  <si>
    <t>Galjot Roodevos</t>
  </si>
  <si>
    <t xml:space="preserve">jan </t>
  </si>
  <si>
    <t>Op balans</t>
  </si>
  <si>
    <t>arak</t>
  </si>
  <si>
    <t>aan provisien geconsumeert</t>
  </si>
  <si>
    <t>oncosten aengecomen schepen</t>
  </si>
  <si>
    <t>uijt 't forts magasijn gelanght (meerdere notities met zelfde prijst)</t>
  </si>
  <si>
    <t>anker</t>
  </si>
  <si>
    <t>nvt</t>
  </si>
  <si>
    <t>halfaem</t>
  </si>
  <si>
    <t>aem</t>
  </si>
  <si>
    <t>mengelen</t>
  </si>
  <si>
    <t>ordinarij randsoenen</t>
  </si>
  <si>
    <t>Comptoir Mauritius</t>
  </si>
  <si>
    <t>aam</t>
  </si>
  <si>
    <t>flapcan</t>
  </si>
  <si>
    <t>azijn</t>
  </si>
  <si>
    <t>cannen</t>
  </si>
  <si>
    <t xml:space="preserve">aam </t>
  </si>
  <si>
    <t>baftas</t>
  </si>
  <si>
    <t>verstreckt aan personen (meerdere malen genoteerd met zelfde prijst)</t>
  </si>
  <si>
    <t>breed</t>
  </si>
  <si>
    <t>smalle witte</t>
  </si>
  <si>
    <t>smalle blauwe</t>
  </si>
  <si>
    <t>breede blauwe</t>
  </si>
  <si>
    <t>totaal</t>
  </si>
  <si>
    <t>smalle</t>
  </si>
  <si>
    <t>smal</t>
  </si>
  <si>
    <t>blauw breed</t>
  </si>
  <si>
    <t>breed zwart</t>
  </si>
  <si>
    <t>smal zwart</t>
  </si>
  <si>
    <t>breed blauw</t>
  </si>
  <si>
    <t>baftas, witte, brede</t>
  </si>
  <si>
    <t>ellen</t>
  </si>
  <si>
    <t>baijen</t>
  </si>
  <si>
    <t>in magasijn</t>
  </si>
  <si>
    <t>balckdeel</t>
  </si>
  <si>
    <t>Schip 't Prins te Paart</t>
  </si>
  <si>
    <t>balkdelen (timmerhout)</t>
  </si>
  <si>
    <t>belhilles</t>
  </si>
  <si>
    <t>bier</t>
  </si>
  <si>
    <t>tonnen</t>
  </si>
  <si>
    <t>vaten</t>
  </si>
  <si>
    <t>of 80 kannen!</t>
  </si>
  <si>
    <t>biscayse sloepen</t>
  </si>
  <si>
    <t>biscuijt</t>
  </si>
  <si>
    <t>bisquit</t>
  </si>
  <si>
    <t>boeken</t>
  </si>
  <si>
    <t>boklons</t>
  </si>
  <si>
    <t>costen incoops</t>
  </si>
  <si>
    <t>bolckvanger</t>
  </si>
  <si>
    <t>last</t>
  </si>
  <si>
    <t>maat</t>
  </si>
  <si>
    <t>assumption: maat = mudde</t>
  </si>
  <si>
    <t xml:space="preserve">mudde </t>
  </si>
  <si>
    <t>error assumed</t>
  </si>
  <si>
    <t>mediden</t>
  </si>
  <si>
    <t>???</t>
  </si>
  <si>
    <t>lasten</t>
  </si>
  <si>
    <t>bonen (javaans)</t>
  </si>
  <si>
    <t>bonen (kaaps)</t>
  </si>
  <si>
    <t>bonen (turks)</t>
  </si>
  <si>
    <t>schepel</t>
  </si>
  <si>
    <t>boonen</t>
  </si>
  <si>
    <t>bootsmansschaeren</t>
  </si>
  <si>
    <t>boscruijt</t>
  </si>
  <si>
    <t>bosroeden</t>
  </si>
  <si>
    <t>aen materialen verbesight ende verbruyckt</t>
  </si>
  <si>
    <t>boter</t>
  </si>
  <si>
    <t>vat</t>
  </si>
  <si>
    <t>adjusted (112&gt;1120 pond)</t>
  </si>
  <si>
    <t>adjusted (54&gt; 540 pond)</t>
  </si>
  <si>
    <t>boulons</t>
  </si>
  <si>
    <t>brandewijn</t>
  </si>
  <si>
    <t>maart</t>
  </si>
  <si>
    <t>kelder</t>
  </si>
  <si>
    <t>brandewijn, frans</t>
  </si>
  <si>
    <t>brandewijn, kaaps</t>
  </si>
  <si>
    <t>vrachten</t>
  </si>
  <si>
    <t>voer</t>
  </si>
  <si>
    <t>voeder</t>
  </si>
  <si>
    <t>vadem</t>
  </si>
  <si>
    <t>vaem</t>
  </si>
  <si>
    <t>a 4 1/2 rds de vracht</t>
  </si>
  <si>
    <t>ingekocht a 6 rds de vracht</t>
  </si>
  <si>
    <t>BGB</t>
  </si>
  <si>
    <t>brandwijn</t>
  </si>
  <si>
    <t>breseretten</t>
  </si>
  <si>
    <t>brieffjes oorhangers</t>
  </si>
  <si>
    <t>broden</t>
  </si>
  <si>
    <t>brood</t>
  </si>
  <si>
    <t>brood (bruin)</t>
  </si>
  <si>
    <t>brood (wit)</t>
  </si>
  <si>
    <t>picol</t>
  </si>
  <si>
    <t>bruijn</t>
  </si>
  <si>
    <t>buskruit</t>
  </si>
  <si>
    <t>kannen (van 1/2 pint)</t>
  </si>
  <si>
    <t>caabse wijn</t>
  </si>
  <si>
    <t>hospitaal</t>
  </si>
  <si>
    <t>caapse wijn</t>
  </si>
  <si>
    <t>candelaers</t>
  </si>
  <si>
    <t>gesonden door de heeren bewindthebberen ter camere Amsterdam</t>
  </si>
  <si>
    <t>candij suiker</t>
  </si>
  <si>
    <t>caneel</t>
  </si>
  <si>
    <t>stucken</t>
  </si>
  <si>
    <t>canon ende toebehoren</t>
  </si>
  <si>
    <t>carbijns met draechbanden kroontassen en haecken</t>
  </si>
  <si>
    <t>carcanten</t>
  </si>
  <si>
    <t>carnemelck</t>
  </si>
  <si>
    <t>voor 't volck</t>
  </si>
  <si>
    <t>van den boer ontfangen</t>
  </si>
  <si>
    <t xml:space="preserve">flapcan </t>
  </si>
  <si>
    <t>voor de tafel</t>
  </si>
  <si>
    <t>Salmander</t>
  </si>
  <si>
    <t>flapcannen</t>
  </si>
  <si>
    <t>Amersfoort</t>
  </si>
  <si>
    <t>carwaat</t>
  </si>
  <si>
    <t>catoen gaarn</t>
  </si>
  <si>
    <t>catoene garen</t>
  </si>
  <si>
    <t>cattoen gaarn</t>
  </si>
  <si>
    <t>cattoen garen</t>
  </si>
  <si>
    <t>cement</t>
  </si>
  <si>
    <t>vaeten</t>
  </si>
  <si>
    <t>chergie</t>
  </si>
  <si>
    <t>verstreckt aan personen, meerdere malen genoteerd voor zelfde prijst in dit jaar</t>
  </si>
  <si>
    <t>dosijn</t>
  </si>
  <si>
    <t>chinese zijde cnopen</t>
  </si>
  <si>
    <t>chits</t>
  </si>
  <si>
    <t>Schip Avondstar</t>
  </si>
  <si>
    <t>clappusneij</t>
  </si>
  <si>
    <t>clinckert</t>
  </si>
  <si>
    <t>clooffsagen</t>
  </si>
  <si>
    <t>gros</t>
  </si>
  <si>
    <t>cnoopen</t>
  </si>
  <si>
    <t>cocensichten</t>
  </si>
  <si>
    <t>cocx bijlen</t>
  </si>
  <si>
    <t>cogels van allerhande soort</t>
  </si>
  <si>
    <t>cooper</t>
  </si>
  <si>
    <t>coper</t>
  </si>
  <si>
    <t>aen den tolcq herrij tot vereeringe gegeven</t>
  </si>
  <si>
    <t>copere cetel</t>
  </si>
  <si>
    <t>copere compasjes</t>
  </si>
  <si>
    <t>copere thuijngieters</t>
  </si>
  <si>
    <t>coperschaeren</t>
  </si>
  <si>
    <t>corale kettingssskens</t>
  </si>
  <si>
    <t>coralen</t>
  </si>
  <si>
    <t>coubeytels</t>
  </si>
  <si>
    <t>paar</t>
  </si>
  <si>
    <t>coussen</t>
  </si>
  <si>
    <t>craensagen</t>
  </si>
  <si>
    <t>cruijwagens</t>
  </si>
  <si>
    <t>cruywagens</t>
  </si>
  <si>
    <t>deeckens</t>
  </si>
  <si>
    <t>drijffijsers</t>
  </si>
  <si>
    <t xml:space="preserve">stuks </t>
  </si>
  <si>
    <t>drinkglasen</t>
  </si>
  <si>
    <t>paren</t>
  </si>
  <si>
    <t>droochlere schoenen</t>
  </si>
  <si>
    <t>drooghlere schoenen</t>
  </si>
  <si>
    <t>dubbelde juffers</t>
  </si>
  <si>
    <t>dubbelde spijckers</t>
  </si>
  <si>
    <t>enckelde spijckers</t>
  </si>
  <si>
    <t>engels laecken</t>
  </si>
  <si>
    <t>Engelse muts</t>
  </si>
  <si>
    <t>erwten, grauw</t>
  </si>
  <si>
    <t>erwten, kaaps</t>
  </si>
  <si>
    <t>erwten, wit</t>
  </si>
  <si>
    <t>fance hoetbanden</t>
  </si>
  <si>
    <t>foelie</t>
  </si>
  <si>
    <t>franse wijn</t>
  </si>
  <si>
    <t xml:space="preserve">legger </t>
  </si>
  <si>
    <t>gaaren</t>
  </si>
  <si>
    <t>garen</t>
  </si>
  <si>
    <t>garen (blau en wit)</t>
  </si>
  <si>
    <t>garen (fijn)</t>
  </si>
  <si>
    <t>garen (grof)</t>
  </si>
  <si>
    <t>geciende cafjes</t>
  </si>
  <si>
    <t>geele zijde cnopen</t>
  </si>
  <si>
    <t>gemaeckte clederen packen</t>
  </si>
  <si>
    <t>gerst</t>
  </si>
  <si>
    <t>gesaeghde delen</t>
  </si>
  <si>
    <t>gewamde lepels</t>
  </si>
  <si>
    <t>gijnblocx</t>
  </si>
  <si>
    <t>ginganghs</t>
  </si>
  <si>
    <t>gingans</t>
  </si>
  <si>
    <t>verstreckt aen galjots volcq</t>
  </si>
  <si>
    <t>gingaugh</t>
  </si>
  <si>
    <t>gordt</t>
  </si>
  <si>
    <t>gort</t>
  </si>
  <si>
    <t>groene erwten</t>
  </si>
  <si>
    <t>bossen</t>
  </si>
  <si>
    <t>groente</t>
  </si>
  <si>
    <t>guinees linnen</t>
  </si>
  <si>
    <t>april</t>
  </si>
  <si>
    <t>guinees sijwaat</t>
  </si>
  <si>
    <t>guinees, gemene, gebleekt</t>
  </si>
  <si>
    <t>guinees, gemene, gebleekt, kust</t>
  </si>
  <si>
    <t>gunees linnen</t>
  </si>
  <si>
    <t>in coops costende</t>
  </si>
  <si>
    <t>voor de barbiers</t>
  </si>
  <si>
    <t>om verscheijden tot rauwen ende plaisteroock</t>
  </si>
  <si>
    <t>hamers</t>
  </si>
  <si>
    <t>handthaecken</t>
  </si>
  <si>
    <t>hardbrood</t>
  </si>
  <si>
    <t>was 'beschuit' in sources</t>
  </si>
  <si>
    <t>volgens verklaring bedorven bevonden</t>
  </si>
  <si>
    <t>bedorven bevonden</t>
  </si>
  <si>
    <t>volgens verklaring der scheeps overheden is bedorven geraakt</t>
  </si>
  <si>
    <t>hare cnopen</t>
  </si>
  <si>
    <t>hare hoetbanden</t>
  </si>
  <si>
    <t>harpuijs</t>
  </si>
  <si>
    <t>haver</t>
  </si>
  <si>
    <t>heeresaijen</t>
  </si>
  <si>
    <t>hemden</t>
  </si>
  <si>
    <t>hoeden</t>
  </si>
  <si>
    <t>bij personen verstreckt</t>
  </si>
  <si>
    <t>Gecroonde Leeuw</t>
  </si>
  <si>
    <t>hoeden grauwe namertes</t>
  </si>
  <si>
    <t>hoijscharen</t>
  </si>
  <si>
    <t>hoijspitten ofte graven</t>
  </si>
  <si>
    <t>hollands meel</t>
  </si>
  <si>
    <t>hollands zijde</t>
  </si>
  <si>
    <t>hollands zwaar bier</t>
  </si>
  <si>
    <t>rollen</t>
  </si>
  <si>
    <t>hollants canefas</t>
  </si>
  <si>
    <t>Nachtglas</t>
  </si>
  <si>
    <t>hop</t>
  </si>
  <si>
    <t>hoppe</t>
  </si>
  <si>
    <t>houhamers</t>
  </si>
  <si>
    <t>houte thuijnspatten</t>
  </si>
  <si>
    <t>houwelen</t>
  </si>
  <si>
    <t>houwelen ende picken</t>
  </si>
  <si>
    <t>ijser</t>
  </si>
  <si>
    <t>ijsere banden tot de pomp</t>
  </si>
  <si>
    <t>ijsere bout</t>
  </si>
  <si>
    <t>Arnhem</t>
  </si>
  <si>
    <t>ijsere pompstocken</t>
  </si>
  <si>
    <t>ijsere slootplaaten</t>
  </si>
  <si>
    <t>ijsere tros</t>
  </si>
  <si>
    <t>aen equipage geconsumeert</t>
  </si>
  <si>
    <t>ijzer</t>
  </si>
  <si>
    <t>ijzer, gesorteerd</t>
  </si>
  <si>
    <t>ijzer, plat</t>
  </si>
  <si>
    <t>inlands laecken</t>
  </si>
  <si>
    <t>inlands laken</t>
  </si>
  <si>
    <t>javaans zout</t>
  </si>
  <si>
    <t>javaanse bonen</t>
  </si>
  <si>
    <t>javaanse rottangh</t>
  </si>
  <si>
    <t xml:space="preserve">bossen </t>
  </si>
  <si>
    <t>bos</t>
  </si>
  <si>
    <t>jopenbier</t>
  </si>
  <si>
    <t>kaapse boontjes</t>
  </si>
  <si>
    <t>kaapse erwten en bonen</t>
  </si>
  <si>
    <t>kaapse hemden</t>
  </si>
  <si>
    <t>kaapse wijn</t>
  </si>
  <si>
    <t>kaarsen</t>
  </si>
  <si>
    <t>kaarsen, batavia</t>
  </si>
  <si>
    <t>kaneel</t>
  </si>
  <si>
    <t>katoen</t>
  </si>
  <si>
    <t>katoen garen</t>
  </si>
  <si>
    <t>katoene garen</t>
  </si>
  <si>
    <t>may - oct</t>
  </si>
  <si>
    <t>koebeesten</t>
  </si>
  <si>
    <t>ingesouten</t>
  </si>
  <si>
    <t>reecq oncosten schip de Provintie</t>
  </si>
  <si>
    <t>Schip de Provintie</t>
  </si>
  <si>
    <t>Engels Schip San Anthanis</t>
  </si>
  <si>
    <t>koppen</t>
  </si>
  <si>
    <t>kool</t>
  </si>
  <si>
    <t>koper</t>
  </si>
  <si>
    <t>koper, gesorteerd</t>
  </si>
  <si>
    <t>kroonrassen</t>
  </si>
  <si>
    <t>lacken</t>
  </si>
  <si>
    <t>laecken</t>
  </si>
  <si>
    <t>laken</t>
  </si>
  <si>
    <t>lakenen</t>
  </si>
  <si>
    <t>lam</t>
  </si>
  <si>
    <t>lampolie</t>
  </si>
  <si>
    <t>lantaarns</t>
  </si>
  <si>
    <t>lasijsers</t>
  </si>
  <si>
    <t>lijm</t>
  </si>
  <si>
    <t>lijnolie</t>
  </si>
  <si>
    <t>limoenen, zuur</t>
  </si>
  <si>
    <t>linnen cousen</t>
  </si>
  <si>
    <t>linnen coussen</t>
  </si>
  <si>
    <t>lood, plat</t>
  </si>
  <si>
    <t>loot</t>
  </si>
  <si>
    <t>looth</t>
  </si>
  <si>
    <t>ltin</t>
  </si>
  <si>
    <t>manden</t>
  </si>
  <si>
    <t>manufacturen</t>
  </si>
  <si>
    <t>mas</t>
  </si>
  <si>
    <t>uijt t vaderland gesonden</t>
  </si>
  <si>
    <t>beckens</t>
  </si>
  <si>
    <t>messen</t>
  </si>
  <si>
    <t>tot den robbe vanghst</t>
  </si>
  <si>
    <t>stux</t>
  </si>
  <si>
    <t>mostertpoth</t>
  </si>
  <si>
    <t>mouden</t>
  </si>
  <si>
    <t>nagelen</t>
  </si>
  <si>
    <t>naijnaelden</t>
  </si>
  <si>
    <t>nederlands linnen</t>
  </si>
  <si>
    <t>nederlands sijwaar</t>
  </si>
  <si>
    <t>nederlands sijwaat</t>
  </si>
  <si>
    <t>negros cleden</t>
  </si>
  <si>
    <t>om oock saet sackjes van te maken</t>
  </si>
  <si>
    <t>negroscleden</t>
  </si>
  <si>
    <t>nequanias</t>
  </si>
  <si>
    <t>nieu seijldoeck</t>
  </si>
  <si>
    <t>nootmuskaat</t>
  </si>
  <si>
    <t>olie, kaap</t>
  </si>
  <si>
    <t>olie, klappus</t>
  </si>
  <si>
    <t>olie, lijn</t>
  </si>
  <si>
    <t>aens</t>
  </si>
  <si>
    <t>olijfolie</t>
  </si>
  <si>
    <t>aum</t>
  </si>
  <si>
    <t>halfaam</t>
  </si>
  <si>
    <t>olijfoliefolie</t>
  </si>
  <si>
    <t>paerden</t>
  </si>
  <si>
    <t>pattattos</t>
  </si>
  <si>
    <t>peck</t>
  </si>
  <si>
    <t>peper</t>
  </si>
  <si>
    <t>peper, zwart</t>
  </si>
  <si>
    <t>pijen</t>
  </si>
  <si>
    <t>pijen off bolckvangers</t>
  </si>
  <si>
    <t>pijlaken</t>
  </si>
  <si>
    <t>pijpen</t>
  </si>
  <si>
    <t>pistoolen groot ende cleijn</t>
  </si>
  <si>
    <t>oxhoofden</t>
  </si>
  <si>
    <t>plaijster</t>
  </si>
  <si>
    <t>ploegen ende eggen</t>
  </si>
  <si>
    <t>poffertjes</t>
  </si>
  <si>
    <t>pomp</t>
  </si>
  <si>
    <t>pompbouts</t>
  </si>
  <si>
    <t>pruijmen</t>
  </si>
  <si>
    <t>pruimen</t>
  </si>
  <si>
    <t>rienspapier</t>
  </si>
  <si>
    <t>robbenvlees</t>
  </si>
  <si>
    <t>roerpen</t>
  </si>
  <si>
    <t>roetijser</t>
  </si>
  <si>
    <t>rogge</t>
  </si>
  <si>
    <t>tot 't backen van brooden</t>
  </si>
  <si>
    <t>rosijnen, klein</t>
  </si>
  <si>
    <t>rottang</t>
  </si>
  <si>
    <t>rottang, javaans</t>
  </si>
  <si>
    <t>rottangh</t>
  </si>
  <si>
    <t>rottangh manden</t>
  </si>
  <si>
    <t>rozijnen, klein</t>
  </si>
  <si>
    <t>ruijten (glas)</t>
  </si>
  <si>
    <t>runderbeesten</t>
  </si>
  <si>
    <t>saijette cousen</t>
  </si>
  <si>
    <t>saijette coussen</t>
  </si>
  <si>
    <t>salempoeris</t>
  </si>
  <si>
    <t>salempoeris, grove witte</t>
  </si>
  <si>
    <t>salempouris</t>
  </si>
  <si>
    <t>salmpouris</t>
  </si>
  <si>
    <t>beschadighde</t>
  </si>
  <si>
    <t>salpeter</t>
  </si>
  <si>
    <t>sargie</t>
  </si>
  <si>
    <t>schaepen</t>
  </si>
  <si>
    <t>schapen</t>
  </si>
  <si>
    <t>schapen en bocken</t>
  </si>
  <si>
    <t>schietbonds</t>
  </si>
  <si>
    <t>schietloon</t>
  </si>
  <si>
    <t>schoenen</t>
  </si>
  <si>
    <t>verstreckt aan personen (meerdere malen genoteerd voor verschillende pers.) waarsch. Drooghlederen schoenen</t>
  </si>
  <si>
    <t>schoppen</t>
  </si>
  <si>
    <t>schraepmessen</t>
  </si>
  <si>
    <t>schulpsagen</t>
  </si>
  <si>
    <t>seije cleden</t>
  </si>
  <si>
    <t>seijlkleeden</t>
  </si>
  <si>
    <t>slachcynen ende rolletjes</t>
  </si>
  <si>
    <t>slootplaten</t>
  </si>
  <si>
    <t>snaphaan steenen</t>
  </si>
  <si>
    <t>snaphaen roers</t>
  </si>
  <si>
    <t>snijensschaeren</t>
  </si>
  <si>
    <t>sotas</t>
  </si>
  <si>
    <t>soudtvaten</t>
  </si>
  <si>
    <t>spaanse wijn</t>
  </si>
  <si>
    <t>spaden</t>
  </si>
  <si>
    <t>spaeden</t>
  </si>
  <si>
    <t>spaence wijn</t>
  </si>
  <si>
    <t>spaense wijn</t>
  </si>
  <si>
    <t>spaenslaere schoenen</t>
  </si>
  <si>
    <t>spaenslere schoenen</t>
  </si>
  <si>
    <t>specerijen</t>
  </si>
  <si>
    <t>spek</t>
  </si>
  <si>
    <t xml:space="preserve">vat </t>
  </si>
  <si>
    <t>spek, vaderlands</t>
  </si>
  <si>
    <t>spijkers</t>
  </si>
  <si>
    <t>parthije</t>
  </si>
  <si>
    <t>staven ijser</t>
  </si>
  <si>
    <t>suijker</t>
  </si>
  <si>
    <t>suiker (poeder)</t>
  </si>
  <si>
    <t>suiker, bruin</t>
  </si>
  <si>
    <t>suiker, wit</t>
  </si>
  <si>
    <t>suiker, wit, poeder</t>
  </si>
  <si>
    <t>suiker, zwart</t>
  </si>
  <si>
    <t>suratse deecken</t>
  </si>
  <si>
    <t>swarte peper</t>
  </si>
  <si>
    <t xml:space="preserve">pond </t>
  </si>
  <si>
    <t>swarte suijker</t>
  </si>
  <si>
    <t>swarte zuijkeren</t>
  </si>
  <si>
    <t>swarten hoet</t>
  </si>
  <si>
    <t>swavel</t>
  </si>
  <si>
    <t>taback</t>
  </si>
  <si>
    <t>aenden adsistent Jan Woutersz gegeven</t>
  </si>
  <si>
    <t>aende hottentoos</t>
  </si>
  <si>
    <t>grossen</t>
  </si>
  <si>
    <t>tabacxpijpen</t>
  </si>
  <si>
    <t>tabak</t>
  </si>
  <si>
    <t>tabaxpijpen</t>
  </si>
  <si>
    <t>taffachelas</t>
  </si>
  <si>
    <t>gros tonnen</t>
  </si>
  <si>
    <t>onkosten per verschillende personen</t>
  </si>
  <si>
    <t>tot het bakken van 36 stuks broden</t>
  </si>
  <si>
    <t>tarwe, meel</t>
  </si>
  <si>
    <t>quarteel</t>
  </si>
  <si>
    <t>teer</t>
  </si>
  <si>
    <t>quartelen</t>
  </si>
  <si>
    <t>thuijnscharen</t>
  </si>
  <si>
    <t>thuijnschoppen</t>
  </si>
  <si>
    <t>tin</t>
  </si>
  <si>
    <t>traan</t>
  </si>
  <si>
    <t>51 kan of 1/5 aam</t>
  </si>
  <si>
    <t>of 1 halfaam</t>
  </si>
  <si>
    <t>trecksagen</t>
  </si>
  <si>
    <t>troffels</t>
  </si>
  <si>
    <t>turkse bonen</t>
  </si>
  <si>
    <t>vaderlands spek</t>
  </si>
  <si>
    <t>vaderlands vleesch</t>
  </si>
  <si>
    <t>vaderlandse boter</t>
  </si>
  <si>
    <t>vaderlandse hemden</t>
  </si>
  <si>
    <t>versch vlees</t>
  </si>
  <si>
    <t>verse boter</t>
  </si>
  <si>
    <t>door de boer gelevert</t>
  </si>
  <si>
    <t>Westfriesland</t>
  </si>
  <si>
    <t>verwen (verf)</t>
  </si>
  <si>
    <t>staven</t>
  </si>
  <si>
    <t>viercant</t>
  </si>
  <si>
    <t>vis</t>
  </si>
  <si>
    <t>visch</t>
  </si>
  <si>
    <t>vissen, gedroogd</t>
  </si>
  <si>
    <t>vlees, kaaps</t>
  </si>
  <si>
    <t>vlees, vaderlands</t>
  </si>
  <si>
    <t>nieuwe gecontracteerde slagters</t>
  </si>
  <si>
    <t>vlees, zout</t>
  </si>
  <si>
    <t>voyagie na madagascar</t>
  </si>
  <si>
    <t>vuyrstenen</t>
  </si>
  <si>
    <t>bladen</t>
  </si>
  <si>
    <t>wageschot</t>
  </si>
  <si>
    <t>wannen</t>
  </si>
  <si>
    <t>was</t>
  </si>
  <si>
    <t>wax</t>
  </si>
  <si>
    <t>error?</t>
  </si>
  <si>
    <t>wax (voor kaarsen)</t>
  </si>
  <si>
    <t>wax kaarsen</t>
  </si>
  <si>
    <t>waxekaarsen</t>
  </si>
  <si>
    <t>waxkaarsen</t>
  </si>
  <si>
    <t>wetijsers</t>
  </si>
  <si>
    <t>wijn</t>
  </si>
  <si>
    <t>wijn (kaapse?)</t>
  </si>
  <si>
    <t>wijn, kaaps</t>
  </si>
  <si>
    <t>of 1 legger</t>
  </si>
  <si>
    <t>wilt vlees</t>
  </si>
  <si>
    <t>wit vlaggedoeck</t>
  </si>
  <si>
    <t>witte erten</t>
  </si>
  <si>
    <t>witte poedersuiker</t>
  </si>
  <si>
    <t>witte suijker</t>
  </si>
  <si>
    <t>mei</t>
  </si>
  <si>
    <t>witte suiker</t>
  </si>
  <si>
    <t>wolle cousen</t>
  </si>
  <si>
    <t>wolle coussen</t>
  </si>
  <si>
    <t>wollepijen</t>
  </si>
  <si>
    <t>ofte bolckvangers</t>
  </si>
  <si>
    <t>zadels tot paarden</t>
  </si>
  <si>
    <t>kist</t>
  </si>
  <si>
    <t>kisten</t>
  </si>
  <si>
    <t>zeep (spaanse)</t>
  </si>
  <si>
    <t>zeep surats</t>
  </si>
  <si>
    <t>steenen</t>
  </si>
  <si>
    <t>zeeqwijn</t>
  </si>
  <si>
    <t>zegen</t>
  </si>
  <si>
    <t>zeijlcleden</t>
  </si>
  <si>
    <t>zeijlkleeden</t>
  </si>
  <si>
    <t>zeijsens</t>
  </si>
  <si>
    <t>strengen</t>
  </si>
  <si>
    <t>zijde</t>
  </si>
  <si>
    <t>ponden</t>
  </si>
  <si>
    <t>zijde caftijs</t>
  </si>
  <si>
    <t>zijde napelse coussen</t>
  </si>
  <si>
    <t>zout</t>
  </si>
  <si>
    <t>schepels</t>
  </si>
  <si>
    <t>zuijkeren</t>
  </si>
  <si>
    <t>zuurkool</t>
  </si>
  <si>
    <t>zwarte suiker</t>
  </si>
  <si>
    <t>year</t>
  </si>
  <si>
    <t>quantity</t>
  </si>
  <si>
    <t>unit</t>
  </si>
  <si>
    <t>product</t>
  </si>
  <si>
    <t>pound</t>
  </si>
  <si>
    <t>s</t>
  </si>
  <si>
    <t>d</t>
  </si>
  <si>
    <t>pound per unit</t>
  </si>
  <si>
    <t>silver per unit</t>
  </si>
  <si>
    <t>silver p. metric</t>
  </si>
  <si>
    <t>vol</t>
  </si>
  <si>
    <t>page</t>
  </si>
  <si>
    <t>muid of 130 lbs</t>
  </si>
  <si>
    <t>muids</t>
  </si>
  <si>
    <t>beans and peas</t>
  </si>
  <si>
    <t>exports from Cape</t>
  </si>
  <si>
    <t>muid</t>
  </si>
  <si>
    <t>barrels</t>
  </si>
  <si>
    <t>beef and pork</t>
  </si>
  <si>
    <t>bread</t>
  </si>
  <si>
    <t>candles</t>
  </si>
  <si>
    <t>imports</t>
  </si>
  <si>
    <t>candles, tallow</t>
  </si>
  <si>
    <t>candles, wax</t>
  </si>
  <si>
    <t>caldrons</t>
  </si>
  <si>
    <t>coal</t>
  </si>
  <si>
    <t>coffee</t>
  </si>
  <si>
    <t>load of 2000 lb</t>
  </si>
  <si>
    <t>firewood</t>
  </si>
  <si>
    <t>meat, fresh</t>
  </si>
  <si>
    <t>muid of 96 lbs</t>
  </si>
  <si>
    <t>oats</t>
  </si>
  <si>
    <t>gallons</t>
  </si>
  <si>
    <t>oil, whale</t>
  </si>
  <si>
    <t>bushels</t>
  </si>
  <si>
    <t>peas</t>
  </si>
  <si>
    <t>soap</t>
  </si>
  <si>
    <t>cwt</t>
  </si>
  <si>
    <t>sugar</t>
  </si>
  <si>
    <t>rds</t>
  </si>
  <si>
    <t>sk</t>
  </si>
  <si>
    <t>st</t>
  </si>
  <si>
    <t>rds per unit</t>
  </si>
  <si>
    <t>beans</t>
  </si>
  <si>
    <t>beef</t>
  </si>
  <si>
    <t>leaguer</t>
  </si>
  <si>
    <t>brandy</t>
  </si>
  <si>
    <t>pieces</t>
  </si>
  <si>
    <t>don't know weight per piece</t>
  </si>
  <si>
    <t>clothes for boy</t>
  </si>
  <si>
    <t>clothes for girl</t>
  </si>
  <si>
    <t>clothes for man</t>
  </si>
  <si>
    <t>clothes for women</t>
  </si>
  <si>
    <t>ells</t>
  </si>
  <si>
    <t>cotton, printed</t>
  </si>
  <si>
    <t>small load</t>
  </si>
  <si>
    <t>flour</t>
  </si>
  <si>
    <t>linen</t>
  </si>
  <si>
    <t>meal</t>
  </si>
  <si>
    <t>meat</t>
  </si>
  <si>
    <t>pepper</t>
  </si>
  <si>
    <t>rice</t>
  </si>
  <si>
    <t>cat</t>
  </si>
  <si>
    <t>suger, powder</t>
  </si>
  <si>
    <t>tallow</t>
  </si>
  <si>
    <t>18 to 20 rds</t>
  </si>
  <si>
    <t>tea</t>
  </si>
  <si>
    <t>vinegar</t>
  </si>
  <si>
    <t>50 to 55 rds per muid</t>
  </si>
  <si>
    <t>wine</t>
  </si>
  <si>
    <t>bafta</t>
  </si>
  <si>
    <t>mooc 10/1.46</t>
  </si>
  <si>
    <t>mooc 10/1.74</t>
  </si>
  <si>
    <t>mooc 10/2.33</t>
  </si>
  <si>
    <t>mooc 10/3.54</t>
  </si>
  <si>
    <t>2x half</t>
  </si>
  <si>
    <t>mooc 8/5.105</t>
  </si>
  <si>
    <t>zie sheet 2!</t>
  </si>
  <si>
    <t>mooc 8/7.63</t>
  </si>
  <si>
    <t>mooc 8/8.23</t>
  </si>
  <si>
    <t>mooc 8/37.36</t>
  </si>
  <si>
    <t>bafta, blauw</t>
  </si>
  <si>
    <t>mooc 10/1.55</t>
  </si>
  <si>
    <t>mooc 10/1.80</t>
  </si>
  <si>
    <t>mooc 10/1.81</t>
  </si>
  <si>
    <t>mooc 8/13.65</t>
  </si>
  <si>
    <t>bafta, half, wit</t>
  </si>
  <si>
    <t>mooc 8/14.30</t>
  </si>
  <si>
    <t>bafta, heel</t>
  </si>
  <si>
    <t>mooc 8/3.36</t>
  </si>
  <si>
    <t>bafta, heel, wit</t>
  </si>
  <si>
    <t>bafta, smal, gebleekt</t>
  </si>
  <si>
    <t>mooc 8/2.8</t>
  </si>
  <si>
    <t>bafta, wit</t>
  </si>
  <si>
    <t>mooc 8/3.92</t>
  </si>
  <si>
    <t>date uncertain</t>
  </si>
  <si>
    <t>mooc 8/15.25</t>
  </si>
  <si>
    <t>mooc 8/154.1</t>
  </si>
  <si>
    <t>baftas, dubbele</t>
  </si>
  <si>
    <t>mooc 8/10.45</t>
  </si>
  <si>
    <t>mooc 8/4.120</t>
  </si>
  <si>
    <t>lb</t>
  </si>
  <si>
    <t>mooc 8/3.9</t>
  </si>
  <si>
    <t>mooc 8/3.10</t>
  </si>
  <si>
    <t>mooc 8/3.93</t>
  </si>
  <si>
    <t>kelders</t>
  </si>
  <si>
    <t>chitsen, combaarse, nieuwe</t>
  </si>
  <si>
    <t>chitsen, kust</t>
  </si>
  <si>
    <t>mooc 8/8.20</t>
  </si>
  <si>
    <t>chitsen, surat</t>
  </si>
  <si>
    <t>chitsen, tutucorijns</t>
  </si>
  <si>
    <t>chitsen, tutucorijns, grof</t>
  </si>
  <si>
    <t>gingams</t>
  </si>
  <si>
    <t>maand</t>
  </si>
  <si>
    <t>huur</t>
  </si>
  <si>
    <t>kandij, wit</t>
  </si>
  <si>
    <t>mooc 8/7.52</t>
  </si>
  <si>
    <t>koffiebonen, gebrand</t>
  </si>
  <si>
    <t>bottels</t>
  </si>
  <si>
    <t>mooc 8/7.18</t>
  </si>
  <si>
    <t>rozijnen</t>
  </si>
  <si>
    <t>n/a</t>
  </si>
  <si>
    <t>mooc 8/3.5</t>
  </si>
  <si>
    <t>mooc 8/56.30b</t>
  </si>
  <si>
    <t>mooc 8/7.23</t>
  </si>
  <si>
    <t>canasser</t>
  </si>
  <si>
    <t>mooc 8/4.56</t>
  </si>
  <si>
    <t>suiker, thee</t>
  </si>
  <si>
    <t>mooc 10/1.40</t>
  </si>
  <si>
    <t>mooc 8/3.99</t>
  </si>
  <si>
    <t>mooc 8/10.15</t>
  </si>
  <si>
    <t>kl</t>
  </si>
  <si>
    <t>kan?</t>
  </si>
  <si>
    <t>k.r.</t>
  </si>
  <si>
    <t>30 1/3 rds per legger</t>
  </si>
  <si>
    <t>wijn, rood</t>
  </si>
  <si>
    <t>wijn, wit</t>
  </si>
  <si>
    <t>mooc 8/2.120</t>
  </si>
  <si>
    <t>stenen</t>
  </si>
  <si>
    <t>mooc 8/7.48</t>
  </si>
  <si>
    <t>zeep, japans</t>
  </si>
  <si>
    <t>mooc 8/22.4</t>
  </si>
  <si>
    <t>zeep, kaaps</t>
  </si>
  <si>
    <t>moock 8/2.17</t>
  </si>
  <si>
    <t>year was not known, this is a guess based on the mooc numbers.</t>
  </si>
  <si>
    <t>zilver</t>
  </si>
  <si>
    <t>MOOC8/75.10</t>
  </si>
  <si>
    <t>MOOC8/4.116</t>
  </si>
  <si>
    <t>£ per unit</t>
  </si>
  <si>
    <t>silver p unit</t>
  </si>
  <si>
    <t>Silver p metric</t>
  </si>
  <si>
    <t>note</t>
  </si>
  <si>
    <t>bushel</t>
  </si>
  <si>
    <t>r&amp;c 1833 pt1</t>
  </si>
  <si>
    <t>average price of produce</t>
  </si>
  <si>
    <t>peas and beans</t>
  </si>
  <si>
    <t>r&amp;c 1833 pt4</t>
  </si>
  <si>
    <t>export prices</t>
  </si>
  <si>
    <t>simons town</t>
  </si>
  <si>
    <t>fish, dried</t>
  </si>
  <si>
    <t>gallon</t>
  </si>
  <si>
    <t>wood</t>
  </si>
  <si>
    <t>r&amp;c 1835 pt6</t>
  </si>
  <si>
    <t>import prices</t>
  </si>
  <si>
    <t>oil, spermaceti</t>
  </si>
  <si>
    <t>yards</t>
  </si>
  <si>
    <t>cotton</t>
  </si>
  <si>
    <t>tons</t>
  </si>
  <si>
    <t>r&amp;c 1836 pt7</t>
  </si>
  <si>
    <t>data jorrit</t>
  </si>
  <si>
    <t>Cape</t>
  </si>
  <si>
    <t>Oil (lamp)</t>
  </si>
  <si>
    <t>Per Gallon</t>
  </si>
  <si>
    <t>CO 442/61</t>
  </si>
  <si>
    <t>CO 442/62</t>
  </si>
  <si>
    <t>CO 442/63</t>
  </si>
  <si>
    <t>Cape Town</t>
  </si>
  <si>
    <t>Gallons</t>
  </si>
  <si>
    <t>CO 53/73</t>
  </si>
  <si>
    <t>CO 53/74</t>
  </si>
  <si>
    <t>CO 53/75</t>
  </si>
  <si>
    <t>CO 53/76</t>
  </si>
  <si>
    <t>CO 53/77</t>
  </si>
  <si>
    <t>CO 53/78</t>
  </si>
  <si>
    <t>CO 53/79</t>
  </si>
  <si>
    <t>CO 53/80</t>
  </si>
  <si>
    <t>CO 53/81</t>
  </si>
  <si>
    <t>CO 53/82</t>
  </si>
  <si>
    <t>CO 53/83</t>
  </si>
  <si>
    <t>CO 53/84</t>
  </si>
  <si>
    <t>CO 53/85</t>
  </si>
  <si>
    <t>CO 53/86</t>
  </si>
  <si>
    <t>CO 53/87</t>
  </si>
  <si>
    <t>CO 442/27</t>
  </si>
  <si>
    <t>CO 442/30</t>
  </si>
  <si>
    <t>Silver p. unit</t>
  </si>
  <si>
    <t>Silver p. kg (EN)</t>
  </si>
  <si>
    <t>butter, fresh</t>
  </si>
  <si>
    <t>butter, salt</t>
  </si>
  <si>
    <t>MOOC 14/234</t>
  </si>
  <si>
    <t>mutton</t>
  </si>
  <si>
    <t>wagon load (10 muids)</t>
  </si>
  <si>
    <t>Neumark, xiii</t>
  </si>
  <si>
    <t>Arndt, p. 38</t>
  </si>
  <si>
    <t>VGuilder</t>
  </si>
  <si>
    <t>VStuiver</t>
  </si>
  <si>
    <t>VPenning</t>
  </si>
  <si>
    <t>VPer_Unit</t>
  </si>
  <si>
    <t>Film</t>
  </si>
  <si>
    <t>bafta sw brede halve</t>
  </si>
  <si>
    <t>-</t>
  </si>
  <si>
    <t>bafta sw brede hele</t>
  </si>
  <si>
    <t>bafta witte brede hele</t>
  </si>
  <si>
    <t>bafta, brede, halve</t>
  </si>
  <si>
    <t>bafta, smalle, halve</t>
  </si>
  <si>
    <t>bafta, smalle, hele</t>
  </si>
  <si>
    <t>bafta, sw smalle hele surat</t>
  </si>
  <si>
    <t>bafta, sw, brede, halve</t>
  </si>
  <si>
    <t>bafta, sw. Br. Heele, surat</t>
  </si>
  <si>
    <t>bafta, sw. Brede, hele, surat</t>
  </si>
  <si>
    <t>bafta, witte brede, hele, surat</t>
  </si>
  <si>
    <t>baftas sw brede halve</t>
  </si>
  <si>
    <t>baftas sw brede heel</t>
  </si>
  <si>
    <t>baftas sw brede hele</t>
  </si>
  <si>
    <t>baftas sw smal hele</t>
  </si>
  <si>
    <t>baftas sw small halve</t>
  </si>
  <si>
    <t>baftas sw smalle halve</t>
  </si>
  <si>
    <t>baftas sw smalle heel</t>
  </si>
  <si>
    <t>baftas sw smalle hele</t>
  </si>
  <si>
    <t>baftas sw., brede, hele</t>
  </si>
  <si>
    <t>baftas sware brede halve</t>
  </si>
  <si>
    <t>baftas swarte brede halve</t>
  </si>
  <si>
    <t>baftas swarte brede hele</t>
  </si>
  <si>
    <t>baftas swarte smalle halve</t>
  </si>
  <si>
    <t>baftas witte brede heel</t>
  </si>
  <si>
    <t>baftas witte brede hele, surat</t>
  </si>
  <si>
    <t>baftas, brede, gebl, kust</t>
  </si>
  <si>
    <t>baftas, gem., gebl., kust</t>
  </si>
  <si>
    <t>baftas, sw br hele</t>
  </si>
  <si>
    <t>baftas, sw. Brede, halve, surat</t>
  </si>
  <si>
    <t>error!?</t>
  </si>
  <si>
    <t>check</t>
  </si>
  <si>
    <t>zeep, marselliaans</t>
  </si>
  <si>
    <t>Average price of wheat per wagonload of 10 muids, jan-march: 1827</t>
  </si>
  <si>
    <t>month</t>
  </si>
  <si>
    <t>day</t>
  </si>
  <si>
    <t>sch.</t>
  </si>
  <si>
    <t>Purchasing price</t>
  </si>
  <si>
    <t>Sales price</t>
  </si>
  <si>
    <t>inv_nr</t>
  </si>
  <si>
    <t>RDG 211</t>
  </si>
  <si>
    <t>the prices of purchase are given exclusive of charges for conveyence storage and other expenses of the … which have averaged about 10 percent in the amount of sales</t>
  </si>
  <si>
    <t>coarse flour</t>
  </si>
  <si>
    <t>[PL: Silver = grams of silver]</t>
  </si>
  <si>
    <t>UK shillings and pence per rix dollar, 1795, 1805-1825</t>
  </si>
  <si>
    <t>Cape Colony prices in grams of silver (Pim de Zwart)</t>
  </si>
  <si>
    <t>English prices in grams of silver (Clark)</t>
  </si>
  <si>
    <t>Cost in grams of silver per day</t>
  </si>
  <si>
    <t>Cape Colony costs in grams of silver per day</t>
  </si>
  <si>
    <t>with fuel</t>
  </si>
  <si>
    <t>no-fuel</t>
  </si>
  <si>
    <t>Cottons</t>
  </si>
  <si>
    <t>1867-69 ave =</t>
  </si>
  <si>
    <t>gAg per m2</t>
  </si>
  <si>
    <t>or</t>
  </si>
  <si>
    <t>£ per m2</t>
  </si>
  <si>
    <t>Using cotton cloth price =</t>
  </si>
  <si>
    <t>0.173 * linen meter price,</t>
  </si>
  <si>
    <t>n.a.</t>
  </si>
  <si>
    <t>British costs in grams of silver per day</t>
  </si>
  <si>
    <t>Colony</t>
  </si>
  <si>
    <t>Britain</t>
  </si>
  <si>
    <t xml:space="preserve">Cape </t>
  </si>
  <si>
    <t>Colony /</t>
  </si>
  <si>
    <t>cost</t>
  </si>
  <si>
    <t>ratio</t>
  </si>
  <si>
    <t>5-year ave's,</t>
  </si>
  <si>
    <t>year 1861</t>
  </si>
  <si>
    <t>1861 comparison of GDP per capita and costs of barebones bundles</t>
  </si>
  <si>
    <t>average,</t>
  </si>
  <si>
    <t>1859-1863</t>
  </si>
  <si>
    <t>Cape Colony</t>
  </si>
  <si>
    <t>Barebones cost</t>
  </si>
  <si>
    <t>gAg, 1859-1863</t>
  </si>
  <si>
    <t>Ratios</t>
  </si>
  <si>
    <t>Nominal GDP</t>
  </si>
  <si>
    <t>Population</t>
  </si>
  <si>
    <t>Nom GDP per cap</t>
  </si>
  <si>
    <t>million £</t>
  </si>
  <si>
    <t>gAg/£, 1859-1863</t>
  </si>
  <si>
    <t>Silver content of £</t>
  </si>
  <si>
    <t>£, 1859-1863</t>
  </si>
  <si>
    <t>GDP per cap, bundles</t>
  </si>
  <si>
    <t>bundles</t>
  </si>
  <si>
    <t>Madison Project's ratio</t>
  </si>
  <si>
    <t>Cape Colony / UK</t>
  </si>
  <si>
    <t>versus</t>
  </si>
  <si>
    <t>Cape Colony nominal GDP and population 1861:</t>
  </si>
  <si>
    <r>
      <t>Greyling, Lorraine and Grietjie Verhoef, "Slow Growth …"  (</t>
    </r>
    <r>
      <rPr>
        <i/>
        <sz val="10"/>
        <color theme="1"/>
        <rFont val="Arial"/>
        <family val="2"/>
      </rPr>
      <t>EHDR</t>
    </r>
    <r>
      <rPr>
        <sz val="10"/>
        <color theme="1"/>
        <rFont val="Arial"/>
        <family val="2"/>
      </rPr>
      <t xml:space="preserve"> 2015, Tables 2 and 3), and </t>
    </r>
  </si>
  <si>
    <r>
      <t>Magee-Greyling-Verhoef, "South Africa in the Australian Mirror … 1861-1909" (</t>
    </r>
    <r>
      <rPr>
        <i/>
        <sz val="10"/>
        <color theme="1"/>
        <rFont val="Arial"/>
        <family val="2"/>
      </rPr>
      <t xml:space="preserve">EcHR </t>
    </r>
    <r>
      <rPr>
        <sz val="10"/>
        <color theme="1"/>
        <rFont val="Arial"/>
        <family val="2"/>
      </rPr>
      <t xml:space="preserve">2016, pp. 897 and 903). </t>
    </r>
  </si>
  <si>
    <t>(could fill in, using</t>
  </si>
  <si>
    <t>British interpolations)</t>
  </si>
  <si>
    <t>Calories/unit</t>
  </si>
  <si>
    <t>Protein (g)/unit</t>
  </si>
  <si>
    <t>Calories/day</t>
  </si>
  <si>
    <t>Protein/day</t>
  </si>
  <si>
    <t>Whole bundle</t>
  </si>
  <si>
    <t>Wheat intake adjusted by Lindert to generate daily calories of 1,942</t>
  </si>
  <si>
    <t>million</t>
  </si>
  <si>
    <t>Here building on the De Zwart data base, Lindert nov2016</t>
  </si>
  <si>
    <t>Results used in Peter H. Lindert, “Purchasing Power Disparity before 1914,” NBER working paper 22896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</si>
</sst>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
    <numFmt numFmtId="167" formatCode="0.000"/>
  </numFmts>
  <fonts count="54" x14ac:knownFonts="1">
    <font>
      <sz val="10"/>
      <color theme="1"/>
      <name val="Arial"/>
      <family val="2"/>
    </font>
    <font>
      <sz val="12"/>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b/>
      <sz val="11"/>
      <color indexed="8"/>
      <name val="Calibri"/>
      <family val="2"/>
    </font>
    <font>
      <b/>
      <sz val="11"/>
      <name val="Calibri"/>
      <family val="2"/>
      <scheme val="minor"/>
    </font>
    <font>
      <sz val="11"/>
      <color rgb="FFFF0000"/>
      <name val="Calibri"/>
      <family val="2"/>
      <scheme val="minor"/>
    </font>
    <font>
      <sz val="11"/>
      <name val="Calibri"/>
      <family val="2"/>
    </font>
    <font>
      <sz val="11"/>
      <color theme="8" tint="0.59999389629810485"/>
      <name val="Calibri"/>
      <family val="2"/>
      <scheme val="minor"/>
    </font>
    <font>
      <sz val="11"/>
      <color theme="0"/>
      <name val="Calibri"/>
      <family val="2"/>
      <scheme val="minor"/>
    </font>
    <font>
      <sz val="11"/>
      <color rgb="FF9C6500"/>
      <name val="Calibri"/>
      <family val="2"/>
      <scheme val="minor"/>
    </font>
    <font>
      <sz val="11"/>
      <color rgb="FF9C0006"/>
      <name val="Calibri"/>
      <family val="2"/>
      <scheme val="minor"/>
    </font>
    <font>
      <sz val="9"/>
      <color indexed="81"/>
      <name val="Tahoma"/>
      <family val="2"/>
    </font>
    <font>
      <b/>
      <sz val="11"/>
      <color theme="1"/>
      <name val="Calibri"/>
      <family val="2"/>
      <scheme val="minor"/>
    </font>
    <font>
      <sz val="10"/>
      <name val="Arial"/>
      <family val="2"/>
    </font>
    <font>
      <sz val="11"/>
      <color rgb="FF006100"/>
      <name val="Calibri"/>
      <family val="2"/>
      <scheme val="minor"/>
    </font>
    <font>
      <b/>
      <sz val="10"/>
      <name val="Arial"/>
      <family val="2"/>
    </font>
    <font>
      <b/>
      <sz val="10"/>
      <name val="Calibri"/>
      <family val="2"/>
      <scheme val="minor"/>
    </font>
    <font>
      <sz val="10"/>
      <color theme="1"/>
      <name val="Calibri"/>
      <family val="2"/>
      <scheme val="minor"/>
    </font>
    <font>
      <sz val="10"/>
      <color rgb="FFFF0000"/>
      <name val="Arial"/>
      <family val="2"/>
    </font>
    <font>
      <b/>
      <sz val="10"/>
      <color theme="1"/>
      <name val="Arial"/>
      <family val="2"/>
    </font>
    <font>
      <sz val="11"/>
      <name val="Arial"/>
      <family val="2"/>
    </font>
    <font>
      <b/>
      <sz val="9"/>
      <color indexed="81"/>
      <name val="Tahoma"/>
      <family val="2"/>
    </font>
    <font>
      <sz val="10"/>
      <color rgb="FF0000FF"/>
      <name val="Arial"/>
      <family val="2"/>
    </font>
    <font>
      <sz val="11"/>
      <color rgb="FF0000FF"/>
      <name val="Arial"/>
      <family val="2"/>
    </font>
    <font>
      <sz val="11"/>
      <color theme="1"/>
      <name val="Arial"/>
      <family val="2"/>
    </font>
    <font>
      <u/>
      <sz val="10"/>
      <color theme="1"/>
      <name val="Arial"/>
      <family val="2"/>
    </font>
    <font>
      <sz val="10"/>
      <color indexed="8"/>
      <name val="Calibri"/>
      <family val="2"/>
    </font>
    <font>
      <sz val="10"/>
      <name val="Calibri"/>
      <family val="2"/>
    </font>
    <font>
      <sz val="10"/>
      <color theme="0" tint="-0.14999847407452621"/>
      <name val="Arial"/>
      <family val="2"/>
    </font>
    <font>
      <b/>
      <sz val="11"/>
      <color indexed="8"/>
      <name val="Arial"/>
      <family val="2"/>
    </font>
    <font>
      <sz val="10"/>
      <color rgb="FF00B050"/>
      <name val="Arial"/>
      <family val="2"/>
    </font>
    <font>
      <sz val="9"/>
      <color indexed="81"/>
      <name val="Arial"/>
      <family val="2"/>
    </font>
    <font>
      <sz val="10"/>
      <color theme="8" tint="0.59999389629810485"/>
      <name val="Arial"/>
      <family val="2"/>
    </font>
    <font>
      <b/>
      <sz val="11"/>
      <name val="Arial"/>
      <family val="2"/>
    </font>
    <font>
      <sz val="11"/>
      <color rgb="FFFF0000"/>
      <name val="Arial"/>
      <family val="2"/>
    </font>
    <font>
      <sz val="10"/>
      <color indexed="8"/>
      <name val="Arial"/>
      <family val="2"/>
    </font>
    <font>
      <sz val="8"/>
      <color indexed="81"/>
      <name val="Tahoma"/>
      <family val="2"/>
    </font>
    <font>
      <b/>
      <sz val="8"/>
      <color indexed="81"/>
      <name val="Tahoma"/>
      <family val="2"/>
    </font>
    <font>
      <sz val="10"/>
      <color theme="1"/>
      <name val="Calibri"/>
      <family val="2"/>
    </font>
    <font>
      <sz val="12"/>
      <color indexed="8"/>
      <name val="Arial"/>
      <family val="2"/>
    </font>
    <font>
      <sz val="10"/>
      <color rgb="FF7030A0"/>
      <name val="Arial"/>
      <family val="2"/>
    </font>
    <font>
      <sz val="10"/>
      <color indexed="10"/>
      <name val="Arial"/>
      <family val="2"/>
    </font>
    <font>
      <i/>
      <sz val="10"/>
      <color theme="1"/>
      <name val="Arial"/>
      <family val="2"/>
    </font>
    <font>
      <sz val="10"/>
      <color rgb="FF9C6500"/>
      <name val="Arial"/>
      <family val="2"/>
    </font>
    <font>
      <sz val="12"/>
      <color theme="1"/>
      <name val="Arial"/>
      <family val="2"/>
    </font>
    <font>
      <b/>
      <sz val="12"/>
      <color theme="1"/>
      <name val="Calibri"/>
      <family val="2"/>
      <scheme val="minor"/>
    </font>
    <font>
      <b/>
      <sz val="14"/>
      <color rgb="FFFF0000"/>
      <name val="Arial"/>
    </font>
    <font>
      <b/>
      <sz val="14"/>
      <color theme="1"/>
      <name val="Calibri"/>
      <scheme val="minor"/>
    </font>
    <font>
      <b/>
      <sz val="14"/>
      <color rgb="FFFF0000"/>
      <name val="Calibri"/>
      <scheme val="minor"/>
    </font>
    <font>
      <i/>
      <sz val="11"/>
      <color theme="1"/>
      <name val="Calibri"/>
      <family val="2"/>
      <scheme val="minor"/>
    </font>
    <font>
      <b/>
      <sz val="12"/>
      <color indexed="8"/>
      <name val="Arial"/>
    </font>
  </fonts>
  <fills count="2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59999389629810485"/>
        <bgColor indexed="65"/>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7" tint="0.79998168889431442"/>
        <bgColor indexed="65"/>
      </patternFill>
    </fill>
    <fill>
      <patternFill patternType="solid">
        <fgColor rgb="FFFFC000"/>
        <bgColor indexed="64"/>
      </patternFill>
    </fill>
    <fill>
      <patternFill patternType="solid">
        <fgColor rgb="FFFFB6C3"/>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4">
    <xf numFmtId="0" fontId="0" fillId="0" borderId="0"/>
    <xf numFmtId="0" fontId="5" fillId="0" borderId="0"/>
    <xf numFmtId="0" fontId="11" fillId="7" borderId="0" applyNumberFormat="0" applyBorder="0" applyAlignment="0" applyProtection="0"/>
    <xf numFmtId="0" fontId="12" fillId="4" borderId="0" applyNumberFormat="0" applyBorder="0" applyAlignment="0" applyProtection="0"/>
    <xf numFmtId="0" fontId="13" fillId="3" borderId="0" applyNumberFormat="0" applyBorder="0" applyAlignment="0" applyProtection="0"/>
    <xf numFmtId="0" fontId="11" fillId="9" borderId="0" applyNumberFormat="0" applyBorder="0" applyAlignment="0" applyProtection="0"/>
    <xf numFmtId="0" fontId="8" fillId="0" borderId="0" applyNumberFormat="0" applyFill="0" applyBorder="0" applyAlignment="0" applyProtection="0"/>
    <xf numFmtId="0" fontId="11" fillId="11" borderId="0" applyNumberFormat="0" applyBorder="0" applyAlignment="0" applyProtection="0"/>
    <xf numFmtId="0" fontId="11" fillId="1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11" fillId="12" borderId="0" applyNumberFormat="0" applyBorder="0" applyAlignment="0" applyProtection="0"/>
    <xf numFmtId="0" fontId="5" fillId="10" borderId="0" applyNumberFormat="0" applyBorder="0" applyAlignment="0" applyProtection="0"/>
    <xf numFmtId="0" fontId="11" fillId="5" borderId="0" applyNumberFormat="0" applyBorder="0" applyAlignment="0" applyProtection="0"/>
    <xf numFmtId="0" fontId="16" fillId="0" borderId="0"/>
    <xf numFmtId="0" fontId="17" fillId="2" borderId="0" applyNumberFormat="0" applyBorder="0" applyAlignment="0" applyProtection="0"/>
    <xf numFmtId="0" fontId="3" fillId="0" borderId="0"/>
    <xf numFmtId="9" fontId="4" fillId="0" borderId="0" applyFont="0" applyFill="0" applyBorder="0" applyAlignment="0" applyProtection="0"/>
    <xf numFmtId="0" fontId="2" fillId="8" borderId="0" applyNumberFormat="0" applyBorder="0" applyAlignment="0" applyProtection="0"/>
    <xf numFmtId="0" fontId="4" fillId="17"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46" fillId="4" borderId="0" applyNumberFormat="0" applyBorder="0" applyAlignment="0" applyProtection="0"/>
    <xf numFmtId="0" fontId="2" fillId="0" borderId="0"/>
  </cellStyleXfs>
  <cellXfs count="181">
    <xf numFmtId="0" fontId="0" fillId="0" borderId="0" xfId="0"/>
    <xf numFmtId="2" fontId="6" fillId="0" borderId="0" xfId="1" applyNumberFormat="1" applyFont="1"/>
    <xf numFmtId="0" fontId="7" fillId="0" borderId="0" xfId="1" applyFont="1"/>
    <xf numFmtId="0" fontId="8" fillId="0" borderId="0" xfId="1" applyFont="1"/>
    <xf numFmtId="2" fontId="5" fillId="0" borderId="0" xfId="1" applyNumberFormat="1"/>
    <xf numFmtId="0" fontId="5" fillId="0" borderId="0" xfId="1"/>
    <xf numFmtId="0" fontId="9" fillId="0" borderId="0" xfId="1" applyNumberFormat="1" applyFont="1"/>
    <xf numFmtId="2" fontId="10" fillId="0" borderId="0" xfId="1" applyNumberFormat="1" applyFont="1"/>
    <xf numFmtId="2" fontId="8" fillId="0" borderId="0" xfId="1" applyNumberFormat="1" applyFont="1"/>
    <xf numFmtId="0" fontId="5" fillId="0" borderId="0" xfId="1" applyNumberFormat="1"/>
    <xf numFmtId="0" fontId="15" fillId="0" borderId="0" xfId="1" applyFont="1"/>
    <xf numFmtId="0" fontId="15" fillId="0" borderId="0" xfId="0" applyFont="1"/>
    <xf numFmtId="0" fontId="15" fillId="0" borderId="0" xfId="1" applyNumberFormat="1" applyFont="1"/>
    <xf numFmtId="12" fontId="5" fillId="0" borderId="0" xfId="1" applyNumberFormat="1"/>
    <xf numFmtId="164" fontId="5" fillId="0" borderId="0" xfId="1" applyNumberFormat="1"/>
    <xf numFmtId="0" fontId="5" fillId="0" borderId="0" xfId="1" applyNumberFormat="1" applyAlignment="1"/>
    <xf numFmtId="12" fontId="5" fillId="0" borderId="0" xfId="1" applyNumberFormat="1" applyAlignment="1"/>
    <xf numFmtId="13" fontId="5" fillId="0" borderId="0" xfId="1" applyNumberFormat="1" applyAlignment="1"/>
    <xf numFmtId="0" fontId="16" fillId="0" borderId="0" xfId="14"/>
    <xf numFmtId="0" fontId="16" fillId="0" borderId="0" xfId="14" applyFont="1"/>
    <xf numFmtId="12" fontId="16" fillId="0" borderId="0" xfId="14" applyNumberFormat="1"/>
    <xf numFmtId="13" fontId="16" fillId="0" borderId="0" xfId="14" applyNumberFormat="1"/>
    <xf numFmtId="0" fontId="18" fillId="0" borderId="0" xfId="14" applyFont="1"/>
    <xf numFmtId="0" fontId="18" fillId="0" borderId="0" xfId="0" applyFont="1"/>
    <xf numFmtId="0" fontId="16" fillId="0" borderId="0" xfId="0" applyFont="1"/>
    <xf numFmtId="0" fontId="0" fillId="0" borderId="0" xfId="0" applyNumberFormat="1"/>
    <xf numFmtId="0" fontId="0" fillId="0" borderId="0" xfId="0" applyNumberFormat="1" applyFont="1"/>
    <xf numFmtId="13" fontId="0" fillId="0" borderId="0" xfId="0" applyNumberFormat="1"/>
    <xf numFmtId="12" fontId="0" fillId="0" borderId="0" xfId="0" applyNumberFormat="1"/>
    <xf numFmtId="2" fontId="0" fillId="0" borderId="0" xfId="0" applyNumberFormat="1"/>
    <xf numFmtId="2" fontId="0" fillId="0" borderId="0" xfId="0" applyNumberFormat="1" applyFont="1" applyBorder="1"/>
    <xf numFmtId="2" fontId="0" fillId="0" borderId="0" xfId="0" applyNumberFormat="1" applyFont="1"/>
    <xf numFmtId="0" fontId="15" fillId="0" borderId="0" xfId="0" applyNumberFormat="1" applyFont="1"/>
    <xf numFmtId="0" fontId="0" fillId="0" borderId="0" xfId="0" quotePrefix="1"/>
    <xf numFmtId="0" fontId="19" fillId="0" borderId="0" xfId="0" applyFont="1" applyFill="1" applyAlignment="1">
      <alignment horizontal="right"/>
    </xf>
    <xf numFmtId="49" fontId="19" fillId="0" borderId="0" xfId="0" applyNumberFormat="1" applyFont="1" applyFill="1" applyAlignment="1">
      <alignment horizontal="right"/>
    </xf>
    <xf numFmtId="0" fontId="19" fillId="0" borderId="0" xfId="0" applyFont="1" applyFill="1"/>
    <xf numFmtId="0" fontId="20" fillId="0" borderId="0" xfId="0" applyFont="1"/>
    <xf numFmtId="0" fontId="0" fillId="0" borderId="0" xfId="0" applyFont="1"/>
    <xf numFmtId="2" fontId="16" fillId="0" borderId="0" xfId="11" applyNumberFormat="1" applyFont="1" applyFill="1" applyBorder="1"/>
    <xf numFmtId="2" fontId="21" fillId="0" borderId="0" xfId="0" applyNumberFormat="1" applyFont="1"/>
    <xf numFmtId="2" fontId="16" fillId="0" borderId="0" xfId="14" applyNumberFormat="1"/>
    <xf numFmtId="2" fontId="25" fillId="0" borderId="0" xfId="14" applyNumberFormat="1" applyFont="1"/>
    <xf numFmtId="2" fontId="26" fillId="0" borderId="0" xfId="14" applyNumberFormat="1" applyFont="1"/>
    <xf numFmtId="2" fontId="15" fillId="0" borderId="0" xfId="1" applyNumberFormat="1" applyFont="1"/>
    <xf numFmtId="2" fontId="22" fillId="0" borderId="0" xfId="0" applyNumberFormat="1" applyFont="1"/>
    <xf numFmtId="2" fontId="0" fillId="14" borderId="0" xfId="0" applyNumberFormat="1" applyFont="1" applyFill="1"/>
    <xf numFmtId="2" fontId="16" fillId="14" borderId="0" xfId="0" applyNumberFormat="1" applyFont="1" applyFill="1"/>
    <xf numFmtId="0" fontId="0" fillId="14" borderId="0" xfId="0" applyFill="1"/>
    <xf numFmtId="2" fontId="18" fillId="0" borderId="0" xfId="0" applyNumberFormat="1" applyFont="1"/>
    <xf numFmtId="0" fontId="27" fillId="0" borderId="0" xfId="1" applyFont="1"/>
    <xf numFmtId="2" fontId="4" fillId="0" borderId="0" xfId="1" applyNumberFormat="1" applyFont="1"/>
    <xf numFmtId="2" fontId="21" fillId="0" borderId="0" xfId="6" applyNumberFormat="1" applyFont="1"/>
    <xf numFmtId="0" fontId="22" fillId="0" borderId="0" xfId="0" applyFont="1"/>
    <xf numFmtId="0" fontId="28" fillId="0" borderId="0" xfId="0" applyFont="1"/>
    <xf numFmtId="2" fontId="25" fillId="0" borderId="0" xfId="0" applyNumberFormat="1" applyFont="1"/>
    <xf numFmtId="2" fontId="27" fillId="0" borderId="0" xfId="0" applyNumberFormat="1" applyFont="1"/>
    <xf numFmtId="2" fontId="26" fillId="0" borderId="0" xfId="0" applyNumberFormat="1" applyFont="1"/>
    <xf numFmtId="0" fontId="29" fillId="0" borderId="0" xfId="0" applyFont="1"/>
    <xf numFmtId="17" fontId="29" fillId="0" borderId="0" xfId="0" applyNumberFormat="1" applyFont="1"/>
    <xf numFmtId="0" fontId="29" fillId="0" borderId="0" xfId="0" applyNumberFormat="1" applyFont="1"/>
    <xf numFmtId="0" fontId="29" fillId="0" borderId="0" xfId="0" applyFont="1" applyAlignment="1">
      <alignment horizontal="right"/>
    </xf>
    <xf numFmtId="12" fontId="29" fillId="0" borderId="0" xfId="0" applyNumberFormat="1" applyFont="1" applyAlignment="1">
      <alignment horizontal="right"/>
    </xf>
    <xf numFmtId="13" fontId="29" fillId="0" borderId="0" xfId="0" applyNumberFormat="1" applyFont="1" applyAlignment="1">
      <alignment horizontal="right"/>
    </xf>
    <xf numFmtId="0" fontId="30" fillId="0" borderId="0" xfId="0" applyFont="1"/>
    <xf numFmtId="2" fontId="31" fillId="0" borderId="0" xfId="0" applyNumberFormat="1" applyFont="1"/>
    <xf numFmtId="2" fontId="32" fillId="0" borderId="0" xfId="1" applyNumberFormat="1" applyFont="1"/>
    <xf numFmtId="2" fontId="27" fillId="0" borderId="0" xfId="1" applyNumberFormat="1" applyFont="1"/>
    <xf numFmtId="2" fontId="23" fillId="0" borderId="0" xfId="14" applyNumberFormat="1" applyFont="1"/>
    <xf numFmtId="0" fontId="0" fillId="15" borderId="0" xfId="0" applyFill="1"/>
    <xf numFmtId="2" fontId="0" fillId="15" borderId="0" xfId="0" applyNumberFormat="1" applyFill="1"/>
    <xf numFmtId="2" fontId="33" fillId="0" borderId="0" xfId="0" applyNumberFormat="1" applyFont="1"/>
    <xf numFmtId="0" fontId="25" fillId="0" borderId="0" xfId="0" applyNumberFormat="1" applyFont="1"/>
    <xf numFmtId="0" fontId="21" fillId="0" borderId="0" xfId="0" applyFont="1"/>
    <xf numFmtId="0" fontId="25" fillId="0" borderId="0" xfId="14" applyNumberFormat="1" applyFont="1"/>
    <xf numFmtId="2" fontId="20" fillId="0" borderId="0" xfId="0" applyNumberFormat="1" applyFont="1"/>
    <xf numFmtId="2" fontId="35" fillId="0" borderId="0" xfId="1" applyNumberFormat="1" applyFont="1"/>
    <xf numFmtId="2" fontId="0" fillId="0" borderId="0" xfId="1" applyNumberFormat="1" applyFont="1"/>
    <xf numFmtId="2" fontId="16" fillId="0" borderId="0" xfId="14" applyNumberFormat="1" applyFont="1"/>
    <xf numFmtId="0" fontId="36" fillId="0" borderId="0" xfId="1" applyFont="1"/>
    <xf numFmtId="2" fontId="37" fillId="0" borderId="0" xfId="1" applyNumberFormat="1" applyFont="1"/>
    <xf numFmtId="2" fontId="36" fillId="0" borderId="0" xfId="1" applyNumberFormat="1" applyFont="1"/>
    <xf numFmtId="2" fontId="37" fillId="0" borderId="0" xfId="0" applyNumberFormat="1" applyFont="1"/>
    <xf numFmtId="2" fontId="26" fillId="0" borderId="0" xfId="1" applyNumberFormat="1" applyFont="1"/>
    <xf numFmtId="4" fontId="29" fillId="0" borderId="0" xfId="0" applyNumberFormat="1" applyFont="1"/>
    <xf numFmtId="0" fontId="29" fillId="0" borderId="0" xfId="0" applyNumberFormat="1" applyFont="1" applyAlignment="1">
      <alignment horizontal="right"/>
    </xf>
    <xf numFmtId="0" fontId="30" fillId="0" borderId="0" xfId="0" applyNumberFormat="1" applyFont="1"/>
    <xf numFmtId="12" fontId="29" fillId="0" borderId="0" xfId="0" applyNumberFormat="1" applyFont="1"/>
    <xf numFmtId="4" fontId="0" fillId="0" borderId="0" xfId="0" applyNumberFormat="1"/>
    <xf numFmtId="2" fontId="38" fillId="0" borderId="0" xfId="0" applyNumberFormat="1" applyFont="1"/>
    <xf numFmtId="2" fontId="0" fillId="15" borderId="0" xfId="0" applyNumberFormat="1" applyFont="1" applyFill="1"/>
    <xf numFmtId="0" fontId="33" fillId="0" borderId="0" xfId="0" applyFont="1"/>
    <xf numFmtId="2" fontId="23" fillId="0" borderId="0" xfId="0" applyNumberFormat="1" applyFont="1"/>
    <xf numFmtId="0" fontId="42" fillId="0" borderId="0" xfId="0" applyNumberFormat="1" applyFont="1"/>
    <xf numFmtId="0" fontId="42" fillId="0" borderId="0" xfId="0" applyFont="1"/>
    <xf numFmtId="2" fontId="41" fillId="0" borderId="0" xfId="0" applyNumberFormat="1" applyFont="1"/>
    <xf numFmtId="0" fontId="0" fillId="16" borderId="0" xfId="0" applyFill="1"/>
    <xf numFmtId="2" fontId="0" fillId="16" borderId="0" xfId="0" applyNumberFormat="1" applyFill="1"/>
    <xf numFmtId="0" fontId="43" fillId="0" borderId="0" xfId="0" applyFont="1"/>
    <xf numFmtId="2" fontId="43" fillId="0" borderId="0" xfId="0" applyNumberFormat="1" applyFont="1"/>
    <xf numFmtId="2" fontId="44" fillId="0" borderId="0" xfId="16" applyNumberFormat="1" applyFont="1"/>
    <xf numFmtId="2" fontId="38" fillId="0" borderId="0" xfId="16" applyNumberFormat="1" applyFont="1"/>
    <xf numFmtId="2" fontId="16" fillId="0" borderId="0" xfId="16" applyNumberFormat="1" applyFont="1"/>
    <xf numFmtId="2" fontId="0" fillId="14" borderId="0" xfId="0" applyNumberFormat="1" applyFill="1"/>
    <xf numFmtId="0" fontId="45" fillId="0" borderId="0" xfId="0" applyFont="1"/>
    <xf numFmtId="10" fontId="5" fillId="0" borderId="0" xfId="1" applyNumberFormat="1"/>
    <xf numFmtId="10" fontId="6" fillId="0" borderId="0" xfId="1" applyNumberFormat="1" applyFont="1"/>
    <xf numFmtId="0" fontId="0" fillId="0" borderId="0" xfId="0"/>
    <xf numFmtId="9" fontId="2" fillId="0" borderId="0" xfId="17" applyFont="1"/>
    <xf numFmtId="2" fontId="0" fillId="0" borderId="0" xfId="0" applyNumberFormat="1"/>
    <xf numFmtId="0" fontId="2" fillId="0" borderId="0" xfId="1" applyFont="1"/>
    <xf numFmtId="0" fontId="7" fillId="0" borderId="0" xfId="23" applyFont="1"/>
    <xf numFmtId="0" fontId="2" fillId="0" borderId="0" xfId="23" applyNumberFormat="1"/>
    <xf numFmtId="2" fontId="16" fillId="0" borderId="0" xfId="0" applyNumberFormat="1" applyFont="1"/>
    <xf numFmtId="165" fontId="0" fillId="0" borderId="0" xfId="0" applyNumberFormat="1"/>
    <xf numFmtId="2" fontId="6" fillId="0" borderId="0" xfId="23" applyNumberFormat="1" applyFont="1" applyFill="1"/>
    <xf numFmtId="2" fontId="6" fillId="0" borderId="0" xfId="23" applyNumberFormat="1" applyFont="1"/>
    <xf numFmtId="2" fontId="2" fillId="0" borderId="0" xfId="23" applyNumberFormat="1"/>
    <xf numFmtId="0" fontId="2" fillId="0" borderId="0" xfId="23"/>
    <xf numFmtId="10" fontId="0" fillId="0" borderId="0" xfId="0" applyNumberFormat="1"/>
    <xf numFmtId="0" fontId="47" fillId="0" borderId="0" xfId="0" applyFont="1"/>
    <xf numFmtId="0" fontId="6" fillId="0" borderId="0" xfId="23" applyNumberFormat="1" applyFont="1" applyFill="1"/>
    <xf numFmtId="0" fontId="16" fillId="0" borderId="0" xfId="0" applyNumberFormat="1" applyFont="1"/>
    <xf numFmtId="0" fontId="33" fillId="0" borderId="0" xfId="0" applyNumberFormat="1" applyFont="1"/>
    <xf numFmtId="0" fontId="2" fillId="0" borderId="0" xfId="1" applyNumberFormat="1" applyFont="1"/>
    <xf numFmtId="165" fontId="2" fillId="0" borderId="0" xfId="1" applyNumberFormat="1" applyFont="1"/>
    <xf numFmtId="2" fontId="2" fillId="0" borderId="0" xfId="1" applyNumberFormat="1" applyFont="1"/>
    <xf numFmtId="0" fontId="1" fillId="0" borderId="0" xfId="1" applyFont="1"/>
    <xf numFmtId="0" fontId="49" fillId="0" borderId="0" xfId="1" applyFont="1"/>
    <xf numFmtId="10" fontId="51" fillId="0" borderId="0" xfId="1" applyNumberFormat="1" applyFont="1"/>
    <xf numFmtId="2" fontId="6" fillId="18" borderId="0" xfId="1" applyNumberFormat="1" applyFont="1" applyFill="1"/>
    <xf numFmtId="164" fontId="2" fillId="0" borderId="0" xfId="1" applyNumberFormat="1" applyFont="1" applyAlignment="1">
      <alignment horizontal="right"/>
    </xf>
    <xf numFmtId="164" fontId="15" fillId="0" borderId="0" xfId="1" applyNumberFormat="1" applyFont="1" applyAlignment="1">
      <alignment horizontal="right"/>
    </xf>
    <xf numFmtId="10" fontId="6" fillId="0" borderId="0" xfId="1" applyNumberFormat="1" applyFont="1" applyAlignment="1">
      <alignment horizontal="right"/>
    </xf>
    <xf numFmtId="2" fontId="27" fillId="0" borderId="0" xfId="1" applyNumberFormat="1" applyFont="1" applyAlignment="1">
      <alignment horizontal="right"/>
    </xf>
    <xf numFmtId="2" fontId="5" fillId="0" borderId="0" xfId="1" applyNumberFormat="1" applyAlignment="1">
      <alignment horizontal="right"/>
    </xf>
    <xf numFmtId="164" fontId="49" fillId="0" borderId="0" xfId="1" applyNumberFormat="1" applyFont="1"/>
    <xf numFmtId="164" fontId="2" fillId="0" borderId="0" xfId="1" applyNumberFormat="1" applyFont="1"/>
    <xf numFmtId="164" fontId="6" fillId="19" borderId="0" xfId="1" applyNumberFormat="1" applyFont="1" applyFill="1"/>
    <xf numFmtId="164" fontId="6" fillId="19" borderId="0" xfId="1" applyNumberFormat="1" applyFont="1" applyFill="1" applyAlignment="1">
      <alignment horizontal="right"/>
    </xf>
    <xf numFmtId="1" fontId="2" fillId="0" borderId="2" xfId="1" applyNumberFormat="1" applyFont="1" applyBorder="1"/>
    <xf numFmtId="164" fontId="2" fillId="0" borderId="2" xfId="1" applyNumberFormat="1" applyFont="1" applyBorder="1"/>
    <xf numFmtId="164" fontId="5" fillId="0" borderId="2" xfId="1" applyNumberFormat="1" applyBorder="1"/>
    <xf numFmtId="1" fontId="2" fillId="0" borderId="3" xfId="1" applyNumberFormat="1" applyFont="1" applyBorder="1"/>
    <xf numFmtId="164" fontId="50" fillId="0" borderId="0" xfId="1" applyNumberFormat="1" applyFont="1" applyAlignment="1">
      <alignment horizontal="right"/>
    </xf>
    <xf numFmtId="2" fontId="52" fillId="0" borderId="0" xfId="1" applyNumberFormat="1" applyFont="1"/>
    <xf numFmtId="2" fontId="32" fillId="18" borderId="0" xfId="1" applyNumberFormat="1" applyFont="1" applyFill="1" applyAlignment="1">
      <alignment horizontal="right"/>
    </xf>
    <xf numFmtId="0" fontId="36" fillId="18" borderId="0" xfId="1" applyFont="1" applyFill="1" applyAlignment="1">
      <alignment horizontal="right"/>
    </xf>
    <xf numFmtId="2" fontId="36" fillId="18" borderId="0" xfId="1" applyNumberFormat="1" applyFont="1" applyFill="1" applyAlignment="1">
      <alignment horizontal="right"/>
    </xf>
    <xf numFmtId="0" fontId="7" fillId="18" borderId="0" xfId="1" applyFont="1" applyFill="1" applyAlignment="1">
      <alignment horizontal="right"/>
    </xf>
    <xf numFmtId="2" fontId="6" fillId="18" borderId="0" xfId="1" applyNumberFormat="1" applyFont="1" applyFill="1" applyAlignment="1">
      <alignment horizontal="right"/>
    </xf>
    <xf numFmtId="2" fontId="2" fillId="0" borderId="0" xfId="1" applyNumberFormat="1" applyFont="1" applyAlignment="1">
      <alignment horizontal="right"/>
    </xf>
    <xf numFmtId="164" fontId="0" fillId="0" borderId="0" xfId="0" applyNumberFormat="1"/>
    <xf numFmtId="164" fontId="48" fillId="0" borderId="0" xfId="1" applyNumberFormat="1" applyFont="1" applyAlignment="1">
      <alignment horizontal="right"/>
    </xf>
    <xf numFmtId="0" fontId="47" fillId="0" borderId="0" xfId="0" applyFont="1" applyAlignment="1">
      <alignment horizontal="right"/>
    </xf>
    <xf numFmtId="0" fontId="9" fillId="20" borderId="0" xfId="1" applyNumberFormat="1" applyFont="1" applyFill="1"/>
    <xf numFmtId="0" fontId="5" fillId="20" borderId="0" xfId="1" applyNumberFormat="1" applyFill="1"/>
    <xf numFmtId="0" fontId="5" fillId="20" borderId="4" xfId="1" applyNumberFormat="1" applyFill="1" applyBorder="1"/>
    <xf numFmtId="164" fontId="0" fillId="0" borderId="4" xfId="0" applyNumberFormat="1" applyBorder="1"/>
    <xf numFmtId="0" fontId="0" fillId="0" borderId="0" xfId="0" applyAlignment="1">
      <alignment horizontal="right"/>
    </xf>
    <xf numFmtId="166" fontId="21" fillId="0" borderId="0" xfId="0" applyNumberFormat="1" applyFont="1"/>
    <xf numFmtId="167" fontId="21" fillId="0" borderId="0" xfId="0" applyNumberFormat="1" applyFont="1"/>
    <xf numFmtId="0" fontId="21" fillId="0" borderId="0" xfId="0" applyFont="1" applyAlignment="1">
      <alignment horizontal="right"/>
    </xf>
    <xf numFmtId="0" fontId="5" fillId="21" borderId="0" xfId="1" applyFill="1"/>
    <xf numFmtId="0" fontId="2" fillId="21" borderId="0" xfId="1" applyFont="1" applyFill="1" applyAlignment="1">
      <alignment horizontal="right"/>
    </xf>
    <xf numFmtId="0" fontId="15" fillId="21" borderId="0" xfId="1" applyFont="1" applyFill="1" applyAlignment="1">
      <alignment horizontal="right"/>
    </xf>
    <xf numFmtId="2" fontId="5" fillId="21" borderId="0" xfId="1" applyNumberFormat="1" applyFill="1"/>
    <xf numFmtId="0" fontId="0" fillId="21" borderId="0" xfId="0" applyFill="1"/>
    <xf numFmtId="164" fontId="5" fillId="21" borderId="4" xfId="1" applyNumberFormat="1" applyFill="1" applyBorder="1"/>
    <xf numFmtId="0" fontId="42" fillId="0" borderId="0" xfId="0" applyFont="1" applyAlignment="1">
      <alignment horizontal="right"/>
    </xf>
    <xf numFmtId="0" fontId="53" fillId="0" borderId="0" xfId="0" applyFont="1" applyAlignment="1">
      <alignment horizontal="center"/>
    </xf>
    <xf numFmtId="1" fontId="5" fillId="0" borderId="0" xfId="1" applyNumberFormat="1"/>
    <xf numFmtId="1" fontId="2" fillId="0" borderId="0" xfId="1" applyNumberFormat="1" applyFont="1"/>
    <xf numFmtId="164" fontId="2" fillId="22" borderId="1" xfId="1" applyNumberFormat="1" applyFont="1" applyFill="1" applyBorder="1"/>
    <xf numFmtId="164" fontId="2" fillId="22" borderId="0" xfId="1" applyNumberFormat="1" applyFont="1" applyFill="1"/>
    <xf numFmtId="164" fontId="5" fillId="22" borderId="0" xfId="1" applyNumberFormat="1" applyFill="1"/>
    <xf numFmtId="0" fontId="28" fillId="0" borderId="0" xfId="0" applyFont="1" applyAlignment="1">
      <alignment horizontal="right"/>
    </xf>
    <xf numFmtId="0" fontId="42" fillId="0" borderId="0" xfId="0" applyFont="1" applyAlignment="1">
      <alignment horizontal="left"/>
    </xf>
    <xf numFmtId="0" fontId="53" fillId="0" borderId="0" xfId="0" applyFont="1" applyAlignment="1">
      <alignment horizontal="left"/>
    </xf>
    <xf numFmtId="1" fontId="0" fillId="0" borderId="0" xfId="0" applyNumberFormat="1"/>
    <xf numFmtId="0" fontId="15" fillId="0" borderId="0" xfId="1" applyFont="1" applyAlignment="1">
      <alignment horizontal="center"/>
    </xf>
  </cellXfs>
  <cellStyles count="24">
    <cellStyle name="20% - Accent2 2" xfId="10"/>
    <cellStyle name="20% - Accent2 2 2" xfId="18"/>
    <cellStyle name="20% - Accent4 2" xfId="19"/>
    <cellStyle name="40% - Accent1 2" xfId="9"/>
    <cellStyle name="40% - Accent1 2 2" xfId="20"/>
    <cellStyle name="40% - Accent3 2" xfId="12"/>
    <cellStyle name="40% - Accent3 2 2" xfId="21"/>
    <cellStyle name="Accent1 2" xfId="13"/>
    <cellStyle name="Accent2 2" xfId="2"/>
    <cellStyle name="Accent3 2" xfId="5"/>
    <cellStyle name="Accent4 2" xfId="7"/>
    <cellStyle name="Accent5 2" xfId="11"/>
    <cellStyle name="Accent6 2" xfId="8"/>
    <cellStyle name="Bad 2" xfId="4"/>
    <cellStyle name="Good 2" xfId="15"/>
    <cellStyle name="Neutral 2" xfId="3"/>
    <cellStyle name="Neutral 3" xfId="22"/>
    <cellStyle name="Normal" xfId="0" builtinId="0"/>
    <cellStyle name="Normal 2" xfId="1"/>
    <cellStyle name="Normal 2 2" xfId="23"/>
    <cellStyle name="Normal 3" xfId="14"/>
    <cellStyle name="Normal 4" xfId="16"/>
    <cellStyle name="Percent" xfId="17" builtinId="5"/>
    <cellStyle name="Warning Text 2" xfId="6"/>
  </cellStyles>
  <dxfs count="0"/>
  <tableStyles count="0" defaultTableStyle="TableStyleMedium2" defaultPivotStyle="PivotStyleLight16"/>
  <colors>
    <mruColors>
      <color rgb="FFFFB6C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2700" cap="rnd">
              <a:solidFill>
                <a:schemeClr val="tx1"/>
              </a:solidFill>
              <a:round/>
            </a:ln>
            <a:effectLst/>
          </c:spPr>
          <c:marker>
            <c:symbol val="circle"/>
            <c:size val="5"/>
            <c:spPr>
              <a:solidFill>
                <a:schemeClr val="accent1"/>
              </a:solidFill>
              <a:ln w="9525">
                <a:solidFill>
                  <a:schemeClr val="accent1"/>
                </a:solidFill>
              </a:ln>
              <a:effectLst/>
            </c:spPr>
          </c:marker>
          <c:xVal>
            <c:numRef>
              <c:f>'CPI1 vs Britain ••'!$AT$96:$AT$269</c:f>
              <c:numCache>
                <c:formatCode>General</c:formatCode>
                <c:ptCount val="174"/>
                <c:pt idx="0">
                  <c:v>1740.0</c:v>
                </c:pt>
                <c:pt idx="1">
                  <c:v>1741.0</c:v>
                </c:pt>
                <c:pt idx="2">
                  <c:v>1742.0</c:v>
                </c:pt>
                <c:pt idx="3">
                  <c:v>1743.0</c:v>
                </c:pt>
                <c:pt idx="4">
                  <c:v>1744.0</c:v>
                </c:pt>
                <c:pt idx="5">
                  <c:v>1745.0</c:v>
                </c:pt>
                <c:pt idx="6">
                  <c:v>1746.0</c:v>
                </c:pt>
                <c:pt idx="7">
                  <c:v>1747.0</c:v>
                </c:pt>
                <c:pt idx="8">
                  <c:v>1748.0</c:v>
                </c:pt>
                <c:pt idx="9">
                  <c:v>1749.0</c:v>
                </c:pt>
                <c:pt idx="10">
                  <c:v>1750.0</c:v>
                </c:pt>
                <c:pt idx="11">
                  <c:v>1751.0</c:v>
                </c:pt>
                <c:pt idx="12">
                  <c:v>1752.0</c:v>
                </c:pt>
                <c:pt idx="13">
                  <c:v>1753.0</c:v>
                </c:pt>
                <c:pt idx="14">
                  <c:v>1754.0</c:v>
                </c:pt>
                <c:pt idx="15">
                  <c:v>1755.0</c:v>
                </c:pt>
                <c:pt idx="16">
                  <c:v>1756.0</c:v>
                </c:pt>
                <c:pt idx="17">
                  <c:v>1757.0</c:v>
                </c:pt>
                <c:pt idx="18">
                  <c:v>1758.0</c:v>
                </c:pt>
                <c:pt idx="19">
                  <c:v>1759.0</c:v>
                </c:pt>
                <c:pt idx="20">
                  <c:v>1760.0</c:v>
                </c:pt>
                <c:pt idx="21">
                  <c:v>1761.0</c:v>
                </c:pt>
                <c:pt idx="22">
                  <c:v>1762.0</c:v>
                </c:pt>
                <c:pt idx="23">
                  <c:v>1763.0</c:v>
                </c:pt>
                <c:pt idx="24">
                  <c:v>1764.0</c:v>
                </c:pt>
                <c:pt idx="25">
                  <c:v>1765.0</c:v>
                </c:pt>
                <c:pt idx="26">
                  <c:v>1766.0</c:v>
                </c:pt>
                <c:pt idx="27">
                  <c:v>1767.0</c:v>
                </c:pt>
                <c:pt idx="28">
                  <c:v>1768.0</c:v>
                </c:pt>
                <c:pt idx="29">
                  <c:v>1769.0</c:v>
                </c:pt>
                <c:pt idx="30">
                  <c:v>1770.0</c:v>
                </c:pt>
                <c:pt idx="31">
                  <c:v>1771.0</c:v>
                </c:pt>
                <c:pt idx="32">
                  <c:v>1772.0</c:v>
                </c:pt>
                <c:pt idx="33">
                  <c:v>1773.0</c:v>
                </c:pt>
                <c:pt idx="34">
                  <c:v>1774.0</c:v>
                </c:pt>
                <c:pt idx="35">
                  <c:v>1775.0</c:v>
                </c:pt>
                <c:pt idx="36">
                  <c:v>1776.0</c:v>
                </c:pt>
                <c:pt idx="37">
                  <c:v>1777.0</c:v>
                </c:pt>
                <c:pt idx="38">
                  <c:v>1778.0</c:v>
                </c:pt>
                <c:pt idx="39">
                  <c:v>1779.0</c:v>
                </c:pt>
                <c:pt idx="40">
                  <c:v>1780.0</c:v>
                </c:pt>
                <c:pt idx="41">
                  <c:v>1781.0</c:v>
                </c:pt>
                <c:pt idx="42">
                  <c:v>1782.0</c:v>
                </c:pt>
                <c:pt idx="43">
                  <c:v>1783.0</c:v>
                </c:pt>
                <c:pt idx="44">
                  <c:v>1784.0</c:v>
                </c:pt>
                <c:pt idx="45">
                  <c:v>1785.0</c:v>
                </c:pt>
                <c:pt idx="46">
                  <c:v>1786.0</c:v>
                </c:pt>
                <c:pt idx="47">
                  <c:v>1787.0</c:v>
                </c:pt>
                <c:pt idx="48">
                  <c:v>1788.0</c:v>
                </c:pt>
                <c:pt idx="49">
                  <c:v>1789.0</c:v>
                </c:pt>
                <c:pt idx="50">
                  <c:v>1790.0</c:v>
                </c:pt>
                <c:pt idx="51">
                  <c:v>1791.0</c:v>
                </c:pt>
                <c:pt idx="52">
                  <c:v>1792.0</c:v>
                </c:pt>
                <c:pt idx="53">
                  <c:v>1793.0</c:v>
                </c:pt>
                <c:pt idx="54">
                  <c:v>1794.0</c:v>
                </c:pt>
                <c:pt idx="55">
                  <c:v>1795.0</c:v>
                </c:pt>
                <c:pt idx="56">
                  <c:v>1796.0</c:v>
                </c:pt>
                <c:pt idx="57">
                  <c:v>1797.0</c:v>
                </c:pt>
                <c:pt idx="58">
                  <c:v>1798.0</c:v>
                </c:pt>
                <c:pt idx="59">
                  <c:v>1799.0</c:v>
                </c:pt>
                <c:pt idx="60">
                  <c:v>1800.0</c:v>
                </c:pt>
                <c:pt idx="61">
                  <c:v>1801.0</c:v>
                </c:pt>
                <c:pt idx="62">
                  <c:v>1802.0</c:v>
                </c:pt>
                <c:pt idx="63">
                  <c:v>1803.0</c:v>
                </c:pt>
                <c:pt idx="64">
                  <c:v>1804.0</c:v>
                </c:pt>
                <c:pt idx="65">
                  <c:v>1805.0</c:v>
                </c:pt>
                <c:pt idx="66">
                  <c:v>1806.0</c:v>
                </c:pt>
                <c:pt idx="67">
                  <c:v>1807.0</c:v>
                </c:pt>
                <c:pt idx="68">
                  <c:v>1808.0</c:v>
                </c:pt>
                <c:pt idx="69">
                  <c:v>1809.0</c:v>
                </c:pt>
                <c:pt idx="70">
                  <c:v>1810.0</c:v>
                </c:pt>
                <c:pt idx="71">
                  <c:v>1811.0</c:v>
                </c:pt>
                <c:pt idx="72">
                  <c:v>1812.0</c:v>
                </c:pt>
                <c:pt idx="73">
                  <c:v>1813.0</c:v>
                </c:pt>
                <c:pt idx="74">
                  <c:v>1814.0</c:v>
                </c:pt>
                <c:pt idx="75">
                  <c:v>1815.0</c:v>
                </c:pt>
                <c:pt idx="76">
                  <c:v>1816.0</c:v>
                </c:pt>
                <c:pt idx="77">
                  <c:v>1817.0</c:v>
                </c:pt>
                <c:pt idx="78">
                  <c:v>1818.0</c:v>
                </c:pt>
                <c:pt idx="79">
                  <c:v>1819.0</c:v>
                </c:pt>
                <c:pt idx="80">
                  <c:v>1820.0</c:v>
                </c:pt>
                <c:pt idx="81">
                  <c:v>1821.0</c:v>
                </c:pt>
                <c:pt idx="82">
                  <c:v>1822.0</c:v>
                </c:pt>
                <c:pt idx="83">
                  <c:v>1823.0</c:v>
                </c:pt>
                <c:pt idx="84">
                  <c:v>1824.0</c:v>
                </c:pt>
                <c:pt idx="85">
                  <c:v>1825.0</c:v>
                </c:pt>
                <c:pt idx="86">
                  <c:v>1826.0</c:v>
                </c:pt>
                <c:pt idx="87">
                  <c:v>1827.0</c:v>
                </c:pt>
                <c:pt idx="88">
                  <c:v>1828.0</c:v>
                </c:pt>
                <c:pt idx="89">
                  <c:v>1829.0</c:v>
                </c:pt>
                <c:pt idx="90">
                  <c:v>1830.0</c:v>
                </c:pt>
                <c:pt idx="91">
                  <c:v>1831.0</c:v>
                </c:pt>
                <c:pt idx="92">
                  <c:v>1832.0</c:v>
                </c:pt>
                <c:pt idx="93">
                  <c:v>1833.0</c:v>
                </c:pt>
                <c:pt idx="94">
                  <c:v>1834.0</c:v>
                </c:pt>
                <c:pt idx="95">
                  <c:v>1835.0</c:v>
                </c:pt>
                <c:pt idx="96">
                  <c:v>1836.0</c:v>
                </c:pt>
                <c:pt idx="97">
                  <c:v>1837.0</c:v>
                </c:pt>
                <c:pt idx="98">
                  <c:v>1838.0</c:v>
                </c:pt>
                <c:pt idx="99">
                  <c:v>1839.0</c:v>
                </c:pt>
                <c:pt idx="100">
                  <c:v>1840.0</c:v>
                </c:pt>
                <c:pt idx="101">
                  <c:v>1841.0</c:v>
                </c:pt>
                <c:pt idx="102">
                  <c:v>1842.0</c:v>
                </c:pt>
                <c:pt idx="103">
                  <c:v>1843.0</c:v>
                </c:pt>
                <c:pt idx="104">
                  <c:v>1844.0</c:v>
                </c:pt>
                <c:pt idx="105">
                  <c:v>1845.0</c:v>
                </c:pt>
                <c:pt idx="106">
                  <c:v>1846.0</c:v>
                </c:pt>
                <c:pt idx="107">
                  <c:v>1847.0</c:v>
                </c:pt>
                <c:pt idx="108">
                  <c:v>1848.0</c:v>
                </c:pt>
                <c:pt idx="109">
                  <c:v>1849.0</c:v>
                </c:pt>
                <c:pt idx="110">
                  <c:v>1850.0</c:v>
                </c:pt>
                <c:pt idx="111">
                  <c:v>1851.0</c:v>
                </c:pt>
                <c:pt idx="112">
                  <c:v>1852.0</c:v>
                </c:pt>
                <c:pt idx="113">
                  <c:v>1853.0</c:v>
                </c:pt>
                <c:pt idx="114">
                  <c:v>1854.0</c:v>
                </c:pt>
                <c:pt idx="115">
                  <c:v>1855.0</c:v>
                </c:pt>
                <c:pt idx="116">
                  <c:v>1856.0</c:v>
                </c:pt>
                <c:pt idx="117">
                  <c:v>1857.0</c:v>
                </c:pt>
                <c:pt idx="118">
                  <c:v>1858.0</c:v>
                </c:pt>
                <c:pt idx="119">
                  <c:v>1859.0</c:v>
                </c:pt>
                <c:pt idx="120">
                  <c:v>1860.0</c:v>
                </c:pt>
                <c:pt idx="121">
                  <c:v>1861.0</c:v>
                </c:pt>
                <c:pt idx="122">
                  <c:v>1862.0</c:v>
                </c:pt>
                <c:pt idx="123">
                  <c:v>1863.0</c:v>
                </c:pt>
                <c:pt idx="124">
                  <c:v>1864.0</c:v>
                </c:pt>
                <c:pt idx="125">
                  <c:v>1865.0</c:v>
                </c:pt>
                <c:pt idx="126">
                  <c:v>1866.0</c:v>
                </c:pt>
                <c:pt idx="127">
                  <c:v>1867.0</c:v>
                </c:pt>
                <c:pt idx="128">
                  <c:v>1868.0</c:v>
                </c:pt>
                <c:pt idx="129">
                  <c:v>1869.0</c:v>
                </c:pt>
                <c:pt idx="130">
                  <c:v>1870.0</c:v>
                </c:pt>
                <c:pt idx="131">
                  <c:v>1871.0</c:v>
                </c:pt>
                <c:pt idx="132">
                  <c:v>1872.0</c:v>
                </c:pt>
                <c:pt idx="133">
                  <c:v>1873.0</c:v>
                </c:pt>
                <c:pt idx="134">
                  <c:v>1874.0</c:v>
                </c:pt>
                <c:pt idx="135">
                  <c:v>1875.0</c:v>
                </c:pt>
                <c:pt idx="136">
                  <c:v>1876.0</c:v>
                </c:pt>
                <c:pt idx="137">
                  <c:v>1877.0</c:v>
                </c:pt>
                <c:pt idx="138">
                  <c:v>1878.0</c:v>
                </c:pt>
                <c:pt idx="139">
                  <c:v>1879.0</c:v>
                </c:pt>
                <c:pt idx="140">
                  <c:v>1880.0</c:v>
                </c:pt>
                <c:pt idx="141">
                  <c:v>1881.0</c:v>
                </c:pt>
                <c:pt idx="142">
                  <c:v>1882.0</c:v>
                </c:pt>
                <c:pt idx="143">
                  <c:v>1883.0</c:v>
                </c:pt>
                <c:pt idx="144">
                  <c:v>1884.0</c:v>
                </c:pt>
                <c:pt idx="145">
                  <c:v>1885.0</c:v>
                </c:pt>
                <c:pt idx="146">
                  <c:v>1886.0</c:v>
                </c:pt>
                <c:pt idx="147">
                  <c:v>1887.0</c:v>
                </c:pt>
                <c:pt idx="148">
                  <c:v>1888.0</c:v>
                </c:pt>
                <c:pt idx="149">
                  <c:v>1889.0</c:v>
                </c:pt>
                <c:pt idx="150">
                  <c:v>1890.0</c:v>
                </c:pt>
                <c:pt idx="151">
                  <c:v>1891.0</c:v>
                </c:pt>
                <c:pt idx="152">
                  <c:v>1892.0</c:v>
                </c:pt>
                <c:pt idx="153">
                  <c:v>1893.0</c:v>
                </c:pt>
                <c:pt idx="154">
                  <c:v>1894.0</c:v>
                </c:pt>
                <c:pt idx="155">
                  <c:v>1895.0</c:v>
                </c:pt>
                <c:pt idx="156">
                  <c:v>1896.0</c:v>
                </c:pt>
                <c:pt idx="157">
                  <c:v>1897.0</c:v>
                </c:pt>
                <c:pt idx="158">
                  <c:v>1898.0</c:v>
                </c:pt>
                <c:pt idx="159">
                  <c:v>1899.0</c:v>
                </c:pt>
                <c:pt idx="160">
                  <c:v>1900.0</c:v>
                </c:pt>
                <c:pt idx="161">
                  <c:v>1901.0</c:v>
                </c:pt>
                <c:pt idx="162">
                  <c:v>1902.0</c:v>
                </c:pt>
                <c:pt idx="163">
                  <c:v>1903.0</c:v>
                </c:pt>
                <c:pt idx="164">
                  <c:v>1904.0</c:v>
                </c:pt>
                <c:pt idx="165">
                  <c:v>1905.0</c:v>
                </c:pt>
                <c:pt idx="166">
                  <c:v>1906.0</c:v>
                </c:pt>
                <c:pt idx="167">
                  <c:v>1907.0</c:v>
                </c:pt>
                <c:pt idx="168">
                  <c:v>1908.0</c:v>
                </c:pt>
                <c:pt idx="169">
                  <c:v>1909.0</c:v>
                </c:pt>
                <c:pt idx="170">
                  <c:v>1910.0</c:v>
                </c:pt>
                <c:pt idx="171">
                  <c:v>1911.0</c:v>
                </c:pt>
                <c:pt idx="172">
                  <c:v>1912.0</c:v>
                </c:pt>
                <c:pt idx="173">
                  <c:v>1913.0</c:v>
                </c:pt>
              </c:numCache>
            </c:numRef>
          </c:xVal>
          <c:yVal>
            <c:numRef>
              <c:f>'CPI1 vs Britain ••'!$AU$96:$AU$269</c:f>
              <c:numCache>
                <c:formatCode>General</c:formatCode>
                <c:ptCount val="174"/>
                <c:pt idx="0" formatCode="0.00">
                  <c:v>0.763235054967455</c:v>
                </c:pt>
                <c:pt idx="2" formatCode="0.00">
                  <c:v>0.933382127223267</c:v>
                </c:pt>
                <c:pt idx="6" formatCode="0.00">
                  <c:v>0.777136778933381</c:v>
                </c:pt>
                <c:pt idx="11" formatCode="0.00">
                  <c:v>0.856964733351589</c:v>
                </c:pt>
                <c:pt idx="14" formatCode="0.00">
                  <c:v>0.852303573057856</c:v>
                </c:pt>
                <c:pt idx="17" formatCode="0.00">
                  <c:v>0.57272619600548</c:v>
                </c:pt>
                <c:pt idx="18" formatCode="0.00">
                  <c:v>0.69211947223426</c:v>
                </c:pt>
                <c:pt idx="22" formatCode="0.00">
                  <c:v>0.733000901739587</c:v>
                </c:pt>
                <c:pt idx="23" formatCode="0.00">
                  <c:v>0.805958780287739</c:v>
                </c:pt>
                <c:pt idx="24" formatCode="0.00">
                  <c:v>0.692418606165599</c:v>
                </c:pt>
                <c:pt idx="25" formatCode="0.00">
                  <c:v>0.670487519077968</c:v>
                </c:pt>
                <c:pt idx="26" formatCode="0.00">
                  <c:v>0.599500872508844</c:v>
                </c:pt>
                <c:pt idx="27" formatCode="0.00">
                  <c:v>0.572107710720808</c:v>
                </c:pt>
                <c:pt idx="28" formatCode="0.00">
                  <c:v>0.596740022283578</c:v>
                </c:pt>
                <c:pt idx="29" formatCode="0.00">
                  <c:v>0.787111026455717</c:v>
                </c:pt>
                <c:pt idx="30" formatCode="0.00">
                  <c:v>0.775557602924494</c:v>
                </c:pt>
                <c:pt idx="31" formatCode="0.00">
                  <c:v>0.534280233246916</c:v>
                </c:pt>
                <c:pt idx="32" formatCode="0.00">
                  <c:v>0.604164313090816</c:v>
                </c:pt>
                <c:pt idx="33" formatCode="0.00">
                  <c:v>0.537459322767588</c:v>
                </c:pt>
                <c:pt idx="34" formatCode="0.00">
                  <c:v>0.571590077870943</c:v>
                </c:pt>
                <c:pt idx="35" formatCode="0.00">
                  <c:v>0.556978682227097</c:v>
                </c:pt>
                <c:pt idx="36" formatCode="0.00">
                  <c:v>0.693472376538444</c:v>
                </c:pt>
                <c:pt idx="37" formatCode="0.00">
                  <c:v>0.642023744555212</c:v>
                </c:pt>
                <c:pt idx="38" formatCode="0.00">
                  <c:v>0.63959202528448</c:v>
                </c:pt>
                <c:pt idx="39" formatCode="0.00">
                  <c:v>0.668050621385236</c:v>
                </c:pt>
                <c:pt idx="40" formatCode="0.00">
                  <c:v>0.661859415959251</c:v>
                </c:pt>
                <c:pt idx="41" formatCode="0.00">
                  <c:v>0.562560966853146</c:v>
                </c:pt>
                <c:pt idx="42" formatCode="0.00">
                  <c:v>0.601893660840036</c:v>
                </c:pt>
                <c:pt idx="43" formatCode="0.00">
                  <c:v>0.524590148474847</c:v>
                </c:pt>
                <c:pt idx="44" formatCode="0.00">
                  <c:v>0.548663088587637</c:v>
                </c:pt>
                <c:pt idx="45" formatCode="0.00">
                  <c:v>0.587592146769953</c:v>
                </c:pt>
                <c:pt idx="46" formatCode="0.00">
                  <c:v>0.792497540080491</c:v>
                </c:pt>
                <c:pt idx="47" formatCode="0.00">
                  <c:v>1.203303567154988</c:v>
                </c:pt>
                <c:pt idx="48" formatCode="0.00">
                  <c:v>0.616162564949207</c:v>
                </c:pt>
                <c:pt idx="49" formatCode="0.00">
                  <c:v>0.940669645907788</c:v>
                </c:pt>
                <c:pt idx="50" formatCode="0.00">
                  <c:v>0.548359776815888</c:v>
                </c:pt>
                <c:pt idx="51" formatCode="0.00">
                  <c:v>0.58229695545326</c:v>
                </c:pt>
                <c:pt idx="52" formatCode="0.00">
                  <c:v>0.616754429716685</c:v>
                </c:pt>
                <c:pt idx="53" formatCode="0.00">
                  <c:v>0.583303532932831</c:v>
                </c:pt>
                <c:pt idx="54" formatCode="0.00">
                  <c:v>0.528112175478146</c:v>
                </c:pt>
                <c:pt idx="55" formatCode="0.00">
                  <c:v>0.430544895970586</c:v>
                </c:pt>
                <c:pt idx="56" formatCode="0.00">
                  <c:v>0.413535274601513</c:v>
                </c:pt>
                <c:pt idx="57" formatCode="0.00">
                  <c:v>0.59116714781176</c:v>
                </c:pt>
                <c:pt idx="58" formatCode="0.00">
                  <c:v>0.74626826282918</c:v>
                </c:pt>
                <c:pt idx="59" formatCode="0.00">
                  <c:v>0.694812122026279</c:v>
                </c:pt>
                <c:pt idx="60" formatCode="0.00">
                  <c:v>0.495399070456042</c:v>
                </c:pt>
                <c:pt idx="61" formatCode="0.00">
                  <c:v>0.456153863231902</c:v>
                </c:pt>
                <c:pt idx="62" formatCode="0.00">
                  <c:v>0.759410844741274</c:v>
                </c:pt>
                <c:pt idx="63" formatCode="0.00">
                  <c:v>0.861432729978081</c:v>
                </c:pt>
                <c:pt idx="64" formatCode="0.00">
                  <c:v>0.820929888442257</c:v>
                </c:pt>
                <c:pt idx="65" formatCode="0.00">
                  <c:v>0.635672353910467</c:v>
                </c:pt>
                <c:pt idx="66" formatCode="0.00">
                  <c:v>0.678242120992902</c:v>
                </c:pt>
                <c:pt idx="67" formatCode="0.00">
                  <c:v>0.679504809978316</c:v>
                </c:pt>
                <c:pt idx="68" formatCode="0.00">
                  <c:v>0.718293251115663</c:v>
                </c:pt>
                <c:pt idx="69" formatCode="0.00">
                  <c:v>0.598723577200241</c:v>
                </c:pt>
                <c:pt idx="70" formatCode="0.00">
                  <c:v>0.567104239141317</c:v>
                </c:pt>
                <c:pt idx="71" formatCode="0.00">
                  <c:v>0.629862358787735</c:v>
                </c:pt>
                <c:pt idx="72" formatCode="0.00">
                  <c:v>0.579840826109513</c:v>
                </c:pt>
                <c:pt idx="73" formatCode="0.00">
                  <c:v>0.648049235946112</c:v>
                </c:pt>
                <c:pt idx="74" formatCode="0.00">
                  <c:v>0.947663742710369</c:v>
                </c:pt>
                <c:pt idx="75" formatCode="0.00">
                  <c:v>0.851861430697253</c:v>
                </c:pt>
                <c:pt idx="76" formatCode="0.00">
                  <c:v>0.51145303559587</c:v>
                </c:pt>
                <c:pt idx="77" formatCode="0.00">
                  <c:v>0.45624572930262</c:v>
                </c:pt>
                <c:pt idx="78" formatCode="0.00">
                  <c:v>0.789164636927535</c:v>
                </c:pt>
                <c:pt idx="79" formatCode="0.00">
                  <c:v>0.9192383192233</c:v>
                </c:pt>
                <c:pt idx="80" formatCode="0.00">
                  <c:v>0.54098094884706</c:v>
                </c:pt>
                <c:pt idx="81" formatCode="0.00">
                  <c:v>1.020547117377477</c:v>
                </c:pt>
                <c:pt idx="82" formatCode="0.00">
                  <c:v>1.325388985100079</c:v>
                </c:pt>
                <c:pt idx="83" formatCode="0.00">
                  <c:v>0.687617276134136</c:v>
                </c:pt>
                <c:pt idx="84" formatCode="0.00">
                  <c:v>0.657841197744032</c:v>
                </c:pt>
                <c:pt idx="85" formatCode="0.00">
                  <c:v>0.535889158603324</c:v>
                </c:pt>
                <c:pt idx="86" formatCode="0.00">
                  <c:v>0.953406038440911</c:v>
                </c:pt>
                <c:pt idx="87" formatCode="0.00">
                  <c:v>0.711159702941372</c:v>
                </c:pt>
                <c:pt idx="88" formatCode="0.00">
                  <c:v>0.455610372622443</c:v>
                </c:pt>
                <c:pt idx="89" formatCode="0.00">
                  <c:v>0.617617399678748</c:v>
                </c:pt>
                <c:pt idx="90" formatCode="0.00">
                  <c:v>0.703868218929979</c:v>
                </c:pt>
                <c:pt idx="91" formatCode="0.00">
                  <c:v>0.591450806928579</c:v>
                </c:pt>
                <c:pt idx="92" formatCode="0.00">
                  <c:v>0.602748626247226</c:v>
                </c:pt>
                <c:pt idx="93" formatCode="0.00">
                  <c:v>0.58279341917553</c:v>
                </c:pt>
                <c:pt idx="94" formatCode="0.00">
                  <c:v>0.54956837825134</c:v>
                </c:pt>
                <c:pt idx="95" formatCode="0.00">
                  <c:v>0.761984215501262</c:v>
                </c:pt>
                <c:pt idx="96" formatCode="0.00">
                  <c:v>0.859107901011481</c:v>
                </c:pt>
                <c:pt idx="97" formatCode="0.00">
                  <c:v>0.862164081156327</c:v>
                </c:pt>
                <c:pt idx="98" formatCode="0.00">
                  <c:v>0.812681643586329</c:v>
                </c:pt>
                <c:pt idx="99" formatCode="0.00">
                  <c:v>1.192885437021464</c:v>
                </c:pt>
                <c:pt idx="100" formatCode="0.00">
                  <c:v>1.080228805767933</c:v>
                </c:pt>
                <c:pt idx="101" formatCode="0.00">
                  <c:v>0.700654750659636</c:v>
                </c:pt>
                <c:pt idx="102" formatCode="0.00">
                  <c:v>0.806186427420752</c:v>
                </c:pt>
                <c:pt idx="103" formatCode="0.00">
                  <c:v>0.903101596135257</c:v>
                </c:pt>
                <c:pt idx="104" formatCode="0.00">
                  <c:v>0.724530018206123</c:v>
                </c:pt>
                <c:pt idx="105" formatCode="0.00">
                  <c:v>0.812905434931421</c:v>
                </c:pt>
                <c:pt idx="106" formatCode="0.00">
                  <c:v>0.89878823869546</c:v>
                </c:pt>
                <c:pt idx="107" formatCode="0.00">
                  <c:v>0.74624475149209</c:v>
                </c:pt>
                <c:pt idx="108" formatCode="0.00">
                  <c:v>0.817458288450385</c:v>
                </c:pt>
                <c:pt idx="109" formatCode="0.00">
                  <c:v>0.909297309386717</c:v>
                </c:pt>
                <c:pt idx="110" formatCode="0.00">
                  <c:v>0.978768201210044</c:v>
                </c:pt>
                <c:pt idx="111" formatCode="0.00">
                  <c:v>0.808624735550876</c:v>
                </c:pt>
                <c:pt idx="112" formatCode="0.00">
                  <c:v>0.761817795049219</c:v>
                </c:pt>
                <c:pt idx="113" formatCode="0.00">
                  <c:v>0.7465942708238</c:v>
                </c:pt>
                <c:pt idx="114" formatCode="0.00">
                  <c:v>0.773113405937472</c:v>
                </c:pt>
                <c:pt idx="115" formatCode="0.00">
                  <c:v>0.713460692776</c:v>
                </c:pt>
                <c:pt idx="116" formatCode="0.00">
                  <c:v>0.881858459529861</c:v>
                </c:pt>
                <c:pt idx="117" formatCode="0.00">
                  <c:v>1.105756004686094</c:v>
                </c:pt>
                <c:pt idx="118" formatCode="0.00">
                  <c:v>1.378722737118474</c:v>
                </c:pt>
                <c:pt idx="119" formatCode="0.00">
                  <c:v>1.401009714084625</c:v>
                </c:pt>
                <c:pt idx="120" formatCode="0.00">
                  <c:v>1.16027833821986</c:v>
                </c:pt>
                <c:pt idx="121" formatCode="0.00">
                  <c:v>1.16138057004571</c:v>
                </c:pt>
                <c:pt idx="122" formatCode="0.00">
                  <c:v>1.604737449541182</c:v>
                </c:pt>
                <c:pt idx="123" formatCode="0.00">
                  <c:v>1.627439798214465</c:v>
                </c:pt>
                <c:pt idx="124" formatCode="0.00">
                  <c:v>1.264173859025205</c:v>
                </c:pt>
                <c:pt idx="125" formatCode="0.00">
                  <c:v>1.490179793944436</c:v>
                </c:pt>
                <c:pt idx="126" formatCode="0.00">
                  <c:v>1.235683931682597</c:v>
                </c:pt>
                <c:pt idx="127" formatCode="0.00">
                  <c:v>0.859906798951026</c:v>
                </c:pt>
                <c:pt idx="128" formatCode="0.00">
                  <c:v>0.720252196322753</c:v>
                </c:pt>
                <c:pt idx="129" formatCode="0.00">
                  <c:v>0.782364243249364</c:v>
                </c:pt>
                <c:pt idx="131">
                  <c:v>0.0</c:v>
                </c:pt>
                <c:pt idx="132">
                  <c:v>0.0</c:v>
                </c:pt>
                <c:pt idx="133" formatCode="0.00">
                  <c:v>1.081424410926978</c:v>
                </c:pt>
                <c:pt idx="140" formatCode="0.00">
                  <c:v>1.166843766049153</c:v>
                </c:pt>
                <c:pt idx="141" formatCode="0.00">
                  <c:v>1.197949616000698</c:v>
                </c:pt>
                <c:pt idx="142" formatCode="0.00">
                  <c:v>1.206691249233507</c:v>
                </c:pt>
                <c:pt idx="143" formatCode="0.00">
                  <c:v>1.212655521361568</c:v>
                </c:pt>
                <c:pt idx="144" formatCode="0.00">
                  <c:v>1.257210800084856</c:v>
                </c:pt>
                <c:pt idx="145" formatCode="0.00">
                  <c:v>1.270721134687752</c:v>
                </c:pt>
                <c:pt idx="146" formatCode="0.00">
                  <c:v>1.108581175923096</c:v>
                </c:pt>
                <c:pt idx="147" formatCode="0.00">
                  <c:v>0.954258120197921</c:v>
                </c:pt>
                <c:pt idx="148" formatCode="0.00">
                  <c:v>0.90044974382054</c:v>
                </c:pt>
                <c:pt idx="149" formatCode="0.00">
                  <c:v>1.114975648147504</c:v>
                </c:pt>
                <c:pt idx="150" formatCode="0.00">
                  <c:v>1.18465107252961</c:v>
                </c:pt>
                <c:pt idx="151" formatCode="0.00">
                  <c:v>1.002959878826371</c:v>
                </c:pt>
                <c:pt idx="152" formatCode="0.00">
                  <c:v>0.998250476454104</c:v>
                </c:pt>
                <c:pt idx="153" formatCode="0.00">
                  <c:v>1.049135940561547</c:v>
                </c:pt>
                <c:pt idx="154" formatCode="0.00">
                  <c:v>0.93987712046002</c:v>
                </c:pt>
                <c:pt idx="155" formatCode="0.00">
                  <c:v>0.963332231958449</c:v>
                </c:pt>
                <c:pt idx="156" formatCode="0.00">
                  <c:v>0.926387813601036</c:v>
                </c:pt>
                <c:pt idx="157" formatCode="0.00">
                  <c:v>0.797437444264004</c:v>
                </c:pt>
                <c:pt idx="158" formatCode="0.00">
                  <c:v>0.657577265208319</c:v>
                </c:pt>
                <c:pt idx="159" formatCode="0.00">
                  <c:v>0.822639226172843</c:v>
                </c:pt>
                <c:pt idx="160" formatCode="0.00">
                  <c:v>0.78647992490855</c:v>
                </c:pt>
                <c:pt idx="161" formatCode="0.00">
                  <c:v>0.865741738951105</c:v>
                </c:pt>
                <c:pt idx="162" formatCode="0.00">
                  <c:v>0.758735147400119</c:v>
                </c:pt>
                <c:pt idx="163" formatCode="0.00">
                  <c:v>0.651959651129513</c:v>
                </c:pt>
                <c:pt idx="164" formatCode="0.00">
                  <c:v>0.62257054802577</c:v>
                </c:pt>
                <c:pt idx="165" formatCode="0.00">
                  <c:v>0.633765067701264</c:v>
                </c:pt>
                <c:pt idx="166" formatCode="0.00">
                  <c:v>0.910541662318132</c:v>
                </c:pt>
                <c:pt idx="167" formatCode="0.00">
                  <c:v>0.860174829998901</c:v>
                </c:pt>
                <c:pt idx="168" formatCode="0.00">
                  <c:v>0.608632888812372</c:v>
                </c:pt>
                <c:pt idx="169" formatCode="0.00">
                  <c:v>0.553769709518608</c:v>
                </c:pt>
                <c:pt idx="170" formatCode="0.00">
                  <c:v>0.602492024870491</c:v>
                </c:pt>
                <c:pt idx="171" formatCode="0.00">
                  <c:v>0.606528038666842</c:v>
                </c:pt>
                <c:pt idx="172" formatCode="0.00">
                  <c:v>0.642406279252182</c:v>
                </c:pt>
                <c:pt idx="173" formatCode="0.00">
                  <c:v>0.690398924324732</c:v>
                </c:pt>
              </c:numCache>
            </c:numRef>
          </c:yVal>
          <c:smooth val="0"/>
        </c:ser>
        <c:dLbls>
          <c:showLegendKey val="0"/>
          <c:showVal val="0"/>
          <c:showCatName val="0"/>
          <c:showSerName val="0"/>
          <c:showPercent val="0"/>
          <c:showBubbleSize val="0"/>
        </c:dLbls>
        <c:axId val="753418800"/>
        <c:axId val="753423056"/>
      </c:scatterChart>
      <c:valAx>
        <c:axId val="753418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423056"/>
        <c:crossesAt val="0.0"/>
        <c:crossBetween val="midCat"/>
      </c:valAx>
      <c:valAx>
        <c:axId val="7534230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418800"/>
        <c:crosses val="autoZero"/>
        <c:crossBetween val="midCat"/>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'CPI2'!$Z$1:$Z$3</c:f>
              <c:strCache>
                <c:ptCount val="3"/>
                <c:pt idx="0">
                  <c:v>CPI</c:v>
                </c:pt>
                <c:pt idx="1">
                  <c:v>weights</c:v>
                </c:pt>
              </c:strCache>
            </c:strRef>
          </c:tx>
          <c:spPr>
            <a:ln w="19050">
              <a:solidFill>
                <a:sysClr val="windowText" lastClr="000000"/>
              </a:solidFill>
            </a:ln>
          </c:spPr>
          <c:marker>
            <c:symbol val="none"/>
          </c:marker>
          <c:cat>
            <c:numRef>
              <c:f>'CPI2'!$A$4:$A$151</c:f>
              <c:numCache>
                <c:formatCode>General</c:formatCode>
                <c:ptCount val="148"/>
                <c:pt idx="0">
                  <c:v>1653.0</c:v>
                </c:pt>
                <c:pt idx="1">
                  <c:v>1654.0</c:v>
                </c:pt>
                <c:pt idx="2">
                  <c:v>1655.0</c:v>
                </c:pt>
                <c:pt idx="3">
                  <c:v>1656.0</c:v>
                </c:pt>
                <c:pt idx="4">
                  <c:v>1657.0</c:v>
                </c:pt>
                <c:pt idx="5">
                  <c:v>1658.0</c:v>
                </c:pt>
                <c:pt idx="6">
                  <c:v>1659.0</c:v>
                </c:pt>
                <c:pt idx="7">
                  <c:v>1660.0</c:v>
                </c:pt>
                <c:pt idx="8">
                  <c:v>1661.0</c:v>
                </c:pt>
                <c:pt idx="9">
                  <c:v>1662.0</c:v>
                </c:pt>
                <c:pt idx="10">
                  <c:v>1663.0</c:v>
                </c:pt>
                <c:pt idx="11">
                  <c:v>1664.0</c:v>
                </c:pt>
                <c:pt idx="12">
                  <c:v>1665.0</c:v>
                </c:pt>
                <c:pt idx="13">
                  <c:v>1666.0</c:v>
                </c:pt>
                <c:pt idx="14">
                  <c:v>1667.0</c:v>
                </c:pt>
                <c:pt idx="15">
                  <c:v>1668.0</c:v>
                </c:pt>
                <c:pt idx="16">
                  <c:v>1669.0</c:v>
                </c:pt>
                <c:pt idx="17">
                  <c:v>1670.0</c:v>
                </c:pt>
                <c:pt idx="18">
                  <c:v>1671.0</c:v>
                </c:pt>
                <c:pt idx="19">
                  <c:v>1672.0</c:v>
                </c:pt>
                <c:pt idx="20">
                  <c:v>1673.0</c:v>
                </c:pt>
                <c:pt idx="21">
                  <c:v>1674.0</c:v>
                </c:pt>
                <c:pt idx="22">
                  <c:v>1675.0</c:v>
                </c:pt>
                <c:pt idx="23">
                  <c:v>1676.0</c:v>
                </c:pt>
                <c:pt idx="24">
                  <c:v>1677.0</c:v>
                </c:pt>
                <c:pt idx="25">
                  <c:v>1678.0</c:v>
                </c:pt>
                <c:pt idx="26">
                  <c:v>1679.0</c:v>
                </c:pt>
                <c:pt idx="27">
                  <c:v>1680.0</c:v>
                </c:pt>
                <c:pt idx="28">
                  <c:v>1681.0</c:v>
                </c:pt>
                <c:pt idx="29">
                  <c:v>1682.0</c:v>
                </c:pt>
                <c:pt idx="30">
                  <c:v>1683.0</c:v>
                </c:pt>
                <c:pt idx="31">
                  <c:v>1684.0</c:v>
                </c:pt>
                <c:pt idx="32">
                  <c:v>1685.0</c:v>
                </c:pt>
                <c:pt idx="33">
                  <c:v>1686.0</c:v>
                </c:pt>
                <c:pt idx="34">
                  <c:v>1687.0</c:v>
                </c:pt>
                <c:pt idx="35">
                  <c:v>1688.0</c:v>
                </c:pt>
                <c:pt idx="36">
                  <c:v>1689.0</c:v>
                </c:pt>
                <c:pt idx="37">
                  <c:v>1690.0</c:v>
                </c:pt>
                <c:pt idx="38">
                  <c:v>1691.0</c:v>
                </c:pt>
                <c:pt idx="39">
                  <c:v>1692.0</c:v>
                </c:pt>
                <c:pt idx="40">
                  <c:v>1693.0</c:v>
                </c:pt>
                <c:pt idx="41">
                  <c:v>1694.0</c:v>
                </c:pt>
                <c:pt idx="42">
                  <c:v>1695.0</c:v>
                </c:pt>
                <c:pt idx="43">
                  <c:v>1696.0</c:v>
                </c:pt>
                <c:pt idx="44">
                  <c:v>1697.0</c:v>
                </c:pt>
                <c:pt idx="45">
                  <c:v>1698.0</c:v>
                </c:pt>
                <c:pt idx="46">
                  <c:v>1699.0</c:v>
                </c:pt>
                <c:pt idx="47">
                  <c:v>1700.0</c:v>
                </c:pt>
                <c:pt idx="48">
                  <c:v>1701.0</c:v>
                </c:pt>
                <c:pt idx="49">
                  <c:v>1702.0</c:v>
                </c:pt>
                <c:pt idx="50">
                  <c:v>1703.0</c:v>
                </c:pt>
                <c:pt idx="51">
                  <c:v>1704.0</c:v>
                </c:pt>
                <c:pt idx="52">
                  <c:v>1705.0</c:v>
                </c:pt>
                <c:pt idx="53">
                  <c:v>1706.0</c:v>
                </c:pt>
                <c:pt idx="54">
                  <c:v>1707.0</c:v>
                </c:pt>
                <c:pt idx="55">
                  <c:v>1708.0</c:v>
                </c:pt>
                <c:pt idx="56">
                  <c:v>1709.0</c:v>
                </c:pt>
                <c:pt idx="57">
                  <c:v>1710.0</c:v>
                </c:pt>
                <c:pt idx="58">
                  <c:v>1711.0</c:v>
                </c:pt>
                <c:pt idx="59">
                  <c:v>1712.0</c:v>
                </c:pt>
                <c:pt idx="60">
                  <c:v>1713.0</c:v>
                </c:pt>
                <c:pt idx="61">
                  <c:v>1714.0</c:v>
                </c:pt>
                <c:pt idx="62">
                  <c:v>1715.0</c:v>
                </c:pt>
                <c:pt idx="63">
                  <c:v>1716.0</c:v>
                </c:pt>
                <c:pt idx="64">
                  <c:v>1717.0</c:v>
                </c:pt>
                <c:pt idx="65">
                  <c:v>1718.0</c:v>
                </c:pt>
                <c:pt idx="66">
                  <c:v>1719.0</c:v>
                </c:pt>
                <c:pt idx="67">
                  <c:v>1720.0</c:v>
                </c:pt>
                <c:pt idx="68">
                  <c:v>1721.0</c:v>
                </c:pt>
                <c:pt idx="69">
                  <c:v>1722.0</c:v>
                </c:pt>
                <c:pt idx="70">
                  <c:v>1723.0</c:v>
                </c:pt>
                <c:pt idx="71">
                  <c:v>1724.0</c:v>
                </c:pt>
                <c:pt idx="72">
                  <c:v>1725.0</c:v>
                </c:pt>
                <c:pt idx="73">
                  <c:v>1726.0</c:v>
                </c:pt>
                <c:pt idx="74">
                  <c:v>1727.0</c:v>
                </c:pt>
                <c:pt idx="75">
                  <c:v>1728.0</c:v>
                </c:pt>
                <c:pt idx="76">
                  <c:v>1729.0</c:v>
                </c:pt>
                <c:pt idx="77">
                  <c:v>1730.0</c:v>
                </c:pt>
                <c:pt idx="78">
                  <c:v>1731.0</c:v>
                </c:pt>
                <c:pt idx="79">
                  <c:v>1732.0</c:v>
                </c:pt>
                <c:pt idx="80">
                  <c:v>1733.0</c:v>
                </c:pt>
                <c:pt idx="81">
                  <c:v>1734.0</c:v>
                </c:pt>
                <c:pt idx="82">
                  <c:v>1735.0</c:v>
                </c:pt>
                <c:pt idx="83">
                  <c:v>1736.0</c:v>
                </c:pt>
                <c:pt idx="84">
                  <c:v>1737.0</c:v>
                </c:pt>
                <c:pt idx="85">
                  <c:v>1738.0</c:v>
                </c:pt>
                <c:pt idx="86">
                  <c:v>1739.0</c:v>
                </c:pt>
                <c:pt idx="87">
                  <c:v>1740.0</c:v>
                </c:pt>
                <c:pt idx="88">
                  <c:v>1741.0</c:v>
                </c:pt>
                <c:pt idx="89">
                  <c:v>1742.0</c:v>
                </c:pt>
                <c:pt idx="90">
                  <c:v>1743.0</c:v>
                </c:pt>
                <c:pt idx="91">
                  <c:v>1744.0</c:v>
                </c:pt>
                <c:pt idx="92">
                  <c:v>1745.0</c:v>
                </c:pt>
                <c:pt idx="93">
                  <c:v>1746.0</c:v>
                </c:pt>
                <c:pt idx="94">
                  <c:v>1747.0</c:v>
                </c:pt>
                <c:pt idx="95">
                  <c:v>1748.0</c:v>
                </c:pt>
                <c:pt idx="96">
                  <c:v>1749.0</c:v>
                </c:pt>
                <c:pt idx="97">
                  <c:v>1750.0</c:v>
                </c:pt>
                <c:pt idx="98">
                  <c:v>1751.0</c:v>
                </c:pt>
                <c:pt idx="99">
                  <c:v>1752.0</c:v>
                </c:pt>
                <c:pt idx="100">
                  <c:v>1753.0</c:v>
                </c:pt>
                <c:pt idx="101">
                  <c:v>1754.0</c:v>
                </c:pt>
                <c:pt idx="102">
                  <c:v>1755.0</c:v>
                </c:pt>
                <c:pt idx="103">
                  <c:v>1756.0</c:v>
                </c:pt>
                <c:pt idx="104">
                  <c:v>1757.0</c:v>
                </c:pt>
                <c:pt idx="105">
                  <c:v>1758.0</c:v>
                </c:pt>
                <c:pt idx="106">
                  <c:v>1759.0</c:v>
                </c:pt>
                <c:pt idx="107">
                  <c:v>1760.0</c:v>
                </c:pt>
                <c:pt idx="108">
                  <c:v>1761.0</c:v>
                </c:pt>
                <c:pt idx="109">
                  <c:v>1762.0</c:v>
                </c:pt>
                <c:pt idx="110">
                  <c:v>1763.0</c:v>
                </c:pt>
                <c:pt idx="111">
                  <c:v>1764.0</c:v>
                </c:pt>
                <c:pt idx="112">
                  <c:v>1765.0</c:v>
                </c:pt>
                <c:pt idx="113">
                  <c:v>1766.0</c:v>
                </c:pt>
                <c:pt idx="114">
                  <c:v>1767.0</c:v>
                </c:pt>
                <c:pt idx="115">
                  <c:v>1768.0</c:v>
                </c:pt>
                <c:pt idx="116">
                  <c:v>1769.0</c:v>
                </c:pt>
                <c:pt idx="117">
                  <c:v>1770.0</c:v>
                </c:pt>
                <c:pt idx="118">
                  <c:v>1771.0</c:v>
                </c:pt>
                <c:pt idx="119">
                  <c:v>1772.0</c:v>
                </c:pt>
                <c:pt idx="120">
                  <c:v>1773.0</c:v>
                </c:pt>
                <c:pt idx="121">
                  <c:v>1774.0</c:v>
                </c:pt>
                <c:pt idx="122">
                  <c:v>1775.0</c:v>
                </c:pt>
                <c:pt idx="123">
                  <c:v>1776.0</c:v>
                </c:pt>
                <c:pt idx="124">
                  <c:v>1777.0</c:v>
                </c:pt>
                <c:pt idx="125">
                  <c:v>1778.0</c:v>
                </c:pt>
                <c:pt idx="126">
                  <c:v>1779.0</c:v>
                </c:pt>
                <c:pt idx="127">
                  <c:v>1780.0</c:v>
                </c:pt>
                <c:pt idx="128">
                  <c:v>1781.0</c:v>
                </c:pt>
                <c:pt idx="129">
                  <c:v>1782.0</c:v>
                </c:pt>
                <c:pt idx="130">
                  <c:v>1783.0</c:v>
                </c:pt>
                <c:pt idx="131">
                  <c:v>1784.0</c:v>
                </c:pt>
                <c:pt idx="132">
                  <c:v>1785.0</c:v>
                </c:pt>
                <c:pt idx="133">
                  <c:v>1786.0</c:v>
                </c:pt>
                <c:pt idx="134">
                  <c:v>1787.0</c:v>
                </c:pt>
                <c:pt idx="135">
                  <c:v>1788.0</c:v>
                </c:pt>
                <c:pt idx="136">
                  <c:v>1789.0</c:v>
                </c:pt>
                <c:pt idx="137">
                  <c:v>1790.0</c:v>
                </c:pt>
                <c:pt idx="138">
                  <c:v>1791.0</c:v>
                </c:pt>
                <c:pt idx="139">
                  <c:v>1792.0</c:v>
                </c:pt>
                <c:pt idx="140">
                  <c:v>1793.0</c:v>
                </c:pt>
                <c:pt idx="141">
                  <c:v>1794.0</c:v>
                </c:pt>
                <c:pt idx="142">
                  <c:v>1795.0</c:v>
                </c:pt>
                <c:pt idx="143">
                  <c:v>1796.0</c:v>
                </c:pt>
                <c:pt idx="144">
                  <c:v>1797.0</c:v>
                </c:pt>
                <c:pt idx="145">
                  <c:v>1798.0</c:v>
                </c:pt>
                <c:pt idx="146">
                  <c:v>1799.0</c:v>
                </c:pt>
                <c:pt idx="147">
                  <c:v>1800.0</c:v>
                </c:pt>
              </c:numCache>
            </c:numRef>
          </c:cat>
          <c:val>
            <c:numRef>
              <c:f>'CPI2'!$Z$4:$Z$151</c:f>
              <c:numCache>
                <c:formatCode>General</c:formatCode>
                <c:ptCount val="148"/>
                <c:pt idx="0">
                  <c:v>31.30018677801947</c:v>
                </c:pt>
                <c:pt idx="1">
                  <c:v>31.71537811115508</c:v>
                </c:pt>
                <c:pt idx="2">
                  <c:v>32.13056944429071</c:v>
                </c:pt>
                <c:pt idx="3">
                  <c:v>32.1974435356335</c:v>
                </c:pt>
                <c:pt idx="4">
                  <c:v>33.47086146330979</c:v>
                </c:pt>
                <c:pt idx="5">
                  <c:v>33.93141570813864</c:v>
                </c:pt>
                <c:pt idx="6">
                  <c:v>32.02218719805924</c:v>
                </c:pt>
                <c:pt idx="7">
                  <c:v>31.13831436607559</c:v>
                </c:pt>
                <c:pt idx="8">
                  <c:v>29.67735934454218</c:v>
                </c:pt>
                <c:pt idx="9">
                  <c:v>29.55251486781361</c:v>
                </c:pt>
                <c:pt idx="10">
                  <c:v>29.2026141134446</c:v>
                </c:pt>
                <c:pt idx="11">
                  <c:v>30.78413168742937</c:v>
                </c:pt>
                <c:pt idx="12">
                  <c:v>32.12616403171992</c:v>
                </c:pt>
                <c:pt idx="13">
                  <c:v>30.92203346068542</c:v>
                </c:pt>
                <c:pt idx="14">
                  <c:v>29.46714812151954</c:v>
                </c:pt>
                <c:pt idx="15">
                  <c:v>32.8083239539823</c:v>
                </c:pt>
                <c:pt idx="16">
                  <c:v>38.80103002863963</c:v>
                </c:pt>
                <c:pt idx="17">
                  <c:v>40.2022366929353</c:v>
                </c:pt>
                <c:pt idx="18">
                  <c:v>37.96480435565356</c:v>
                </c:pt>
                <c:pt idx="19">
                  <c:v>38.67405990903226</c:v>
                </c:pt>
                <c:pt idx="20">
                  <c:v>36.44170642869511</c:v>
                </c:pt>
                <c:pt idx="21">
                  <c:v>36.32379844883317</c:v>
                </c:pt>
                <c:pt idx="22">
                  <c:v>33.94768897883434</c:v>
                </c:pt>
                <c:pt idx="23">
                  <c:v>31.57157950883549</c:v>
                </c:pt>
                <c:pt idx="24">
                  <c:v>31.50107218094178</c:v>
                </c:pt>
                <c:pt idx="25">
                  <c:v>34.41410957614057</c:v>
                </c:pt>
                <c:pt idx="26">
                  <c:v>37.02356249097639</c:v>
                </c:pt>
                <c:pt idx="27">
                  <c:v>39.63301540581222</c:v>
                </c:pt>
                <c:pt idx="28">
                  <c:v>42.24246832064804</c:v>
                </c:pt>
                <c:pt idx="29">
                  <c:v>37.89693971258544</c:v>
                </c:pt>
                <c:pt idx="30">
                  <c:v>40.31483594678594</c:v>
                </c:pt>
                <c:pt idx="31">
                  <c:v>38.435718669451</c:v>
                </c:pt>
                <c:pt idx="32">
                  <c:v>37.26608476119231</c:v>
                </c:pt>
                <c:pt idx="33">
                  <c:v>36.38080158954289</c:v>
                </c:pt>
                <c:pt idx="34">
                  <c:v>35.93116626105366</c:v>
                </c:pt>
                <c:pt idx="35">
                  <c:v>35.353836134262</c:v>
                </c:pt>
                <c:pt idx="36">
                  <c:v>39.33119335603224</c:v>
                </c:pt>
                <c:pt idx="37">
                  <c:v>29.69316349432719</c:v>
                </c:pt>
                <c:pt idx="38">
                  <c:v>33.06453765371977</c:v>
                </c:pt>
                <c:pt idx="39">
                  <c:v>32.50878799461568</c:v>
                </c:pt>
                <c:pt idx="40">
                  <c:v>31.83374293813203</c:v>
                </c:pt>
                <c:pt idx="41">
                  <c:v>32.50996776221566</c:v>
                </c:pt>
                <c:pt idx="42">
                  <c:v>31.94235224330026</c:v>
                </c:pt>
                <c:pt idx="43">
                  <c:v>34.003589911252</c:v>
                </c:pt>
                <c:pt idx="44">
                  <c:v>34.05927103344716</c:v>
                </c:pt>
                <c:pt idx="45">
                  <c:v>34.57376759906542</c:v>
                </c:pt>
                <c:pt idx="46">
                  <c:v>33.80782690049154</c:v>
                </c:pt>
                <c:pt idx="47">
                  <c:v>28.45984152631876</c:v>
                </c:pt>
                <c:pt idx="48">
                  <c:v>32.00859091297441</c:v>
                </c:pt>
                <c:pt idx="49">
                  <c:v>30.109732924459</c:v>
                </c:pt>
                <c:pt idx="50">
                  <c:v>30.44719292675647</c:v>
                </c:pt>
                <c:pt idx="51">
                  <c:v>29.94512083168435</c:v>
                </c:pt>
                <c:pt idx="52">
                  <c:v>35.02935220540111</c:v>
                </c:pt>
                <c:pt idx="53">
                  <c:v>29.11780007348294</c:v>
                </c:pt>
                <c:pt idx="54">
                  <c:v>25.42323120835495</c:v>
                </c:pt>
                <c:pt idx="55">
                  <c:v>33.1289003948704</c:v>
                </c:pt>
                <c:pt idx="56">
                  <c:v>20.80736696212752</c:v>
                </c:pt>
                <c:pt idx="57">
                  <c:v>33.2611073831994</c:v>
                </c:pt>
                <c:pt idx="58">
                  <c:v>30.26938962403426</c:v>
                </c:pt>
                <c:pt idx="59">
                  <c:v>27.31419583452852</c:v>
                </c:pt>
                <c:pt idx="60">
                  <c:v>23.6410970379979</c:v>
                </c:pt>
                <c:pt idx="61">
                  <c:v>33.38357938999776</c:v>
                </c:pt>
                <c:pt idx="62">
                  <c:v>25.48825649292608</c:v>
                </c:pt>
                <c:pt idx="63">
                  <c:v>24.67064173583232</c:v>
                </c:pt>
                <c:pt idx="64">
                  <c:v>29.98871345095408</c:v>
                </c:pt>
                <c:pt idx="65">
                  <c:v>30.23634165957735</c:v>
                </c:pt>
                <c:pt idx="66">
                  <c:v>30.9383792250585</c:v>
                </c:pt>
                <c:pt idx="67">
                  <c:v>32.22582236190667</c:v>
                </c:pt>
                <c:pt idx="68">
                  <c:v>32.13616408563171</c:v>
                </c:pt>
                <c:pt idx="69">
                  <c:v>30.50974840760166</c:v>
                </c:pt>
                <c:pt idx="70">
                  <c:v>27.45623874843904</c:v>
                </c:pt>
                <c:pt idx="71">
                  <c:v>29.95824171710768</c:v>
                </c:pt>
                <c:pt idx="72">
                  <c:v>29.47528726276737</c:v>
                </c:pt>
                <c:pt idx="73">
                  <c:v>37.57128781334203</c:v>
                </c:pt>
                <c:pt idx="74">
                  <c:v>33.4452370107378</c:v>
                </c:pt>
                <c:pt idx="75">
                  <c:v>28.89196324067224</c:v>
                </c:pt>
                <c:pt idx="76">
                  <c:v>26.74559156279341</c:v>
                </c:pt>
                <c:pt idx="77">
                  <c:v>28.83395201503418</c:v>
                </c:pt>
                <c:pt idx="78">
                  <c:v>28.78193870617109</c:v>
                </c:pt>
                <c:pt idx="79">
                  <c:v>28.78120662327676</c:v>
                </c:pt>
                <c:pt idx="80">
                  <c:v>28.78193870617109</c:v>
                </c:pt>
                <c:pt idx="81">
                  <c:v>26.95809677056491</c:v>
                </c:pt>
                <c:pt idx="82">
                  <c:v>28.78187508132845</c:v>
                </c:pt>
                <c:pt idx="83">
                  <c:v>25.77172910724449</c:v>
                </c:pt>
                <c:pt idx="84">
                  <c:v>28.78698242096994</c:v>
                </c:pt>
                <c:pt idx="85">
                  <c:v>22.96856673504784</c:v>
                </c:pt>
                <c:pt idx="86">
                  <c:v>29.4658075618787</c:v>
                </c:pt>
                <c:pt idx="87">
                  <c:v>28.52973525643727</c:v>
                </c:pt>
                <c:pt idx="88">
                  <c:v>19.39910713531943</c:v>
                </c:pt>
                <c:pt idx="89">
                  <c:v>28.78187804925113</c:v>
                </c:pt>
                <c:pt idx="90">
                  <c:v>24.87752285559844</c:v>
                </c:pt>
                <c:pt idx="91">
                  <c:v>20.28756847067077</c:v>
                </c:pt>
                <c:pt idx="92">
                  <c:v>18.89808653458173</c:v>
                </c:pt>
                <c:pt idx="93">
                  <c:v>22.75607061542324</c:v>
                </c:pt>
                <c:pt idx="94">
                  <c:v>21.75205049212685</c:v>
                </c:pt>
                <c:pt idx="95">
                  <c:v>19.81039732824184</c:v>
                </c:pt>
                <c:pt idx="96">
                  <c:v>26.97792894002205</c:v>
                </c:pt>
                <c:pt idx="97">
                  <c:v>22.99362078119634</c:v>
                </c:pt>
                <c:pt idx="98">
                  <c:v>26.72554548718037</c:v>
                </c:pt>
                <c:pt idx="99">
                  <c:v>22.85734811870222</c:v>
                </c:pt>
                <c:pt idx="100">
                  <c:v>22.3932650511806</c:v>
                </c:pt>
                <c:pt idx="101">
                  <c:v>25.5255054033595</c:v>
                </c:pt>
                <c:pt idx="102">
                  <c:v>24.81004525531018</c:v>
                </c:pt>
                <c:pt idx="103">
                  <c:v>25.01218136445796</c:v>
                </c:pt>
                <c:pt idx="104">
                  <c:v>24.64114157329712</c:v>
                </c:pt>
                <c:pt idx="105">
                  <c:v>24.49686920001677</c:v>
                </c:pt>
                <c:pt idx="106">
                  <c:v>24.21162840331505</c:v>
                </c:pt>
                <c:pt idx="107">
                  <c:v>24.84168682834987</c:v>
                </c:pt>
                <c:pt idx="108">
                  <c:v>26.04743060280995</c:v>
                </c:pt>
                <c:pt idx="109">
                  <c:v>21.26569251955775</c:v>
                </c:pt>
                <c:pt idx="110">
                  <c:v>24.94902389593877</c:v>
                </c:pt>
                <c:pt idx="111">
                  <c:v>26.27482632062148</c:v>
                </c:pt>
                <c:pt idx="112">
                  <c:v>25.75195383698328</c:v>
                </c:pt>
                <c:pt idx="113">
                  <c:v>21.17644608452948</c:v>
                </c:pt>
                <c:pt idx="114">
                  <c:v>24.53637475988645</c:v>
                </c:pt>
                <c:pt idx="115">
                  <c:v>24.4380797899863</c:v>
                </c:pt>
                <c:pt idx="116">
                  <c:v>28.1534476127711</c:v>
                </c:pt>
                <c:pt idx="117">
                  <c:v>26.68012661446678</c:v>
                </c:pt>
                <c:pt idx="118">
                  <c:v>20.59359443440585</c:v>
                </c:pt>
                <c:pt idx="119">
                  <c:v>28.0464117359748</c:v>
                </c:pt>
                <c:pt idx="120">
                  <c:v>24.83657846004501</c:v>
                </c:pt>
                <c:pt idx="121">
                  <c:v>27.8851326226176</c:v>
                </c:pt>
                <c:pt idx="122">
                  <c:v>24.95272496769367</c:v>
                </c:pt>
                <c:pt idx="123">
                  <c:v>24.25147815217898</c:v>
                </c:pt>
                <c:pt idx="124">
                  <c:v>24.42852487672993</c:v>
                </c:pt>
                <c:pt idx="125">
                  <c:v>24.994426696859</c:v>
                </c:pt>
                <c:pt idx="126">
                  <c:v>24.03845891067718</c:v>
                </c:pt>
                <c:pt idx="127">
                  <c:v>22.82745478888346</c:v>
                </c:pt>
                <c:pt idx="128">
                  <c:v>22.55780042701313</c:v>
                </c:pt>
                <c:pt idx="129">
                  <c:v>24.65281520009005</c:v>
                </c:pt>
                <c:pt idx="130">
                  <c:v>25.58861006177084</c:v>
                </c:pt>
                <c:pt idx="131">
                  <c:v>25.39654682178796</c:v>
                </c:pt>
                <c:pt idx="132">
                  <c:v>29.76307877570314</c:v>
                </c:pt>
                <c:pt idx="133">
                  <c:v>34.76366246882067</c:v>
                </c:pt>
                <c:pt idx="134">
                  <c:v>52.81217658434697</c:v>
                </c:pt>
                <c:pt idx="135">
                  <c:v>26.46020630409667</c:v>
                </c:pt>
                <c:pt idx="136">
                  <c:v>45.91079954310828</c:v>
                </c:pt>
                <c:pt idx="137">
                  <c:v>26.94001323779889</c:v>
                </c:pt>
                <c:pt idx="138">
                  <c:v>26.9413790841787</c:v>
                </c:pt>
                <c:pt idx="139">
                  <c:v>26.71947143285374</c:v>
                </c:pt>
                <c:pt idx="140">
                  <c:v>31.18300209292051</c:v>
                </c:pt>
                <c:pt idx="141">
                  <c:v>29.4898255638721</c:v>
                </c:pt>
                <c:pt idx="142">
                  <c:v>28.5970544191617</c:v>
                </c:pt>
                <c:pt idx="143">
                  <c:v>30.9185535919427</c:v>
                </c:pt>
                <c:pt idx="144">
                  <c:v>32.65482548475351</c:v>
                </c:pt>
                <c:pt idx="145">
                  <c:v>48.02717827383942</c:v>
                </c:pt>
                <c:pt idx="146">
                  <c:v>44.69277006069406</c:v>
                </c:pt>
                <c:pt idx="147">
                  <c:v>45.08749653567493</c:v>
                </c:pt>
              </c:numCache>
            </c:numRef>
          </c:val>
          <c:smooth val="1"/>
          <c:extLst xmlns:c16r2="http://schemas.microsoft.com/office/drawing/2015/06/chart">
            <c:ext xmlns:c16="http://schemas.microsoft.com/office/drawing/2014/chart" uri="{C3380CC4-5D6E-409C-BE32-E72D297353CC}">
              <c16:uniqueId val="{00000000-5478-42BC-BC23-0833ED041787}"/>
            </c:ext>
          </c:extLst>
        </c:ser>
        <c:ser>
          <c:idx val="1"/>
          <c:order val="1"/>
          <c:tx>
            <c:strRef>
              <c:f>'CPI2'!$AA$1:$AA$3</c:f>
              <c:strCache>
                <c:ptCount val="3"/>
                <c:pt idx="0">
                  <c:v>CPI</c:v>
                </c:pt>
                <c:pt idx="1">
                  <c:v>interpolated</c:v>
                </c:pt>
              </c:strCache>
            </c:strRef>
          </c:tx>
          <c:spPr>
            <a:ln w="19050">
              <a:solidFill>
                <a:sysClr val="window" lastClr="FFFFFF">
                  <a:lumMod val="75000"/>
                </a:sysClr>
              </a:solidFill>
            </a:ln>
          </c:spPr>
          <c:marker>
            <c:symbol val="none"/>
          </c:marker>
          <c:cat>
            <c:numRef>
              <c:f>'CPI2'!$A$4:$A$151</c:f>
              <c:numCache>
                <c:formatCode>General</c:formatCode>
                <c:ptCount val="148"/>
                <c:pt idx="0">
                  <c:v>1653.0</c:v>
                </c:pt>
                <c:pt idx="1">
                  <c:v>1654.0</c:v>
                </c:pt>
                <c:pt idx="2">
                  <c:v>1655.0</c:v>
                </c:pt>
                <c:pt idx="3">
                  <c:v>1656.0</c:v>
                </c:pt>
                <c:pt idx="4">
                  <c:v>1657.0</c:v>
                </c:pt>
                <c:pt idx="5">
                  <c:v>1658.0</c:v>
                </c:pt>
                <c:pt idx="6">
                  <c:v>1659.0</c:v>
                </c:pt>
                <c:pt idx="7">
                  <c:v>1660.0</c:v>
                </c:pt>
                <c:pt idx="8">
                  <c:v>1661.0</c:v>
                </c:pt>
                <c:pt idx="9">
                  <c:v>1662.0</c:v>
                </c:pt>
                <c:pt idx="10">
                  <c:v>1663.0</c:v>
                </c:pt>
                <c:pt idx="11">
                  <c:v>1664.0</c:v>
                </c:pt>
                <c:pt idx="12">
                  <c:v>1665.0</c:v>
                </c:pt>
                <c:pt idx="13">
                  <c:v>1666.0</c:v>
                </c:pt>
                <c:pt idx="14">
                  <c:v>1667.0</c:v>
                </c:pt>
                <c:pt idx="15">
                  <c:v>1668.0</c:v>
                </c:pt>
                <c:pt idx="16">
                  <c:v>1669.0</c:v>
                </c:pt>
                <c:pt idx="17">
                  <c:v>1670.0</c:v>
                </c:pt>
                <c:pt idx="18">
                  <c:v>1671.0</c:v>
                </c:pt>
                <c:pt idx="19">
                  <c:v>1672.0</c:v>
                </c:pt>
                <c:pt idx="20">
                  <c:v>1673.0</c:v>
                </c:pt>
                <c:pt idx="21">
                  <c:v>1674.0</c:v>
                </c:pt>
                <c:pt idx="22">
                  <c:v>1675.0</c:v>
                </c:pt>
                <c:pt idx="23">
                  <c:v>1676.0</c:v>
                </c:pt>
                <c:pt idx="24">
                  <c:v>1677.0</c:v>
                </c:pt>
                <c:pt idx="25">
                  <c:v>1678.0</c:v>
                </c:pt>
                <c:pt idx="26">
                  <c:v>1679.0</c:v>
                </c:pt>
                <c:pt idx="27">
                  <c:v>1680.0</c:v>
                </c:pt>
                <c:pt idx="28">
                  <c:v>1681.0</c:v>
                </c:pt>
                <c:pt idx="29">
                  <c:v>1682.0</c:v>
                </c:pt>
                <c:pt idx="30">
                  <c:v>1683.0</c:v>
                </c:pt>
                <c:pt idx="31">
                  <c:v>1684.0</c:v>
                </c:pt>
                <c:pt idx="32">
                  <c:v>1685.0</c:v>
                </c:pt>
                <c:pt idx="33">
                  <c:v>1686.0</c:v>
                </c:pt>
                <c:pt idx="34">
                  <c:v>1687.0</c:v>
                </c:pt>
                <c:pt idx="35">
                  <c:v>1688.0</c:v>
                </c:pt>
                <c:pt idx="36">
                  <c:v>1689.0</c:v>
                </c:pt>
                <c:pt idx="37">
                  <c:v>1690.0</c:v>
                </c:pt>
                <c:pt idx="38">
                  <c:v>1691.0</c:v>
                </c:pt>
                <c:pt idx="39">
                  <c:v>1692.0</c:v>
                </c:pt>
                <c:pt idx="40">
                  <c:v>1693.0</c:v>
                </c:pt>
                <c:pt idx="41">
                  <c:v>1694.0</c:v>
                </c:pt>
                <c:pt idx="42">
                  <c:v>1695.0</c:v>
                </c:pt>
                <c:pt idx="43">
                  <c:v>1696.0</c:v>
                </c:pt>
                <c:pt idx="44">
                  <c:v>1697.0</c:v>
                </c:pt>
                <c:pt idx="45">
                  <c:v>1698.0</c:v>
                </c:pt>
                <c:pt idx="46">
                  <c:v>1699.0</c:v>
                </c:pt>
                <c:pt idx="47">
                  <c:v>1700.0</c:v>
                </c:pt>
                <c:pt idx="48">
                  <c:v>1701.0</c:v>
                </c:pt>
                <c:pt idx="49">
                  <c:v>1702.0</c:v>
                </c:pt>
                <c:pt idx="50">
                  <c:v>1703.0</c:v>
                </c:pt>
                <c:pt idx="51">
                  <c:v>1704.0</c:v>
                </c:pt>
                <c:pt idx="52">
                  <c:v>1705.0</c:v>
                </c:pt>
                <c:pt idx="53">
                  <c:v>1706.0</c:v>
                </c:pt>
                <c:pt idx="54">
                  <c:v>1707.0</c:v>
                </c:pt>
                <c:pt idx="55">
                  <c:v>1708.0</c:v>
                </c:pt>
                <c:pt idx="56">
                  <c:v>1709.0</c:v>
                </c:pt>
                <c:pt idx="57">
                  <c:v>1710.0</c:v>
                </c:pt>
                <c:pt idx="58">
                  <c:v>1711.0</c:v>
                </c:pt>
                <c:pt idx="59">
                  <c:v>1712.0</c:v>
                </c:pt>
                <c:pt idx="60">
                  <c:v>1713.0</c:v>
                </c:pt>
                <c:pt idx="61">
                  <c:v>1714.0</c:v>
                </c:pt>
                <c:pt idx="62">
                  <c:v>1715.0</c:v>
                </c:pt>
                <c:pt idx="63">
                  <c:v>1716.0</c:v>
                </c:pt>
                <c:pt idx="64">
                  <c:v>1717.0</c:v>
                </c:pt>
                <c:pt idx="65">
                  <c:v>1718.0</c:v>
                </c:pt>
                <c:pt idx="66">
                  <c:v>1719.0</c:v>
                </c:pt>
                <c:pt idx="67">
                  <c:v>1720.0</c:v>
                </c:pt>
                <c:pt idx="68">
                  <c:v>1721.0</c:v>
                </c:pt>
                <c:pt idx="69">
                  <c:v>1722.0</c:v>
                </c:pt>
                <c:pt idx="70">
                  <c:v>1723.0</c:v>
                </c:pt>
                <c:pt idx="71">
                  <c:v>1724.0</c:v>
                </c:pt>
                <c:pt idx="72">
                  <c:v>1725.0</c:v>
                </c:pt>
                <c:pt idx="73">
                  <c:v>1726.0</c:v>
                </c:pt>
                <c:pt idx="74">
                  <c:v>1727.0</c:v>
                </c:pt>
                <c:pt idx="75">
                  <c:v>1728.0</c:v>
                </c:pt>
                <c:pt idx="76">
                  <c:v>1729.0</c:v>
                </c:pt>
                <c:pt idx="77">
                  <c:v>1730.0</c:v>
                </c:pt>
                <c:pt idx="78">
                  <c:v>1731.0</c:v>
                </c:pt>
                <c:pt idx="79">
                  <c:v>1732.0</c:v>
                </c:pt>
                <c:pt idx="80">
                  <c:v>1733.0</c:v>
                </c:pt>
                <c:pt idx="81">
                  <c:v>1734.0</c:v>
                </c:pt>
                <c:pt idx="82">
                  <c:v>1735.0</c:v>
                </c:pt>
                <c:pt idx="83">
                  <c:v>1736.0</c:v>
                </c:pt>
                <c:pt idx="84">
                  <c:v>1737.0</c:v>
                </c:pt>
                <c:pt idx="85">
                  <c:v>1738.0</c:v>
                </c:pt>
                <c:pt idx="86">
                  <c:v>1739.0</c:v>
                </c:pt>
                <c:pt idx="87">
                  <c:v>1740.0</c:v>
                </c:pt>
                <c:pt idx="88">
                  <c:v>1741.0</c:v>
                </c:pt>
                <c:pt idx="89">
                  <c:v>1742.0</c:v>
                </c:pt>
                <c:pt idx="90">
                  <c:v>1743.0</c:v>
                </c:pt>
                <c:pt idx="91">
                  <c:v>1744.0</c:v>
                </c:pt>
                <c:pt idx="92">
                  <c:v>1745.0</c:v>
                </c:pt>
                <c:pt idx="93">
                  <c:v>1746.0</c:v>
                </c:pt>
                <c:pt idx="94">
                  <c:v>1747.0</c:v>
                </c:pt>
                <c:pt idx="95">
                  <c:v>1748.0</c:v>
                </c:pt>
                <c:pt idx="96">
                  <c:v>1749.0</c:v>
                </c:pt>
                <c:pt idx="97">
                  <c:v>1750.0</c:v>
                </c:pt>
                <c:pt idx="98">
                  <c:v>1751.0</c:v>
                </c:pt>
                <c:pt idx="99">
                  <c:v>1752.0</c:v>
                </c:pt>
                <c:pt idx="100">
                  <c:v>1753.0</c:v>
                </c:pt>
                <c:pt idx="101">
                  <c:v>1754.0</c:v>
                </c:pt>
                <c:pt idx="102">
                  <c:v>1755.0</c:v>
                </c:pt>
                <c:pt idx="103">
                  <c:v>1756.0</c:v>
                </c:pt>
                <c:pt idx="104">
                  <c:v>1757.0</c:v>
                </c:pt>
                <c:pt idx="105">
                  <c:v>1758.0</c:v>
                </c:pt>
                <c:pt idx="106">
                  <c:v>1759.0</c:v>
                </c:pt>
                <c:pt idx="107">
                  <c:v>1760.0</c:v>
                </c:pt>
                <c:pt idx="108">
                  <c:v>1761.0</c:v>
                </c:pt>
                <c:pt idx="109">
                  <c:v>1762.0</c:v>
                </c:pt>
                <c:pt idx="110">
                  <c:v>1763.0</c:v>
                </c:pt>
                <c:pt idx="111">
                  <c:v>1764.0</c:v>
                </c:pt>
                <c:pt idx="112">
                  <c:v>1765.0</c:v>
                </c:pt>
                <c:pt idx="113">
                  <c:v>1766.0</c:v>
                </c:pt>
                <c:pt idx="114">
                  <c:v>1767.0</c:v>
                </c:pt>
                <c:pt idx="115">
                  <c:v>1768.0</c:v>
                </c:pt>
                <c:pt idx="116">
                  <c:v>1769.0</c:v>
                </c:pt>
                <c:pt idx="117">
                  <c:v>1770.0</c:v>
                </c:pt>
                <c:pt idx="118">
                  <c:v>1771.0</c:v>
                </c:pt>
                <c:pt idx="119">
                  <c:v>1772.0</c:v>
                </c:pt>
                <c:pt idx="120">
                  <c:v>1773.0</c:v>
                </c:pt>
                <c:pt idx="121">
                  <c:v>1774.0</c:v>
                </c:pt>
                <c:pt idx="122">
                  <c:v>1775.0</c:v>
                </c:pt>
                <c:pt idx="123">
                  <c:v>1776.0</c:v>
                </c:pt>
                <c:pt idx="124">
                  <c:v>1777.0</c:v>
                </c:pt>
                <c:pt idx="125">
                  <c:v>1778.0</c:v>
                </c:pt>
                <c:pt idx="126">
                  <c:v>1779.0</c:v>
                </c:pt>
                <c:pt idx="127">
                  <c:v>1780.0</c:v>
                </c:pt>
                <c:pt idx="128">
                  <c:v>1781.0</c:v>
                </c:pt>
                <c:pt idx="129">
                  <c:v>1782.0</c:v>
                </c:pt>
                <c:pt idx="130">
                  <c:v>1783.0</c:v>
                </c:pt>
                <c:pt idx="131">
                  <c:v>1784.0</c:v>
                </c:pt>
                <c:pt idx="132">
                  <c:v>1785.0</c:v>
                </c:pt>
                <c:pt idx="133">
                  <c:v>1786.0</c:v>
                </c:pt>
                <c:pt idx="134">
                  <c:v>1787.0</c:v>
                </c:pt>
                <c:pt idx="135">
                  <c:v>1788.0</c:v>
                </c:pt>
                <c:pt idx="136">
                  <c:v>1789.0</c:v>
                </c:pt>
                <c:pt idx="137">
                  <c:v>1790.0</c:v>
                </c:pt>
                <c:pt idx="138">
                  <c:v>1791.0</c:v>
                </c:pt>
                <c:pt idx="139">
                  <c:v>1792.0</c:v>
                </c:pt>
                <c:pt idx="140">
                  <c:v>1793.0</c:v>
                </c:pt>
                <c:pt idx="141">
                  <c:v>1794.0</c:v>
                </c:pt>
                <c:pt idx="142">
                  <c:v>1795.0</c:v>
                </c:pt>
                <c:pt idx="143">
                  <c:v>1796.0</c:v>
                </c:pt>
                <c:pt idx="144">
                  <c:v>1797.0</c:v>
                </c:pt>
                <c:pt idx="145">
                  <c:v>1798.0</c:v>
                </c:pt>
                <c:pt idx="146">
                  <c:v>1799.0</c:v>
                </c:pt>
                <c:pt idx="147">
                  <c:v>1800.0</c:v>
                </c:pt>
              </c:numCache>
            </c:numRef>
          </c:cat>
          <c:val>
            <c:numRef>
              <c:f>'CPI2'!$AA$4:$AA$151</c:f>
              <c:numCache>
                <c:formatCode>General</c:formatCode>
                <c:ptCount val="148"/>
                <c:pt idx="0">
                  <c:v>31.13577485652626</c:v>
                </c:pt>
                <c:pt idx="1">
                  <c:v>31.52171148815838</c:v>
                </c:pt>
                <c:pt idx="2">
                  <c:v>31.90764811979051</c:v>
                </c:pt>
                <c:pt idx="3">
                  <c:v>31.96981021108799</c:v>
                </c:pt>
                <c:pt idx="4">
                  <c:v>33.15350212959636</c:v>
                </c:pt>
                <c:pt idx="5">
                  <c:v>33.58160536718265</c:v>
                </c:pt>
                <c:pt idx="6">
                  <c:v>31.80690257020644</c:v>
                </c:pt>
                <c:pt idx="7">
                  <c:v>30.98530809955428</c:v>
                </c:pt>
                <c:pt idx="8">
                  <c:v>29.62729309543937</c:v>
                </c:pt>
                <c:pt idx="9">
                  <c:v>29.51124525681369</c:v>
                </c:pt>
                <c:pt idx="10">
                  <c:v>29.18599877942008</c:v>
                </c:pt>
                <c:pt idx="11">
                  <c:v>30.65608140557</c:v>
                </c:pt>
                <c:pt idx="12">
                  <c:v>32.12616403171992</c:v>
                </c:pt>
                <c:pt idx="13">
                  <c:v>30.92203346068542</c:v>
                </c:pt>
                <c:pt idx="14">
                  <c:v>30.58904608438031</c:v>
                </c:pt>
                <c:pt idx="15">
                  <c:v>33.58456535010977</c:v>
                </c:pt>
                <c:pt idx="16">
                  <c:v>38.7505046106236</c:v>
                </c:pt>
                <c:pt idx="17">
                  <c:v>39.99007698067761</c:v>
                </c:pt>
                <c:pt idx="18">
                  <c:v>38.11211768587918</c:v>
                </c:pt>
                <c:pt idx="19">
                  <c:v>38.75883665720958</c:v>
                </c:pt>
                <c:pt idx="20">
                  <c:v>36.885228851344</c:v>
                </c:pt>
                <c:pt idx="21">
                  <c:v>36.99644118294189</c:v>
                </c:pt>
                <c:pt idx="22">
                  <c:v>35.18008620166487</c:v>
                </c:pt>
                <c:pt idx="23">
                  <c:v>33.36373122038784</c:v>
                </c:pt>
                <c:pt idx="24">
                  <c:v>33.34145121327101</c:v>
                </c:pt>
                <c:pt idx="25">
                  <c:v>34.04639980732935</c:v>
                </c:pt>
                <c:pt idx="26">
                  <c:v>35.99658295223974</c:v>
                </c:pt>
                <c:pt idx="27">
                  <c:v>37.94676609715016</c:v>
                </c:pt>
                <c:pt idx="28">
                  <c:v>39.89694924206054</c:v>
                </c:pt>
                <c:pt idx="29">
                  <c:v>37.81344276270561</c:v>
                </c:pt>
                <c:pt idx="30">
                  <c:v>39.88843388961455</c:v>
                </c:pt>
                <c:pt idx="31">
                  <c:v>38.3384902058726</c:v>
                </c:pt>
                <c:pt idx="32">
                  <c:v>38.163540568013</c:v>
                </c:pt>
                <c:pt idx="33">
                  <c:v>37.41686878666495</c:v>
                </c:pt>
                <c:pt idx="34">
                  <c:v>36.97850889496221</c:v>
                </c:pt>
                <c:pt idx="35">
                  <c:v>36.54014900325947</c:v>
                </c:pt>
                <c:pt idx="36">
                  <c:v>40.0041773469626</c:v>
                </c:pt>
                <c:pt idx="37">
                  <c:v>31.99076235841634</c:v>
                </c:pt>
                <c:pt idx="38">
                  <c:v>34.82042990530322</c:v>
                </c:pt>
                <c:pt idx="39">
                  <c:v>34.40392250527893</c:v>
                </c:pt>
                <c:pt idx="40">
                  <c:v>33.88880509239198</c:v>
                </c:pt>
                <c:pt idx="41">
                  <c:v>34.49065231712428</c:v>
                </c:pt>
                <c:pt idx="42">
                  <c:v>34.0643365538746</c:v>
                </c:pt>
                <c:pt idx="43">
                  <c:v>34.13083635290873</c:v>
                </c:pt>
                <c:pt idx="44">
                  <c:v>34.05927103344716</c:v>
                </c:pt>
                <c:pt idx="45">
                  <c:v>34.57376759906542</c:v>
                </c:pt>
                <c:pt idx="46">
                  <c:v>33.80782690049154</c:v>
                </c:pt>
                <c:pt idx="47">
                  <c:v>28.76084678129149</c:v>
                </c:pt>
                <c:pt idx="48">
                  <c:v>32.26071727887838</c:v>
                </c:pt>
                <c:pt idx="49">
                  <c:v>30.47739697745798</c:v>
                </c:pt>
                <c:pt idx="50">
                  <c:v>30.86289939379927</c:v>
                </c:pt>
                <c:pt idx="51">
                  <c:v>30.43420799130738</c:v>
                </c:pt>
                <c:pt idx="52">
                  <c:v>35.42321743511427</c:v>
                </c:pt>
                <c:pt idx="53">
                  <c:v>29.74831183437887</c:v>
                </c:pt>
                <c:pt idx="54">
                  <c:v>26.22347777698613</c:v>
                </c:pt>
                <c:pt idx="55">
                  <c:v>33.1289003948704</c:v>
                </c:pt>
                <c:pt idx="56">
                  <c:v>21.36434928045614</c:v>
                </c:pt>
                <c:pt idx="57">
                  <c:v>33.02221421615024</c:v>
                </c:pt>
                <c:pt idx="58">
                  <c:v>30.40216538209883</c:v>
                </c:pt>
                <c:pt idx="59">
                  <c:v>27.81587961828076</c:v>
                </c:pt>
                <c:pt idx="60">
                  <c:v>24.56595632001356</c:v>
                </c:pt>
                <c:pt idx="61">
                  <c:v>33.74420169407794</c:v>
                </c:pt>
                <c:pt idx="62">
                  <c:v>26.29630420958514</c:v>
                </c:pt>
                <c:pt idx="63">
                  <c:v>24.67064173583232</c:v>
                </c:pt>
                <c:pt idx="64">
                  <c:v>29.98871345095408</c:v>
                </c:pt>
                <c:pt idx="65">
                  <c:v>29.86252946791675</c:v>
                </c:pt>
                <c:pt idx="66">
                  <c:v>30.72472009342199</c:v>
                </c:pt>
                <c:pt idx="67">
                  <c:v>32.02891968301988</c:v>
                </c:pt>
                <c:pt idx="68">
                  <c:v>31.32500679302888</c:v>
                </c:pt>
                <c:pt idx="69">
                  <c:v>30.1381078814996</c:v>
                </c:pt>
                <c:pt idx="70">
                  <c:v>28.22328737458609</c:v>
                </c:pt>
                <c:pt idx="71">
                  <c:v>30.17064898737578</c:v>
                </c:pt>
                <c:pt idx="72">
                  <c:v>29.7824418393014</c:v>
                </c:pt>
                <c:pt idx="73">
                  <c:v>35.99153834196346</c:v>
                </c:pt>
                <c:pt idx="74">
                  <c:v>33.02188245773011</c:v>
                </c:pt>
                <c:pt idx="75">
                  <c:v>29.73542858110437</c:v>
                </c:pt>
                <c:pt idx="76">
                  <c:v>27.26883817518685</c:v>
                </c:pt>
                <c:pt idx="77">
                  <c:v>29.77326114334074</c:v>
                </c:pt>
                <c:pt idx="78">
                  <c:v>29.71461144205455</c:v>
                </c:pt>
                <c:pt idx="79">
                  <c:v>29.69419640527891</c:v>
                </c:pt>
                <c:pt idx="80">
                  <c:v>29.67487303288256</c:v>
                </c:pt>
                <c:pt idx="81">
                  <c:v>28.29516924535111</c:v>
                </c:pt>
                <c:pt idx="82">
                  <c:v>29.63508718579411</c:v>
                </c:pt>
                <c:pt idx="83">
                  <c:v>27.57478715532581</c:v>
                </c:pt>
                <c:pt idx="84">
                  <c:v>29.64684534910982</c:v>
                </c:pt>
                <c:pt idx="85">
                  <c:v>25.33652408092619</c:v>
                </c:pt>
                <c:pt idx="86">
                  <c:v>30.20860799313044</c:v>
                </c:pt>
                <c:pt idx="87">
                  <c:v>29.53850315213725</c:v>
                </c:pt>
                <c:pt idx="88">
                  <c:v>22.18102579388845</c:v>
                </c:pt>
                <c:pt idx="89">
                  <c:v>29.8957532987447</c:v>
                </c:pt>
                <c:pt idx="90">
                  <c:v>27.14189757262279</c:v>
                </c:pt>
                <c:pt idx="91">
                  <c:v>23.89022963241847</c:v>
                </c:pt>
                <c:pt idx="92">
                  <c:v>21.78951172515209</c:v>
                </c:pt>
                <c:pt idx="93">
                  <c:v>24.86390777208224</c:v>
                </c:pt>
                <c:pt idx="94">
                  <c:v>23.59321691752626</c:v>
                </c:pt>
                <c:pt idx="95">
                  <c:v>22.0804810503837</c:v>
                </c:pt>
                <c:pt idx="96">
                  <c:v>27.94758069615401</c:v>
                </c:pt>
                <c:pt idx="97">
                  <c:v>24.84511053645781</c:v>
                </c:pt>
                <c:pt idx="98">
                  <c:v>27.91828671570171</c:v>
                </c:pt>
                <c:pt idx="99">
                  <c:v>24.90874521560979</c:v>
                </c:pt>
                <c:pt idx="100">
                  <c:v>24.62366866990132</c:v>
                </c:pt>
                <c:pt idx="101">
                  <c:v>27.21689063457168</c:v>
                </c:pt>
                <c:pt idx="102">
                  <c:v>26.73062576623829</c:v>
                </c:pt>
                <c:pt idx="103">
                  <c:v>26.97875423020412</c:v>
                </c:pt>
                <c:pt idx="104">
                  <c:v>26.76814438075633</c:v>
                </c:pt>
                <c:pt idx="105">
                  <c:v>26.73902664003057</c:v>
                </c:pt>
                <c:pt idx="106">
                  <c:v>24.98410978898466</c:v>
                </c:pt>
                <c:pt idx="107">
                  <c:v>27.20151694293787</c:v>
                </c:pt>
                <c:pt idx="108">
                  <c:v>28.20561032569727</c:v>
                </c:pt>
                <c:pt idx="109">
                  <c:v>23.7781117940147</c:v>
                </c:pt>
                <c:pt idx="110">
                  <c:v>27.02976852739732</c:v>
                </c:pt>
                <c:pt idx="111">
                  <c:v>27.05389404341892</c:v>
                </c:pt>
                <c:pt idx="112">
                  <c:v>27.71489594645137</c:v>
                </c:pt>
                <c:pt idx="113">
                  <c:v>23.61063741891203</c:v>
                </c:pt>
                <c:pt idx="114">
                  <c:v>26.7050733280576</c:v>
                </c:pt>
                <c:pt idx="115">
                  <c:v>26.66235407977818</c:v>
                </c:pt>
                <c:pt idx="116">
                  <c:v>29.90329391538359</c:v>
                </c:pt>
                <c:pt idx="117">
                  <c:v>28.25491808240644</c:v>
                </c:pt>
                <c:pt idx="118">
                  <c:v>23.29744506272818</c:v>
                </c:pt>
                <c:pt idx="119">
                  <c:v>28.0570903279878</c:v>
                </c:pt>
                <c:pt idx="120">
                  <c:v>26.69927428970199</c:v>
                </c:pt>
                <c:pt idx="121">
                  <c:v>29.02460569185073</c:v>
                </c:pt>
                <c:pt idx="122">
                  <c:v>26.56310579967543</c:v>
                </c:pt>
                <c:pt idx="123">
                  <c:v>26.78394223348058</c:v>
                </c:pt>
                <c:pt idx="124">
                  <c:v>26.69391506357198</c:v>
                </c:pt>
                <c:pt idx="125">
                  <c:v>26.90397121933881</c:v>
                </c:pt>
                <c:pt idx="126">
                  <c:v>25.15606176367847</c:v>
                </c:pt>
                <c:pt idx="127">
                  <c:v>25.26817270469253</c:v>
                </c:pt>
                <c:pt idx="128">
                  <c:v>25.32320879717079</c:v>
                </c:pt>
                <c:pt idx="129">
                  <c:v>27.78865583090627</c:v>
                </c:pt>
                <c:pt idx="130">
                  <c:v>27.26250648212488</c:v>
                </c:pt>
                <c:pt idx="131">
                  <c:v>29.22141854173419</c:v>
                </c:pt>
                <c:pt idx="132">
                  <c:v>30.22252654762442</c:v>
                </c:pt>
                <c:pt idx="133">
                  <c:v>34.96635473980643</c:v>
                </c:pt>
                <c:pt idx="134">
                  <c:v>53.16115259149678</c:v>
                </c:pt>
                <c:pt idx="135">
                  <c:v>29.65227130771431</c:v>
                </c:pt>
                <c:pt idx="136">
                  <c:v>47.33628277056167</c:v>
                </c:pt>
                <c:pt idx="137">
                  <c:v>30.4657268655545</c:v>
                </c:pt>
                <c:pt idx="138">
                  <c:v>30.14838514790807</c:v>
                </c:pt>
                <c:pt idx="139">
                  <c:v>30.13385549580063</c:v>
                </c:pt>
                <c:pt idx="140">
                  <c:v>31.18300209292051</c:v>
                </c:pt>
                <c:pt idx="141">
                  <c:v>29.4898255638721</c:v>
                </c:pt>
                <c:pt idx="142">
                  <c:v>29.0470184324128</c:v>
                </c:pt>
                <c:pt idx="143">
                  <c:v>31.29078100173254</c:v>
                </c:pt>
                <c:pt idx="144">
                  <c:v>32.96697928678346</c:v>
                </c:pt>
                <c:pt idx="145">
                  <c:v>45.00049592424948</c:v>
                </c:pt>
                <c:pt idx="146">
                  <c:v>44.96546911567268</c:v>
                </c:pt>
                <c:pt idx="147">
                  <c:v>44.9304423070959</c:v>
                </c:pt>
              </c:numCache>
            </c:numRef>
          </c:val>
          <c:smooth val="1"/>
          <c:extLst xmlns:c16r2="http://schemas.microsoft.com/office/drawing/2015/06/chart">
            <c:ext xmlns:c16="http://schemas.microsoft.com/office/drawing/2014/chart" uri="{C3380CC4-5D6E-409C-BE32-E72D297353CC}">
              <c16:uniqueId val="{00000001-5478-42BC-BC23-0833ED041787}"/>
            </c:ext>
          </c:extLst>
        </c:ser>
        <c:dLbls>
          <c:showLegendKey val="0"/>
          <c:showVal val="0"/>
          <c:showCatName val="0"/>
          <c:showSerName val="0"/>
          <c:showPercent val="0"/>
          <c:showBubbleSize val="0"/>
        </c:dLbls>
        <c:smooth val="0"/>
        <c:axId val="753548496"/>
        <c:axId val="753552848"/>
      </c:lineChart>
      <c:catAx>
        <c:axId val="753548496"/>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a:pPr>
            <a:endParaRPr lang="en-US"/>
          </a:p>
        </c:txPr>
        <c:crossAx val="753552848"/>
        <c:crosses val="autoZero"/>
        <c:auto val="1"/>
        <c:lblAlgn val="ctr"/>
        <c:lblOffset val="100"/>
        <c:tickLblSkip val="20"/>
        <c:tickMarkSkip val="20"/>
        <c:noMultiLvlLbl val="0"/>
      </c:catAx>
      <c:valAx>
        <c:axId val="753552848"/>
        <c:scaling>
          <c:orientation val="minMax"/>
        </c:scaling>
        <c:delete val="0"/>
        <c:axPos val="l"/>
        <c:majorGridlines>
          <c:spPr>
            <a:ln>
              <a:noFill/>
            </a:ln>
          </c:spPr>
        </c:majorGridlines>
        <c:numFmt formatCode="General" sourceLinked="1"/>
        <c:majorTickMark val="out"/>
        <c:minorTickMark val="none"/>
        <c:tickLblPos val="nextTo"/>
        <c:spPr>
          <a:ln>
            <a:solidFill>
              <a:schemeClr val="tx1"/>
            </a:solidFill>
          </a:ln>
        </c:spPr>
        <c:txPr>
          <a:bodyPr rot="0" vert="horz"/>
          <a:lstStyle/>
          <a:p>
            <a:pPr>
              <a:defRPr/>
            </a:pPr>
            <a:endParaRPr lang="en-US"/>
          </a:p>
        </c:txPr>
        <c:crossAx val="753548496"/>
        <c:crosses val="autoZero"/>
        <c:crossBetween val="between"/>
      </c:valAx>
      <c:spPr>
        <a:noFill/>
        <a:ln>
          <a:noFill/>
        </a:ln>
      </c:spPr>
    </c:plotArea>
    <c:legend>
      <c:legendPos val="b"/>
      <c:overlay val="0"/>
      <c:spPr>
        <a:ln>
          <a:solidFill>
            <a:schemeClr val="tx1"/>
          </a:solidFill>
        </a:ln>
      </c:spPr>
    </c:legend>
    <c:plotVisOnly val="1"/>
    <c:dispBlanksAs val="gap"/>
    <c:showDLblsOverMax val="0"/>
  </c:chart>
  <c:spPr>
    <a:ln>
      <a:noFill/>
    </a:ln>
  </c:spPr>
  <c:txPr>
    <a:bodyPr/>
    <a:lstStyle/>
    <a:p>
      <a:pPr>
        <a:defRPr sz="1000" b="0" i="0" u="none" strike="noStrike" baseline="0">
          <a:solidFill>
            <a:srgbClr val="000000"/>
          </a:solidFill>
          <a:latin typeface="Arial" panose="020B0604020202020204" pitchFamily="34" charset="0"/>
          <a:ea typeface="Times New Roman"/>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05293088364"/>
          <c:y val="0.0421412948381452"/>
          <c:w val="0.624885826771654"/>
          <c:h val="0.734448089822105"/>
        </c:manualLayout>
      </c:layout>
      <c:scatterChart>
        <c:scatterStyle val="lineMarker"/>
        <c:varyColors val="0"/>
        <c:ser>
          <c:idx val="0"/>
          <c:order val="0"/>
          <c:tx>
            <c:strRef>
              <c:f>'Lamp oil'!$S$8</c:f>
              <c:strCache>
                <c:ptCount val="1"/>
              </c:strCache>
            </c:strRef>
          </c:tx>
          <c:spPr>
            <a:ln w="28575">
              <a:noFill/>
            </a:ln>
          </c:spPr>
          <c:trendline>
            <c:trendlineType val="linear"/>
            <c:dispRSqr val="1"/>
            <c:dispEq val="1"/>
            <c:trendlineLbl>
              <c:layout>
                <c:manualLayout>
                  <c:x val="0.336216535433071"/>
                  <c:y val="-0.0778135024788568"/>
                </c:manualLayout>
              </c:layout>
              <c:numFmt formatCode="General" sourceLinked="0"/>
            </c:trendlineLbl>
          </c:trendline>
          <c:xVal>
            <c:numRef>
              <c:f>'Lamp oil'!$R$9:$R$267</c:f>
              <c:numCache>
                <c:formatCode>General</c:formatCode>
                <c:ptCount val="259"/>
                <c:pt idx="0">
                  <c:v>10.45333333333333</c:v>
                </c:pt>
                <c:pt idx="1">
                  <c:v>8.6632</c:v>
                </c:pt>
                <c:pt idx="3">
                  <c:v>16.3072</c:v>
                </c:pt>
                <c:pt idx="4">
                  <c:v>8.1536</c:v>
                </c:pt>
                <c:pt idx="10">
                  <c:v>12.544</c:v>
                </c:pt>
                <c:pt idx="11">
                  <c:v>12.544</c:v>
                </c:pt>
                <c:pt idx="14">
                  <c:v>13.55262216363807</c:v>
                </c:pt>
                <c:pt idx="15">
                  <c:v>15.87044534412956</c:v>
                </c:pt>
                <c:pt idx="16">
                  <c:v>12.69635627530364</c:v>
                </c:pt>
                <c:pt idx="17">
                  <c:v>15.87044534412956</c:v>
                </c:pt>
                <c:pt idx="18">
                  <c:v>13.2914979757085</c:v>
                </c:pt>
                <c:pt idx="19">
                  <c:v>12.69635627530364</c:v>
                </c:pt>
                <c:pt idx="21">
                  <c:v>15.96636561818748</c:v>
                </c:pt>
                <c:pt idx="22">
                  <c:v>16.26720647773279</c:v>
                </c:pt>
                <c:pt idx="23">
                  <c:v>7.84</c:v>
                </c:pt>
                <c:pt idx="26">
                  <c:v>8.756325910931176</c:v>
                </c:pt>
                <c:pt idx="27">
                  <c:v>8.318509615384616</c:v>
                </c:pt>
                <c:pt idx="28">
                  <c:v>8.318509615384616</c:v>
                </c:pt>
                <c:pt idx="29">
                  <c:v>10.3130060728745</c:v>
                </c:pt>
                <c:pt idx="30">
                  <c:v>13.02193478606018</c:v>
                </c:pt>
                <c:pt idx="31">
                  <c:v>13.14361003922065</c:v>
                </c:pt>
                <c:pt idx="34">
                  <c:v>14.01012145748988</c:v>
                </c:pt>
                <c:pt idx="35">
                  <c:v>14.01012145748988</c:v>
                </c:pt>
                <c:pt idx="37">
                  <c:v>7.00506072874494</c:v>
                </c:pt>
                <c:pt idx="38">
                  <c:v>7.00506072874494</c:v>
                </c:pt>
                <c:pt idx="42">
                  <c:v>7.7834008097166</c:v>
                </c:pt>
                <c:pt idx="43">
                  <c:v>9.34008097165992</c:v>
                </c:pt>
                <c:pt idx="44">
                  <c:v>9.34008097165992</c:v>
                </c:pt>
                <c:pt idx="45">
                  <c:v>7.39423076923077</c:v>
                </c:pt>
                <c:pt idx="46">
                  <c:v>8.873076923076924</c:v>
                </c:pt>
                <c:pt idx="47">
                  <c:v>7.00506072874494</c:v>
                </c:pt>
                <c:pt idx="48">
                  <c:v>9.463907802723593</c:v>
                </c:pt>
                <c:pt idx="53">
                  <c:v>8.85361842105263</c:v>
                </c:pt>
                <c:pt idx="61">
                  <c:v>12.55351359167149</c:v>
                </c:pt>
                <c:pt idx="62">
                  <c:v>11.38322368421053</c:v>
                </c:pt>
                <c:pt idx="65">
                  <c:v>10.3130060728745</c:v>
                </c:pt>
                <c:pt idx="86">
                  <c:v>9.573582995951417</c:v>
                </c:pt>
                <c:pt idx="104">
                  <c:v>15.46153846153846</c:v>
                </c:pt>
                <c:pt idx="109">
                  <c:v>13.57631578947368</c:v>
                </c:pt>
                <c:pt idx="117">
                  <c:v>15.02237966711651</c:v>
                </c:pt>
                <c:pt idx="129">
                  <c:v>12.68018953766901</c:v>
                </c:pt>
                <c:pt idx="130">
                  <c:v>11.72610211426001</c:v>
                </c:pt>
                <c:pt idx="133">
                  <c:v>15.62759784075573</c:v>
                </c:pt>
                <c:pt idx="138">
                  <c:v>17.75126518218624</c:v>
                </c:pt>
                <c:pt idx="142">
                  <c:v>6.314170040485831</c:v>
                </c:pt>
                <c:pt idx="143">
                  <c:v>11.2753036437247</c:v>
                </c:pt>
                <c:pt idx="156">
                  <c:v>12.69917575166667</c:v>
                </c:pt>
                <c:pt idx="157">
                  <c:v>10.78560132333333</c:v>
                </c:pt>
                <c:pt idx="167">
                  <c:v>11.530058</c:v>
                </c:pt>
                <c:pt idx="168">
                  <c:v>4.804190833333333</c:v>
                </c:pt>
                <c:pt idx="170">
                  <c:v>10.09223231488095</c:v>
                </c:pt>
                <c:pt idx="173">
                  <c:v>7.302370066666665</c:v>
                </c:pt>
                <c:pt idx="174">
                  <c:v>7.590621516666666</c:v>
                </c:pt>
                <c:pt idx="175">
                  <c:v>8.359292049999998</c:v>
                </c:pt>
                <c:pt idx="176">
                  <c:v>6.533699533333333</c:v>
                </c:pt>
                <c:pt idx="177">
                  <c:v>6.437615716666666</c:v>
                </c:pt>
                <c:pt idx="178">
                  <c:v>6.149364266666667</c:v>
                </c:pt>
                <c:pt idx="179">
                  <c:v>6.149364266666667</c:v>
                </c:pt>
                <c:pt idx="180">
                  <c:v>7.398453883333333</c:v>
                </c:pt>
                <c:pt idx="181">
                  <c:v>8.263208233333333</c:v>
                </c:pt>
                <c:pt idx="182">
                  <c:v>7.110202433333332</c:v>
                </c:pt>
                <c:pt idx="183">
                  <c:v>7.149858002056474</c:v>
                </c:pt>
                <c:pt idx="184">
                  <c:v>8.155861560226353</c:v>
                </c:pt>
                <c:pt idx="185">
                  <c:v>7.707596743190886</c:v>
                </c:pt>
                <c:pt idx="186">
                  <c:v>7.739805489280608</c:v>
                </c:pt>
                <c:pt idx="187">
                  <c:v>6.915482961268904</c:v>
                </c:pt>
                <c:pt idx="188">
                  <c:v>7.457533576414026</c:v>
                </c:pt>
                <c:pt idx="189">
                  <c:v>7.344533127211772</c:v>
                </c:pt>
                <c:pt idx="190">
                  <c:v>6.717058275501915</c:v>
                </c:pt>
                <c:pt idx="191">
                  <c:v>8.659119863453813</c:v>
                </c:pt>
                <c:pt idx="192">
                  <c:v>10.50108434460698</c:v>
                </c:pt>
                <c:pt idx="193">
                  <c:v>9.008346807808747</c:v>
                </c:pt>
                <c:pt idx="194">
                  <c:v>6.266910104238259</c:v>
                </c:pt>
                <c:pt idx="195">
                  <c:v>6.527195827189733</c:v>
                </c:pt>
                <c:pt idx="196">
                  <c:v>8.004570059298265</c:v>
                </c:pt>
                <c:pt idx="197">
                  <c:v>7.730839678282249</c:v>
                </c:pt>
                <c:pt idx="198">
                  <c:v>8.642198628781323</c:v>
                </c:pt>
                <c:pt idx="199">
                  <c:v>8.43017355409836</c:v>
                </c:pt>
                <c:pt idx="200">
                  <c:v>9.301968650475185</c:v>
                </c:pt>
                <c:pt idx="202">
                  <c:v>11.27489001781951</c:v>
                </c:pt>
                <c:pt idx="205">
                  <c:v>9.259168706245784</c:v>
                </c:pt>
                <c:pt idx="208">
                  <c:v>8.741099009843237</c:v>
                </c:pt>
                <c:pt idx="209">
                  <c:v>7.596938094735286</c:v>
                </c:pt>
                <c:pt idx="210">
                  <c:v>7.5192251816546</c:v>
                </c:pt>
                <c:pt idx="212">
                  <c:v>8.02275233514198</c:v>
                </c:pt>
                <c:pt idx="213">
                  <c:v>7.854650460230664</c:v>
                </c:pt>
                <c:pt idx="214">
                  <c:v>7.852142172929227</c:v>
                </c:pt>
                <c:pt idx="215">
                  <c:v>7.717558334059068</c:v>
                </c:pt>
                <c:pt idx="216">
                  <c:v>7.785140212591986</c:v>
                </c:pt>
                <c:pt idx="217">
                  <c:v>8.49171825355767</c:v>
                </c:pt>
                <c:pt idx="218">
                  <c:v>8.512315501884757</c:v>
                </c:pt>
                <c:pt idx="219">
                  <c:v>8.1626477013129</c:v>
                </c:pt>
                <c:pt idx="220">
                  <c:v>7.903407255372906</c:v>
                </c:pt>
                <c:pt idx="221">
                  <c:v>7.817691260413239</c:v>
                </c:pt>
                <c:pt idx="222">
                  <c:v>7.768185700925501</c:v>
                </c:pt>
                <c:pt idx="223">
                  <c:v>7.5761838199874</c:v>
                </c:pt>
                <c:pt idx="224">
                  <c:v>6.747576248941066</c:v>
                </c:pt>
                <c:pt idx="225">
                  <c:v>6.677906526662436</c:v>
                </c:pt>
                <c:pt idx="226">
                  <c:v>6.128740162628745</c:v>
                </c:pt>
                <c:pt idx="227">
                  <c:v>6.203157911021642</c:v>
                </c:pt>
                <c:pt idx="228">
                  <c:v>6.624906382152839</c:v>
                </c:pt>
                <c:pt idx="229">
                  <c:v>6.975097681388146</c:v>
                </c:pt>
                <c:pt idx="230">
                  <c:v>6.526028078515731</c:v>
                </c:pt>
                <c:pt idx="231">
                  <c:v>5.381599023999973</c:v>
                </c:pt>
                <c:pt idx="232">
                  <c:v>4.586983940067711</c:v>
                </c:pt>
                <c:pt idx="233">
                  <c:v>4.329990407688516</c:v>
                </c:pt>
                <c:pt idx="234">
                  <c:v>4.25470062987742</c:v>
                </c:pt>
                <c:pt idx="235">
                  <c:v>4.415177406223884</c:v>
                </c:pt>
                <c:pt idx="236">
                  <c:v>4.83622289012682</c:v>
                </c:pt>
                <c:pt idx="237">
                  <c:v>4.407821820825986</c:v>
                </c:pt>
                <c:pt idx="238">
                  <c:v>4.183226257545986</c:v>
                </c:pt>
                <c:pt idx="239">
                  <c:v>3.932721989318227</c:v>
                </c:pt>
                <c:pt idx="240">
                  <c:v>3.811661698996819</c:v>
                </c:pt>
                <c:pt idx="241">
                  <c:v>3.530542205168699</c:v>
                </c:pt>
                <c:pt idx="242">
                  <c:v>8.6475435</c:v>
                </c:pt>
                <c:pt idx="243">
                  <c:v>6.725867166666667</c:v>
                </c:pt>
                <c:pt idx="244">
                  <c:v>7.686705333333333</c:v>
                </c:pt>
                <c:pt idx="245">
                  <c:v>7.686705333333333</c:v>
                </c:pt>
                <c:pt idx="246">
                  <c:v>8.6475435</c:v>
                </c:pt>
                <c:pt idx="247">
                  <c:v>8.6475435</c:v>
                </c:pt>
                <c:pt idx="248">
                  <c:v>8.6475435</c:v>
                </c:pt>
                <c:pt idx="249">
                  <c:v>5.284609916666666</c:v>
                </c:pt>
                <c:pt idx="250">
                  <c:v>6.725867166666667</c:v>
                </c:pt>
                <c:pt idx="251">
                  <c:v>6.725867166666667</c:v>
                </c:pt>
                <c:pt idx="252">
                  <c:v>6.725867166666667</c:v>
                </c:pt>
                <c:pt idx="253">
                  <c:v>7.20628625</c:v>
                </c:pt>
                <c:pt idx="254">
                  <c:v>7.686705333333333</c:v>
                </c:pt>
                <c:pt idx="255">
                  <c:v>6.245448083333333</c:v>
                </c:pt>
                <c:pt idx="256">
                  <c:v>6.245448083333333</c:v>
                </c:pt>
                <c:pt idx="258">
                  <c:v>6.245448083333333</c:v>
                </c:pt>
              </c:numCache>
            </c:numRef>
          </c:xVal>
          <c:yVal>
            <c:numRef>
              <c:f>'Lamp oil'!$S$9:$S$267</c:f>
              <c:numCache>
                <c:formatCode>General</c:formatCode>
                <c:ptCount val="259"/>
                <c:pt idx="2">
                  <c:v>1.633333333333333</c:v>
                </c:pt>
                <c:pt idx="3">
                  <c:v>0.816666666666667</c:v>
                </c:pt>
                <c:pt idx="4">
                  <c:v>1.96</c:v>
                </c:pt>
                <c:pt idx="19">
                  <c:v>1.061666666666667</c:v>
                </c:pt>
                <c:pt idx="21">
                  <c:v>1.061666666666667</c:v>
                </c:pt>
                <c:pt idx="22">
                  <c:v>0.510416666666667</c:v>
                </c:pt>
                <c:pt idx="23">
                  <c:v>1.53125</c:v>
                </c:pt>
                <c:pt idx="26">
                  <c:v>1.178620044498382</c:v>
                </c:pt>
                <c:pt idx="28">
                  <c:v>1.178620044498382</c:v>
                </c:pt>
                <c:pt idx="29">
                  <c:v>1.178620044498382</c:v>
                </c:pt>
                <c:pt idx="30">
                  <c:v>1.461901041666667</c:v>
                </c:pt>
                <c:pt idx="31">
                  <c:v>0.500651041666667</c:v>
                </c:pt>
                <c:pt idx="33">
                  <c:v>0.500651041666667</c:v>
                </c:pt>
                <c:pt idx="34">
                  <c:v>0.480625</c:v>
                </c:pt>
                <c:pt idx="35">
                  <c:v>0.500651041666667</c:v>
                </c:pt>
                <c:pt idx="36">
                  <c:v>0.500651041666667</c:v>
                </c:pt>
                <c:pt idx="37">
                  <c:v>0.640833333333333</c:v>
                </c:pt>
                <c:pt idx="38">
                  <c:v>0.500651041666667</c:v>
                </c:pt>
                <c:pt idx="39">
                  <c:v>0.901171875</c:v>
                </c:pt>
                <c:pt idx="40">
                  <c:v>1.251627604166667</c:v>
                </c:pt>
                <c:pt idx="41">
                  <c:v>0.60078125</c:v>
                </c:pt>
                <c:pt idx="42">
                  <c:v>0.640833333333333</c:v>
                </c:pt>
                <c:pt idx="43">
                  <c:v>0.640833333333333</c:v>
                </c:pt>
                <c:pt idx="44">
                  <c:v>0.640833333333333</c:v>
                </c:pt>
                <c:pt idx="45">
                  <c:v>0.560729166666667</c:v>
                </c:pt>
                <c:pt idx="46">
                  <c:v>1.962552083333333</c:v>
                </c:pt>
                <c:pt idx="47">
                  <c:v>0.640833333333333</c:v>
                </c:pt>
                <c:pt idx="48">
                  <c:v>0.640833333333333</c:v>
                </c:pt>
                <c:pt idx="49">
                  <c:v>0.640833333333333</c:v>
                </c:pt>
                <c:pt idx="50">
                  <c:v>0.640833333333333</c:v>
                </c:pt>
                <c:pt idx="51">
                  <c:v>0.640833333333333</c:v>
                </c:pt>
                <c:pt idx="53">
                  <c:v>1.281666666666667</c:v>
                </c:pt>
                <c:pt idx="56">
                  <c:v>0.640833333333333</c:v>
                </c:pt>
                <c:pt idx="57">
                  <c:v>0.640833333333333</c:v>
                </c:pt>
                <c:pt idx="58">
                  <c:v>0.640833333333333</c:v>
                </c:pt>
                <c:pt idx="59">
                  <c:v>0.640833333333333</c:v>
                </c:pt>
                <c:pt idx="60">
                  <c:v>0.640833333333333</c:v>
                </c:pt>
                <c:pt idx="62">
                  <c:v>0.640833333333333</c:v>
                </c:pt>
                <c:pt idx="65">
                  <c:v>0.640833333333333</c:v>
                </c:pt>
                <c:pt idx="66">
                  <c:v>0.640833333333333</c:v>
                </c:pt>
                <c:pt idx="67">
                  <c:v>0.640833333333333</c:v>
                </c:pt>
                <c:pt idx="69">
                  <c:v>0.785020833333333</c:v>
                </c:pt>
                <c:pt idx="74">
                  <c:v>0.640833333333333</c:v>
                </c:pt>
                <c:pt idx="77">
                  <c:v>0.640833333333333</c:v>
                </c:pt>
                <c:pt idx="78">
                  <c:v>0.640833333333333</c:v>
                </c:pt>
                <c:pt idx="79">
                  <c:v>0.640833333333333</c:v>
                </c:pt>
                <c:pt idx="80">
                  <c:v>0.640833333333333</c:v>
                </c:pt>
                <c:pt idx="81">
                  <c:v>0.636172727272727</c:v>
                </c:pt>
                <c:pt idx="82">
                  <c:v>0.640833333333333</c:v>
                </c:pt>
                <c:pt idx="84">
                  <c:v>0.640833333333333</c:v>
                </c:pt>
                <c:pt idx="86">
                  <c:v>0.813607026143791</c:v>
                </c:pt>
                <c:pt idx="87">
                  <c:v>0.640833333333333</c:v>
                </c:pt>
                <c:pt idx="104">
                  <c:v>1.715047727272727</c:v>
                </c:pt>
                <c:pt idx="114">
                  <c:v>1.750274914089347</c:v>
                </c:pt>
                <c:pt idx="117">
                  <c:v>1.601666666666666</c:v>
                </c:pt>
                <c:pt idx="129">
                  <c:v>2.268551441517091</c:v>
                </c:pt>
                <c:pt idx="130">
                  <c:v>3.203333333333333</c:v>
                </c:pt>
                <c:pt idx="170">
                  <c:v>0.206865900927896</c:v>
                </c:pt>
                <c:pt idx="172">
                  <c:v>0.243533633217655</c:v>
                </c:pt>
                <c:pt idx="178">
                  <c:v>0.156385555504461</c:v>
                </c:pt>
                <c:pt idx="181">
                  <c:v>0.280238502606618</c:v>
                </c:pt>
                <c:pt idx="182">
                  <c:v>0.222347493975913</c:v>
                </c:pt>
                <c:pt idx="183">
                  <c:v>0.252299199169918</c:v>
                </c:pt>
                <c:pt idx="184">
                  <c:v>0.205948937065339</c:v>
                </c:pt>
                <c:pt idx="185">
                  <c:v>0.168176151421426</c:v>
                </c:pt>
                <c:pt idx="186">
                  <c:v>0.144715571435165</c:v>
                </c:pt>
                <c:pt idx="187">
                  <c:v>0.220979097639251</c:v>
                </c:pt>
                <c:pt idx="188">
                  <c:v>0.225817293522354</c:v>
                </c:pt>
                <c:pt idx="189">
                  <c:v>0.304280607809241</c:v>
                </c:pt>
                <c:pt idx="190">
                  <c:v>0.318836338807808</c:v>
                </c:pt>
                <c:pt idx="191">
                  <c:v>0.16519419003448</c:v>
                </c:pt>
                <c:pt idx="192">
                  <c:v>0.187044718881901</c:v>
                </c:pt>
                <c:pt idx="193">
                  <c:v>0.215629200234182</c:v>
                </c:pt>
                <c:pt idx="194">
                  <c:v>0.293084546737077</c:v>
                </c:pt>
                <c:pt idx="195">
                  <c:v>0.167957638372806</c:v>
                </c:pt>
                <c:pt idx="197">
                  <c:v>0.383368905848587</c:v>
                </c:pt>
                <c:pt idx="198">
                  <c:v>0.293985494005952</c:v>
                </c:pt>
                <c:pt idx="202">
                  <c:v>0.329159079160168</c:v>
                </c:pt>
                <c:pt idx="256">
                  <c:v>0.189973318539652</c:v>
                </c:pt>
                <c:pt idx="257">
                  <c:v>0.166946249625755</c:v>
                </c:pt>
                <c:pt idx="258">
                  <c:v>0.189973318539652</c:v>
                </c:pt>
              </c:numCache>
            </c:numRef>
          </c:yVal>
          <c:smooth val="0"/>
          <c:extLst xmlns:c16r2="http://schemas.microsoft.com/office/drawing/2015/06/chart">
            <c:ext xmlns:c16="http://schemas.microsoft.com/office/drawing/2014/chart" uri="{C3380CC4-5D6E-409C-BE32-E72D297353CC}">
              <c16:uniqueId val="{00000001-1843-4EF1-A027-8B2A1ACAACF6}"/>
            </c:ext>
          </c:extLst>
        </c:ser>
        <c:dLbls>
          <c:showLegendKey val="0"/>
          <c:showVal val="0"/>
          <c:showCatName val="0"/>
          <c:showSerName val="0"/>
          <c:showPercent val="0"/>
          <c:showBubbleSize val="0"/>
        </c:dLbls>
        <c:axId val="753977072"/>
        <c:axId val="753980656"/>
      </c:scatterChart>
      <c:valAx>
        <c:axId val="753977072"/>
        <c:scaling>
          <c:orientation val="minMax"/>
        </c:scaling>
        <c:delete val="0"/>
        <c:axPos val="b"/>
        <c:numFmt formatCode="General" sourceLinked="1"/>
        <c:majorTickMark val="out"/>
        <c:minorTickMark val="none"/>
        <c:tickLblPos val="nextTo"/>
        <c:crossAx val="753980656"/>
        <c:crosses val="autoZero"/>
        <c:crossBetween val="midCat"/>
      </c:valAx>
      <c:valAx>
        <c:axId val="753980656"/>
        <c:scaling>
          <c:orientation val="minMax"/>
        </c:scaling>
        <c:delete val="0"/>
        <c:axPos val="l"/>
        <c:majorGridlines/>
        <c:minorGridlines/>
        <c:numFmt formatCode="General" sourceLinked="1"/>
        <c:majorTickMark val="out"/>
        <c:minorTickMark val="none"/>
        <c:tickLblPos val="nextTo"/>
        <c:crossAx val="7539770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'Cape Archives (RDG211)'!$M$2</c:f>
              <c:strCache>
                <c:ptCount val="1"/>
                <c:pt idx="0">
                  <c:v>Guilder per Unit</c:v>
                </c:pt>
              </c:strCache>
            </c:strRef>
          </c:tx>
          <c:spPr>
            <a:ln w="28575">
              <a:noFill/>
            </a:ln>
          </c:spPr>
          <c:trendline>
            <c:trendlineType val="linear"/>
            <c:dispRSqr val="1"/>
            <c:dispEq val="1"/>
            <c:trendlineLbl>
              <c:layout>
                <c:manualLayout>
                  <c:x val="0.379954943132108"/>
                  <c:y val="-0.000359069699620881"/>
                </c:manualLayout>
              </c:layout>
              <c:numFmt formatCode="General" sourceLinked="0"/>
            </c:trendlineLbl>
          </c:trendline>
          <c:xVal>
            <c:numRef>
              <c:f>'Cape Archives (RDG211)'!$I$3:$I$16</c:f>
              <c:numCache>
                <c:formatCode>General</c:formatCode>
                <c:ptCount val="14"/>
                <c:pt idx="0">
                  <c:v>41.425</c:v>
                </c:pt>
                <c:pt idx="1">
                  <c:v>41.3</c:v>
                </c:pt>
                <c:pt idx="2">
                  <c:v>18.925</c:v>
                </c:pt>
                <c:pt idx="3">
                  <c:v>46.3</c:v>
                </c:pt>
                <c:pt idx="4">
                  <c:v>70.05</c:v>
                </c:pt>
                <c:pt idx="5">
                  <c:v>22.225</c:v>
                </c:pt>
                <c:pt idx="6">
                  <c:v>27.8</c:v>
                </c:pt>
                <c:pt idx="7">
                  <c:v>26.3</c:v>
                </c:pt>
                <c:pt idx="9">
                  <c:v>45.7</c:v>
                </c:pt>
                <c:pt idx="11">
                  <c:v>7.199999999999999</c:v>
                </c:pt>
                <c:pt idx="13">
                  <c:v>61.6</c:v>
                </c:pt>
              </c:numCache>
            </c:numRef>
          </c:xVal>
          <c:yVal>
            <c:numRef>
              <c:f>'Cape Archives (RDG211)'!$M$3:$M$16</c:f>
              <c:numCache>
                <c:formatCode>General</c:formatCode>
                <c:ptCount val="14"/>
                <c:pt idx="0">
                  <c:v>41.675</c:v>
                </c:pt>
                <c:pt idx="1">
                  <c:v>42.5</c:v>
                </c:pt>
                <c:pt idx="2">
                  <c:v>20.95</c:v>
                </c:pt>
                <c:pt idx="3">
                  <c:v>48.1</c:v>
                </c:pt>
                <c:pt idx="4">
                  <c:v>56.6</c:v>
                </c:pt>
                <c:pt idx="5">
                  <c:v>27.35</c:v>
                </c:pt>
                <c:pt idx="6">
                  <c:v>33.0</c:v>
                </c:pt>
                <c:pt idx="7">
                  <c:v>29.6</c:v>
                </c:pt>
                <c:pt idx="8">
                  <c:v>52.75</c:v>
                </c:pt>
                <c:pt idx="9">
                  <c:v>43.95</c:v>
                </c:pt>
                <c:pt idx="10">
                  <c:v>21.7</c:v>
                </c:pt>
                <c:pt idx="11">
                  <c:v>9.700000000000001</c:v>
                </c:pt>
                <c:pt idx="12">
                  <c:v>8.799999999999998</c:v>
                </c:pt>
                <c:pt idx="13">
                  <c:v>49.3</c:v>
                </c:pt>
              </c:numCache>
            </c:numRef>
          </c:yVal>
          <c:smooth val="0"/>
          <c:extLst xmlns:c16r2="http://schemas.microsoft.com/office/drawing/2015/06/chart">
            <c:ext xmlns:c16="http://schemas.microsoft.com/office/drawing/2014/chart" uri="{C3380CC4-5D6E-409C-BE32-E72D297353CC}">
              <c16:uniqueId val="{00000001-BD03-421A-8AC4-1381658291D9}"/>
            </c:ext>
          </c:extLst>
        </c:ser>
        <c:dLbls>
          <c:showLegendKey val="0"/>
          <c:showVal val="0"/>
          <c:showCatName val="0"/>
          <c:showSerName val="0"/>
          <c:showPercent val="0"/>
          <c:showBubbleSize val="0"/>
        </c:dLbls>
        <c:axId val="749657376"/>
        <c:axId val="749664128"/>
      </c:scatterChart>
      <c:valAx>
        <c:axId val="749657376"/>
        <c:scaling>
          <c:orientation val="minMax"/>
        </c:scaling>
        <c:delete val="0"/>
        <c:axPos val="b"/>
        <c:title>
          <c:overlay val="0"/>
        </c:title>
        <c:numFmt formatCode="General" sourceLinked="1"/>
        <c:majorTickMark val="out"/>
        <c:minorTickMark val="none"/>
        <c:tickLblPos val="nextTo"/>
        <c:crossAx val="749664128"/>
        <c:crosses val="autoZero"/>
        <c:crossBetween val="midCat"/>
      </c:valAx>
      <c:valAx>
        <c:axId val="749664128"/>
        <c:scaling>
          <c:orientation val="minMax"/>
        </c:scaling>
        <c:delete val="0"/>
        <c:axPos val="l"/>
        <c:majorGridlines/>
        <c:minorGridlines/>
        <c:title>
          <c:overlay val="0"/>
        </c:title>
        <c:numFmt formatCode="General" sourceLinked="1"/>
        <c:majorTickMark val="out"/>
        <c:minorTickMark val="none"/>
        <c:tickLblPos val="nextTo"/>
        <c:crossAx val="7496573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76199</xdr:rowOff>
    </xdr:from>
    <xdr:to>
      <xdr:col>8</xdr:col>
      <xdr:colOff>258535</xdr:colOff>
      <xdr:row>56</xdr:row>
      <xdr:rowOff>149677</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61925" y="76199"/>
          <a:ext cx="5485039" cy="9271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0" i="0" u="none" strike="noStrike">
              <a:solidFill>
                <a:schemeClr val="dk1"/>
              </a:solidFill>
              <a:effectLst/>
              <a:latin typeface="+mn-lt"/>
              <a:ea typeface="+mn-ea"/>
              <a:cs typeface="+mn-cs"/>
            </a:rPr>
            <a:t>Database compiled</a:t>
          </a:r>
          <a:r>
            <a:rPr lang="nl-NL" sz="1000" b="0" i="0" u="none" strike="noStrike" baseline="0">
              <a:solidFill>
                <a:schemeClr val="dk1"/>
              </a:solidFill>
              <a:effectLst/>
              <a:latin typeface="+mn-lt"/>
              <a:ea typeface="+mn-ea"/>
              <a:cs typeface="+mn-cs"/>
            </a:rPr>
            <a:t> by Pim de Zwart (</a:t>
          </a:r>
          <a:r>
            <a:rPr lang="nl-NL" sz="1000" b="0" i="0" u="sng" strike="noStrike" baseline="0">
              <a:solidFill>
                <a:srgbClr val="0000FF"/>
              </a:solidFill>
              <a:effectLst/>
              <a:latin typeface="+mn-lt"/>
              <a:ea typeface="+mn-ea"/>
              <a:cs typeface="+mn-cs"/>
            </a:rPr>
            <a:t>Pim.deZwart@wur.nl</a:t>
          </a:r>
          <a:r>
            <a:rPr lang="nl-NL" sz="1000" b="0" i="0" u="none" strike="noStrike" baseline="0">
              <a:solidFill>
                <a:schemeClr val="dk1"/>
              </a:solidFill>
              <a:effectLst/>
              <a:latin typeface="+mn-lt"/>
              <a:ea typeface="+mn-ea"/>
              <a:cs typeface="+mn-cs"/>
            </a:rPr>
            <a:t>) </a:t>
          </a:r>
          <a:endParaRPr lang="nl-NL" sz="1000" b="0" i="0" u="none" strike="noStrike">
            <a:solidFill>
              <a:schemeClr val="dk1"/>
            </a:solidFill>
            <a:effectLst/>
            <a:latin typeface="+mn-lt"/>
            <a:ea typeface="+mn-ea"/>
            <a:cs typeface="+mn-cs"/>
          </a:endParaRPr>
        </a:p>
        <a:p>
          <a:r>
            <a:rPr lang="nl-NL" sz="1000" b="0" i="0" u="none" strike="noStrike">
              <a:solidFill>
                <a:schemeClr val="dk1"/>
              </a:solidFill>
              <a:effectLst/>
              <a:latin typeface="+mn-lt"/>
              <a:ea typeface="+mn-ea"/>
              <a:cs typeface="+mn-cs"/>
            </a:rPr>
            <a:t>Supplied to gpih.ucdavis.edu 6 September 2016</a:t>
          </a:r>
        </a:p>
        <a:p>
          <a:r>
            <a:rPr lang="nl-NL" sz="1000" b="1" i="0" u="none" strike="noStrike">
              <a:solidFill>
                <a:schemeClr val="dk1"/>
              </a:solidFill>
              <a:effectLst/>
              <a:latin typeface="+mn-lt"/>
              <a:ea typeface="+mn-ea"/>
              <a:cs typeface="+mn-cs"/>
            </a:rPr>
            <a:t>Notes:</a:t>
          </a:r>
          <a:r>
            <a:rPr lang="nl-NL" sz="1000" b="1"/>
            <a:t> </a:t>
          </a:r>
        </a:p>
        <a:p>
          <a:r>
            <a:rPr lang="nl-NL" sz="1000" b="0" i="0" u="none" strike="noStrike">
              <a:solidFill>
                <a:schemeClr val="dk1"/>
              </a:solidFill>
              <a:effectLst/>
              <a:latin typeface="+mn-lt"/>
              <a:ea typeface="+mn-ea"/>
              <a:cs typeface="+mn-cs"/>
            </a:rPr>
            <a:t>In CPI1, all missing observations were interpolated by linear interpolation.</a:t>
          </a:r>
          <a:r>
            <a:rPr lang="nl-NL" sz="1000"/>
            <a:t> </a:t>
          </a:r>
        </a:p>
        <a:p>
          <a:r>
            <a:rPr lang="nl-NL" sz="1000" b="0" i="0" u="none" strike="noStrike">
              <a:solidFill>
                <a:schemeClr val="dk1"/>
              </a:solidFill>
              <a:effectLst/>
              <a:latin typeface="+mn-lt"/>
              <a:ea typeface="+mn-ea"/>
              <a:cs typeface="+mn-cs"/>
            </a:rPr>
            <a:t>In CPI2, small gaps were interpolated via linear interpolation. Bigger gaps were filled by adding the weight of that specific product to the basket (following the same procedures as Arroyo Abad et al. 2012).</a:t>
          </a:r>
          <a:r>
            <a:rPr lang="nl-NL" sz="1000"/>
            <a:t> </a:t>
          </a:r>
        </a:p>
        <a:p>
          <a:endParaRPr lang="nl-NL" sz="1000"/>
        </a:p>
        <a:p>
          <a:r>
            <a:rPr lang="nl-NL" sz="1000" b="1"/>
            <a:t>Real wages:</a:t>
          </a:r>
        </a:p>
        <a:p>
          <a:r>
            <a:rPr lang="nl-NL" sz="1000"/>
            <a:t>Wages until</a:t>
          </a:r>
          <a:r>
            <a:rPr lang="nl-NL" sz="1000" baseline="0"/>
            <a:t> 1795 for VOC labourers from Du Plessis and Du Plessis (2012) and estimates of the wages of "free" </a:t>
          </a:r>
          <a:r>
            <a:rPr lang="nl-NL" sz="1000" i="0" baseline="0"/>
            <a:t>labourers</a:t>
          </a:r>
          <a:r>
            <a:rPr lang="nl-NL" sz="1000" i="1" baseline="0"/>
            <a:t> </a:t>
          </a:r>
          <a:r>
            <a:rPr lang="nl-NL" sz="1000" i="0" baseline="0"/>
            <a:t>(</a:t>
          </a:r>
          <a:r>
            <a:rPr lang="nl-NL" sz="1000" i="1" baseline="0"/>
            <a:t>knechts</a:t>
          </a:r>
          <a:r>
            <a:rPr lang="nl-NL" sz="1000" i="0" baseline="0"/>
            <a:t>).</a:t>
          </a:r>
          <a:r>
            <a:rPr lang="nl-NL" sz="1000" baseline="0"/>
            <a:t> Average wage estimated on basis of assumptions about additionally received food and shifting shares of VOC and </a:t>
          </a:r>
          <a:r>
            <a:rPr lang="nl-NL" sz="1000" i="1" baseline="0"/>
            <a:t>knechts</a:t>
          </a:r>
          <a:r>
            <a:rPr lang="nl-NL" sz="1000" baseline="0"/>
            <a:t> (see De Zwart 2013; 2016).</a:t>
          </a:r>
        </a:p>
        <a:p>
          <a:r>
            <a:rPr lang="nl-NL" sz="1000" baseline="0"/>
            <a:t>Wages between 1795 and 1835: arithmethic mean of observations from various sources (see below).</a:t>
          </a:r>
        </a:p>
        <a:p>
          <a:r>
            <a:rPr lang="nl-NL" sz="1000"/>
            <a:t>Wages 1835 - 1912</a:t>
          </a:r>
          <a:r>
            <a:rPr lang="nl-NL" sz="1000" baseline="0"/>
            <a:t>: from Colonial Blue Books and Statistical Tables (see De Zwart 2011).</a:t>
          </a:r>
          <a:endParaRPr lang="nl-NL" sz="1000"/>
        </a:p>
        <a:p>
          <a:r>
            <a:rPr lang="nl-NL" sz="1000" b="0" i="0" u="none" strike="noStrike">
              <a:solidFill>
                <a:schemeClr val="dk1"/>
              </a:solidFill>
              <a:effectLst/>
              <a:latin typeface="+mn-lt"/>
              <a:ea typeface="+mn-ea"/>
              <a:cs typeface="+mn-cs"/>
            </a:rPr>
            <a:t>Underlying</a:t>
          </a:r>
          <a:r>
            <a:rPr lang="nl-NL" sz="1000" b="0" i="0" u="none" strike="noStrike" baseline="0">
              <a:solidFill>
                <a:schemeClr val="dk1"/>
              </a:solidFill>
              <a:effectLst/>
              <a:latin typeface="+mn-lt"/>
              <a:ea typeface="+mn-ea"/>
              <a:cs typeface="+mn-cs"/>
            </a:rPr>
            <a:t> datasheets on wages available via: Pim.deZwart@wur.nl.</a:t>
          </a:r>
          <a:endParaRPr lang="nl-NL" sz="1000" b="0" i="0" u="none" strike="noStrike">
            <a:solidFill>
              <a:schemeClr val="dk1"/>
            </a:solidFill>
            <a:effectLst/>
            <a:latin typeface="+mn-lt"/>
            <a:ea typeface="+mn-ea"/>
            <a:cs typeface="+mn-cs"/>
          </a:endParaRPr>
        </a:p>
        <a:p>
          <a:endParaRPr lang="nl-NL" sz="1000" b="0" i="0" u="none" strike="noStrike">
            <a:solidFill>
              <a:schemeClr val="dk1"/>
            </a:solidFill>
            <a:effectLst/>
            <a:latin typeface="+mn-lt"/>
            <a:ea typeface="+mn-ea"/>
            <a:cs typeface="+mn-cs"/>
          </a:endParaRPr>
        </a:p>
        <a:p>
          <a:r>
            <a:rPr lang="nl-NL" sz="1000" b="0" i="0" u="none" strike="noStrike">
              <a:solidFill>
                <a:schemeClr val="dk1"/>
              </a:solidFill>
              <a:effectLst/>
              <a:latin typeface="+mn-lt"/>
              <a:ea typeface="+mn-ea"/>
              <a:cs typeface="+mn-cs"/>
            </a:rPr>
            <a:t>Sources:</a:t>
          </a:r>
          <a:r>
            <a:rPr lang="nl-NL" sz="1000"/>
            <a:t> </a:t>
          </a:r>
        </a:p>
        <a:p>
          <a:r>
            <a:rPr lang="nl-NL" sz="1000" b="1" i="0" u="none" strike="noStrike">
              <a:solidFill>
                <a:schemeClr val="dk1"/>
              </a:solidFill>
              <a:effectLst/>
              <a:latin typeface="+mn-lt"/>
              <a:ea typeface="+mn-ea"/>
              <a:cs typeface="+mn-cs"/>
            </a:rPr>
            <a:t>Literature</a:t>
          </a:r>
          <a:r>
            <a:rPr lang="nl-NL" sz="1000"/>
            <a:t> </a:t>
          </a:r>
        </a:p>
        <a:p>
          <a:r>
            <a:rPr lang="nl-NL" sz="1000" b="0" i="0" u="none" strike="noStrike">
              <a:solidFill>
                <a:schemeClr val="dk1"/>
              </a:solidFill>
              <a:effectLst/>
              <a:latin typeface="+mn-lt"/>
              <a:ea typeface="+mn-ea"/>
              <a:cs typeface="+mn-cs"/>
            </a:rPr>
            <a:t>Arndt, E. H. D. (1928</a:t>
          </a:r>
          <a:r>
            <a:rPr lang="nl-NL" sz="1000" b="0" i="1" u="none" strike="noStrike">
              <a:solidFill>
                <a:schemeClr val="dk1"/>
              </a:solidFill>
              <a:effectLst/>
              <a:latin typeface="+mn-lt"/>
              <a:ea typeface="+mn-ea"/>
              <a:cs typeface="+mn-cs"/>
            </a:rPr>
            <a:t>) Banking and currency development in South Africa 1652-1927</a:t>
          </a:r>
          <a:r>
            <a:rPr lang="nl-NL" sz="1000" b="0" i="0" u="none" strike="noStrike">
              <a:solidFill>
                <a:schemeClr val="dk1"/>
              </a:solidFill>
              <a:effectLst/>
              <a:latin typeface="+mn-lt"/>
              <a:ea typeface="+mn-ea"/>
              <a:cs typeface="+mn-cs"/>
            </a:rPr>
            <a:t>. Cape Town and Johannesburg: Juta &amp; Co.</a:t>
          </a:r>
          <a:r>
            <a:rPr lang="nl-NL" sz="1000"/>
            <a:t> </a:t>
          </a:r>
        </a:p>
        <a:p>
          <a:r>
            <a:rPr lang="nl-NL" sz="1000" b="0" i="0" u="none" strike="noStrike">
              <a:solidFill>
                <a:schemeClr val="dk1"/>
              </a:solidFill>
              <a:effectLst/>
              <a:latin typeface="+mn-lt"/>
              <a:ea typeface="+mn-ea"/>
              <a:cs typeface="+mn-cs"/>
            </a:rPr>
            <a:t>Plessis, A. J. du (1933). </a:t>
          </a:r>
          <a:r>
            <a:rPr lang="nl-NL" sz="1000" b="0" i="1" u="none" strike="noStrike">
              <a:solidFill>
                <a:schemeClr val="dk1"/>
              </a:solidFill>
              <a:effectLst/>
              <a:latin typeface="+mn-lt"/>
              <a:ea typeface="+mn-ea"/>
              <a:cs typeface="+mn-cs"/>
            </a:rPr>
            <a:t>Die Geskiedenis van die Graankultuur in Suid-Afrika, 1652-1752. </a:t>
          </a:r>
          <a:r>
            <a:rPr lang="nl-NL" sz="1000" b="0" i="0" u="none" strike="noStrike">
              <a:solidFill>
                <a:schemeClr val="dk1"/>
              </a:solidFill>
              <a:effectLst/>
              <a:latin typeface="+mn-lt"/>
              <a:ea typeface="+mn-ea"/>
              <a:cs typeface="+mn-cs"/>
            </a:rPr>
            <a:t>Cape Town: Nasionale Pers.</a:t>
          </a:r>
          <a:r>
            <a:rPr lang="nl-NL" sz="1000"/>
            <a:t> </a:t>
          </a:r>
        </a:p>
        <a:p>
          <a:r>
            <a:rPr lang="nl-NL" sz="1000" b="0" i="0" u="none" strike="noStrike">
              <a:solidFill>
                <a:schemeClr val="dk1"/>
              </a:solidFill>
              <a:effectLst/>
              <a:latin typeface="+mn-lt"/>
              <a:ea typeface="+mn-ea"/>
              <a:cs typeface="+mn-cs"/>
            </a:rPr>
            <a:t>Plessis, S. du, and S. du Plessis (2012). "Happy in the Service of the Company: The Purchasing Power of VOC Salaries at the Cape in the 18th Century." </a:t>
          </a:r>
          <a:r>
            <a:rPr lang="nl-NL" sz="1000" b="0" i="1" u="none" strike="noStrike">
              <a:solidFill>
                <a:schemeClr val="dk1"/>
              </a:solidFill>
              <a:effectLst/>
              <a:latin typeface="+mn-lt"/>
              <a:ea typeface="+mn-ea"/>
              <a:cs typeface="+mn-cs"/>
            </a:rPr>
            <a:t>Economic History of Developing Regions </a:t>
          </a:r>
          <a:r>
            <a:rPr lang="nl-NL" sz="1000" b="0" i="0" u="none" strike="noStrike">
              <a:solidFill>
                <a:schemeClr val="dk1"/>
              </a:solidFill>
              <a:effectLst/>
              <a:latin typeface="+mn-lt"/>
              <a:ea typeface="+mn-ea"/>
              <a:cs typeface="+mn-cs"/>
            </a:rPr>
            <a:t>27, pp. 125-149.</a:t>
          </a:r>
          <a:r>
            <a:rPr lang="nl-NL" sz="1000"/>
            <a:t> </a:t>
          </a:r>
        </a:p>
        <a:p>
          <a:r>
            <a:rPr lang="nl-NL" sz="1000" b="0" i="0" u="none" strike="noStrike">
              <a:solidFill>
                <a:schemeClr val="dk1"/>
              </a:solidFill>
              <a:effectLst/>
              <a:latin typeface="+mn-lt"/>
              <a:ea typeface="+mn-ea"/>
              <a:cs typeface="+mn-cs"/>
            </a:rPr>
            <a:t>Neumark, S. D. (1956). </a:t>
          </a:r>
          <a:r>
            <a:rPr lang="nl-NL" sz="1000" b="0" i="1" u="none" strike="noStrike">
              <a:solidFill>
                <a:schemeClr val="dk1"/>
              </a:solidFill>
              <a:effectLst/>
              <a:latin typeface="+mn-lt"/>
              <a:ea typeface="+mn-ea"/>
              <a:cs typeface="+mn-cs"/>
            </a:rPr>
            <a:t>The South African frontier. Economic influences, 1652-1836</a:t>
          </a:r>
          <a:r>
            <a:rPr lang="nl-NL" sz="1000" b="0" i="0" u="none" strike="noStrike">
              <a:solidFill>
                <a:schemeClr val="dk1"/>
              </a:solidFill>
              <a:effectLst/>
              <a:latin typeface="+mn-lt"/>
              <a:ea typeface="+mn-ea"/>
              <a:cs typeface="+mn-cs"/>
            </a:rPr>
            <a:t>. Stanford: Stanford University Press.</a:t>
          </a:r>
          <a:r>
            <a:rPr lang="nl-NL" sz="1000"/>
            <a:t> </a:t>
          </a:r>
        </a:p>
        <a:p>
          <a:r>
            <a:rPr lang="nl-NL" sz="1000" b="0" i="0" u="none" strike="noStrike">
              <a:solidFill>
                <a:schemeClr val="dk1"/>
              </a:solidFill>
              <a:effectLst/>
              <a:latin typeface="+mn-lt"/>
              <a:ea typeface="+mn-ea"/>
              <a:cs typeface="+mn-cs"/>
            </a:rPr>
            <a:t>Duin, P. van, and R. Ross (1987). "The Economy of the Cape Colony in the Eighteenth Century." </a:t>
          </a:r>
          <a:r>
            <a:rPr lang="nl-NL" sz="1000" b="0" i="1" u="none" strike="noStrike">
              <a:solidFill>
                <a:schemeClr val="dk1"/>
              </a:solidFill>
              <a:effectLst/>
              <a:latin typeface="+mn-lt"/>
              <a:ea typeface="+mn-ea"/>
              <a:cs typeface="+mn-cs"/>
            </a:rPr>
            <a:t>Intercontinenta</a:t>
          </a:r>
          <a:r>
            <a:rPr lang="nl-NL" sz="1000" b="0" i="0" u="none" strike="noStrike">
              <a:solidFill>
                <a:schemeClr val="dk1"/>
              </a:solidFill>
              <a:effectLst/>
              <a:latin typeface="+mn-lt"/>
              <a:ea typeface="+mn-ea"/>
              <a:cs typeface="+mn-cs"/>
            </a:rPr>
            <a:t> 7. Leiden: Centre for the History of European Expansion.</a:t>
          </a:r>
          <a:r>
            <a:rPr lang="nl-NL" sz="1000"/>
            <a:t> </a:t>
          </a:r>
        </a:p>
        <a:p>
          <a:r>
            <a:rPr lang="nl-NL" sz="1000" b="0" i="0" u="none" strike="noStrike">
              <a:solidFill>
                <a:schemeClr val="dk1"/>
              </a:solidFill>
              <a:effectLst/>
              <a:latin typeface="+mn-lt"/>
              <a:ea typeface="+mn-ea"/>
              <a:cs typeface="+mn-cs"/>
            </a:rPr>
            <a:t>Theal, G. M., comp. (1905) </a:t>
          </a:r>
          <a:r>
            <a:rPr lang="nl-NL" sz="1000" b="0" i="1" u="none" strike="noStrike">
              <a:solidFill>
                <a:schemeClr val="dk1"/>
              </a:solidFill>
              <a:effectLst/>
              <a:latin typeface="+mn-lt"/>
              <a:ea typeface="+mn-ea"/>
              <a:cs typeface="+mn-cs"/>
            </a:rPr>
            <a:t>Records of the Cape Colony. 36 </a:t>
          </a:r>
          <a:r>
            <a:rPr lang="nl-NL" sz="1000" b="0" i="0" u="none" strike="noStrike">
              <a:solidFill>
                <a:schemeClr val="dk1"/>
              </a:solidFill>
              <a:effectLst/>
              <a:latin typeface="+mn-lt"/>
              <a:ea typeface="+mn-ea"/>
              <a:cs typeface="+mn-cs"/>
            </a:rPr>
            <a:t>vols. London: </a:t>
          </a:r>
        </a:p>
        <a:p>
          <a:r>
            <a:rPr lang="nl-NL" sz="1000" b="0" i="0" u="none" strike="noStrike">
              <a:solidFill>
                <a:schemeClr val="dk1"/>
              </a:solidFill>
              <a:effectLst/>
              <a:latin typeface="+mn-lt"/>
              <a:ea typeface="+mn-ea"/>
              <a:cs typeface="+mn-cs"/>
            </a:rPr>
            <a:t>Government Printers.</a:t>
          </a:r>
        </a:p>
        <a:p>
          <a:r>
            <a:rPr lang="nl-NL" sz="1000" b="0" i="0" u="none" strike="noStrike">
              <a:solidFill>
                <a:schemeClr val="dk1"/>
              </a:solidFill>
              <a:effectLst/>
              <a:latin typeface="+mn-lt"/>
              <a:ea typeface="+mn-ea"/>
              <a:cs typeface="+mn-cs"/>
            </a:rPr>
            <a:t>Zwart, P. de (2011). "South</a:t>
          </a:r>
          <a:r>
            <a:rPr lang="nl-NL" sz="1000" b="0" i="0" u="none" strike="noStrike" baseline="0">
              <a:solidFill>
                <a:schemeClr val="dk1"/>
              </a:solidFill>
              <a:effectLst/>
              <a:latin typeface="+mn-lt"/>
              <a:ea typeface="+mn-ea"/>
              <a:cs typeface="+mn-cs"/>
            </a:rPr>
            <a:t> African Living Standards in Global Perspective", </a:t>
          </a:r>
          <a:r>
            <a:rPr lang="nl-NL" sz="1000" b="0" i="1" u="none" strike="noStrike" baseline="0">
              <a:solidFill>
                <a:schemeClr val="dk1"/>
              </a:solidFill>
              <a:effectLst/>
              <a:latin typeface="+mn-lt"/>
              <a:ea typeface="+mn-ea"/>
              <a:cs typeface="+mn-cs"/>
            </a:rPr>
            <a:t>Economic History of Developing Regions </a:t>
          </a:r>
          <a:r>
            <a:rPr lang="nl-NL" sz="1000" b="0" i="0" u="none" strike="noStrike" baseline="0">
              <a:solidFill>
                <a:schemeClr val="dk1"/>
              </a:solidFill>
              <a:effectLst/>
              <a:latin typeface="+mn-lt"/>
              <a:ea typeface="+mn-ea"/>
              <a:cs typeface="+mn-cs"/>
            </a:rPr>
            <a:t>26, pp. 49-74. </a:t>
          </a:r>
          <a:endParaRPr lang="nl-NL" sz="1000" b="0" i="1" u="none" strike="noStrike" baseline="0">
            <a:solidFill>
              <a:schemeClr val="dk1"/>
            </a:solidFill>
            <a:effectLst/>
            <a:latin typeface="+mn-lt"/>
            <a:ea typeface="+mn-ea"/>
            <a:cs typeface="+mn-cs"/>
          </a:endParaRPr>
        </a:p>
        <a:p>
          <a:r>
            <a:rPr lang="nl-NL" sz="1000" b="0" i="0" u="none" strike="noStrike" baseline="0">
              <a:solidFill>
                <a:schemeClr val="dk1"/>
              </a:solidFill>
              <a:effectLst/>
              <a:latin typeface="+mn-lt"/>
              <a:ea typeface="+mn-ea"/>
              <a:cs typeface="+mn-cs"/>
            </a:rPr>
            <a:t>Zwart, P. de (2013). "Real wages at the Cape of Good Hope: a long term perspective", </a:t>
          </a:r>
          <a:r>
            <a:rPr lang="nl-NL" sz="1000" b="0" i="1" u="none" strike="noStrike" baseline="0">
              <a:solidFill>
                <a:schemeClr val="dk1"/>
              </a:solidFill>
              <a:effectLst/>
              <a:latin typeface="+mn-lt"/>
              <a:ea typeface="+mn-ea"/>
              <a:cs typeface="+mn-cs"/>
            </a:rPr>
            <a:t>Tijdschrift voor Sociale en Economische Geschiedenis</a:t>
          </a:r>
          <a:r>
            <a:rPr lang="nl-NL" sz="1000" b="0" i="0" u="none" strike="noStrike" baseline="0">
              <a:solidFill>
                <a:schemeClr val="dk1"/>
              </a:solidFill>
              <a:effectLst/>
              <a:latin typeface="+mn-lt"/>
              <a:ea typeface="+mn-ea"/>
              <a:cs typeface="+mn-cs"/>
            </a:rPr>
            <a:t> 10, pp. 28-58: http://www.tseg.nl/2013/2-zwart.pdf </a:t>
          </a:r>
          <a:endParaRPr lang="nl-NL" sz="1000" b="0" i="0" u="none" strike="noStrike">
            <a:solidFill>
              <a:schemeClr val="dk1"/>
            </a:solidFill>
            <a:effectLst/>
            <a:latin typeface="+mn-lt"/>
            <a:ea typeface="+mn-ea"/>
            <a:cs typeface="+mn-cs"/>
          </a:endParaRPr>
        </a:p>
        <a:p>
          <a:r>
            <a:rPr lang="nl-NL" sz="1000" b="0" i="0" u="none" strike="noStrike">
              <a:solidFill>
                <a:schemeClr val="dk1"/>
              </a:solidFill>
              <a:effectLst/>
              <a:latin typeface="+mn-lt"/>
              <a:ea typeface="+mn-ea"/>
              <a:cs typeface="+mn-cs"/>
            </a:rPr>
            <a:t>Zwart, P. de</a:t>
          </a:r>
          <a:r>
            <a:rPr lang="nl-NL" sz="1000" b="0" i="0" u="none" strike="noStrike" baseline="0">
              <a:solidFill>
                <a:schemeClr val="dk1"/>
              </a:solidFill>
              <a:effectLst/>
              <a:latin typeface="+mn-lt"/>
              <a:ea typeface="+mn-ea"/>
              <a:cs typeface="+mn-cs"/>
            </a:rPr>
            <a:t> (2016). </a:t>
          </a:r>
          <a:r>
            <a:rPr lang="nl-NL" sz="1000" b="0" i="1" u="none" strike="noStrike" baseline="0">
              <a:solidFill>
                <a:schemeClr val="dk1"/>
              </a:solidFill>
              <a:effectLst/>
              <a:latin typeface="+mn-lt"/>
              <a:ea typeface="+mn-ea"/>
              <a:cs typeface="+mn-cs"/>
            </a:rPr>
            <a:t>Globalization and the Colonial Origins of the Great Divergence</a:t>
          </a:r>
          <a:r>
            <a:rPr lang="nl-NL" sz="1000" b="0" i="0" u="none" strike="noStrike" baseline="0">
              <a:solidFill>
                <a:schemeClr val="dk1"/>
              </a:solidFill>
              <a:effectLst/>
              <a:latin typeface="+mn-lt"/>
              <a:ea typeface="+mn-ea"/>
              <a:cs typeface="+mn-cs"/>
            </a:rPr>
            <a:t>. Leiden: Brill.</a:t>
          </a:r>
          <a:endParaRPr lang="nl-NL" sz="1000" b="0" i="0" u="none" strike="noStrike">
            <a:solidFill>
              <a:schemeClr val="dk1"/>
            </a:solidFill>
            <a:effectLst/>
            <a:latin typeface="+mn-lt"/>
            <a:ea typeface="+mn-ea"/>
            <a:cs typeface="+mn-cs"/>
          </a:endParaRPr>
        </a:p>
        <a:p>
          <a:endParaRPr lang="nl-NL" sz="1000"/>
        </a:p>
        <a:p>
          <a:endParaRPr lang="nl-NL" sz="1000" b="1" i="0" u="none" strike="noStrike">
            <a:solidFill>
              <a:schemeClr val="dk1"/>
            </a:solidFill>
            <a:effectLst/>
            <a:latin typeface="+mn-lt"/>
            <a:ea typeface="+mn-ea"/>
            <a:cs typeface="+mn-cs"/>
          </a:endParaRPr>
        </a:p>
        <a:p>
          <a:r>
            <a:rPr lang="nl-NL" sz="1000" b="1" i="0" u="none" strike="noStrike">
              <a:solidFill>
                <a:schemeClr val="dk1"/>
              </a:solidFill>
              <a:effectLst/>
              <a:latin typeface="+mn-lt"/>
              <a:ea typeface="+mn-ea"/>
              <a:cs typeface="+mn-cs"/>
            </a:rPr>
            <a:t>Primary sources</a:t>
          </a:r>
          <a:r>
            <a:rPr lang="nl-NL" sz="1000"/>
            <a:t> </a:t>
          </a:r>
        </a:p>
        <a:p>
          <a:r>
            <a:rPr lang="nl-NL" sz="1000" b="0" i="0" u="sng" strike="noStrike">
              <a:solidFill>
                <a:schemeClr val="dk1"/>
              </a:solidFill>
              <a:effectLst/>
              <a:latin typeface="+mn-lt"/>
              <a:ea typeface="+mn-ea"/>
              <a:cs typeface="+mn-cs"/>
            </a:rPr>
            <a:t>The Dutch National Archives, The Hague: Archives of the Dutch East India Company (VOC)</a:t>
          </a:r>
          <a:r>
            <a:rPr lang="nl-NL" sz="1000"/>
            <a:t> </a:t>
          </a:r>
        </a:p>
        <a:p>
          <a:r>
            <a:rPr lang="nl-NL" sz="1000" b="0" i="0" u="none" strike="noStrike">
              <a:solidFill>
                <a:schemeClr val="dk1"/>
              </a:solidFill>
              <a:effectLst/>
              <a:latin typeface="+mn-lt"/>
              <a:ea typeface="+mn-ea"/>
              <a:cs typeface="+mn-cs"/>
            </a:rPr>
            <a:t>VOC 3989–4051: contained invoices and account books.</a:t>
          </a:r>
          <a:r>
            <a:rPr lang="nl-NL" sz="1000"/>
            <a:t> </a:t>
          </a:r>
          <a:r>
            <a:rPr lang="nl-NL" sz="1000" b="0" i="0" u="none" strike="noStrike">
              <a:solidFill>
                <a:schemeClr val="dk1"/>
              </a:solidFill>
              <a:effectLst/>
              <a:latin typeface="+mn-lt"/>
              <a:ea typeface="+mn-ea"/>
              <a:cs typeface="+mn-cs"/>
            </a:rPr>
            <a:t>VOC 4177, 4180, 4182, 4185, 4187, 4193, 4197, 4199, 4202, 4207, 4211, 4218, 4221, 4224, 4233, 4238, 4241, 4245, 4249, 4253, 4257, 4265, 4268, 4277, 4280, 4283: contained rendementen (lists on profits).</a:t>
          </a:r>
          <a:r>
            <a:rPr lang="nl-NL" sz="1000"/>
            <a:t> </a:t>
          </a:r>
          <a:r>
            <a:rPr lang="nl-NL" sz="1000" b="0" i="0" u="none" strike="noStrike">
              <a:solidFill>
                <a:schemeClr val="dk1"/>
              </a:solidFill>
              <a:effectLst/>
              <a:latin typeface="+mn-lt"/>
              <a:ea typeface="+mn-ea"/>
              <a:cs typeface="+mn-cs"/>
            </a:rPr>
            <a:t>VOC 4199: Kassaboek Kaap de Goede Hoop (Cashbook Cape of Good Hope).</a:t>
          </a:r>
          <a:r>
            <a:rPr lang="nl-NL" sz="1000"/>
            <a:t> </a:t>
          </a:r>
        </a:p>
        <a:p>
          <a:endParaRPr lang="nl-NL" sz="1000"/>
        </a:p>
        <a:p>
          <a:r>
            <a:rPr lang="nl-NL" sz="1000" b="0" i="0" u="sng" strike="noStrike">
              <a:solidFill>
                <a:schemeClr val="dk1"/>
              </a:solidFill>
              <a:effectLst/>
              <a:latin typeface="+mn-lt"/>
              <a:ea typeface="+mn-ea"/>
              <a:cs typeface="+mn-cs"/>
            </a:rPr>
            <a:t>Western Cape Archives, Cape Town</a:t>
          </a:r>
          <a:r>
            <a:rPr lang="nl-NL" sz="1000"/>
            <a:t> </a:t>
          </a:r>
        </a:p>
        <a:p>
          <a:r>
            <a:rPr lang="nl-NL" sz="1000" b="0" i="0" u="none" strike="noStrike">
              <a:solidFill>
                <a:schemeClr val="dk1"/>
              </a:solidFill>
              <a:effectLst/>
              <a:latin typeface="+mn-lt"/>
              <a:ea typeface="+mn-ea"/>
              <a:cs typeface="+mn-cs"/>
            </a:rPr>
            <a:t>1.1. Council of Policy (CP); 1.2. Court of Justice (CJ); 1.3. Master of the Supreme Court (MOOC); 1.10; First British Occupation (BO); 1.14. Batavian Republic (BR); 1.61. Government Farm (GPF); 1.70. Civil Engineer (CE); 1.82. Burgher Council (BRD); 1.83. Burgher Senate (RDG).</a:t>
          </a:r>
          <a:r>
            <a:rPr lang="nl-NL" sz="1000"/>
            <a:t> </a:t>
          </a:r>
        </a:p>
        <a:p>
          <a:endParaRPr lang="nl-NL" sz="1000"/>
        </a:p>
        <a:p>
          <a:r>
            <a:rPr lang="nl-NL" sz="1000" b="0" i="0" u="sng" strike="noStrike">
              <a:solidFill>
                <a:schemeClr val="dk1"/>
              </a:solidFill>
              <a:effectLst/>
              <a:latin typeface="+mn-lt"/>
              <a:ea typeface="+mn-ea"/>
              <a:cs typeface="+mn-cs"/>
            </a:rPr>
            <a:t>British National Archives, London. Archives of the Colonial Office (CO):</a:t>
          </a:r>
          <a:r>
            <a:rPr lang="nl-NL" sz="1000"/>
            <a:t> </a:t>
          </a:r>
        </a:p>
        <a:p>
          <a:r>
            <a:rPr lang="nl-NL" sz="1000" b="0" i="0" u="none" strike="noStrike">
              <a:solidFill>
                <a:schemeClr val="dk1"/>
              </a:solidFill>
              <a:effectLst/>
              <a:latin typeface="+mn-lt"/>
              <a:ea typeface="+mn-ea"/>
              <a:cs typeface="+mn-cs"/>
            </a:rPr>
            <a:t>CO 53/72 – CO 53/88: Colonial Blue Books of the Cape Colony. Issues 1837 - 1854.</a:t>
          </a:r>
          <a:r>
            <a:rPr lang="nl-NL" sz="1000"/>
            <a:t> </a:t>
          </a:r>
          <a:r>
            <a:rPr lang="nl-NL" sz="1000" b="0" i="0" u="none" strike="noStrike">
              <a:solidFill>
                <a:schemeClr val="dk1"/>
              </a:solidFill>
              <a:effectLst/>
              <a:latin typeface="+mn-lt"/>
              <a:ea typeface="+mn-ea"/>
              <a:cs typeface="+mn-cs"/>
            </a:rPr>
            <a:t>CO 442/27 – CO 442/63: Statistical tables relating to British self-governing dominions, colonies, possessions, and protectorates. Issues 1854-1913.</a:t>
          </a:r>
          <a:r>
            <a:rPr lang="nl-NL" sz="1000"/>
            <a:t> </a:t>
          </a:r>
          <a:r>
            <a:rPr lang="nl-NL" sz="1000" b="0" i="1" u="none" strike="noStrike">
              <a:solidFill>
                <a:schemeClr val="dk1"/>
              </a:solidFill>
              <a:effectLst/>
              <a:latin typeface="+mn-lt"/>
              <a:ea typeface="+mn-ea"/>
              <a:cs typeface="+mn-cs"/>
            </a:rPr>
            <a:t>See: Cape Colony Prices: www.iisg.nl/hpw &amp; gpih.ucdavis.edu</a:t>
          </a:r>
          <a:r>
            <a:rPr lang="nl-NL" sz="1000"/>
            <a:t> </a:t>
          </a:r>
        </a:p>
        <a:p>
          <a:endParaRPr lang="nl-NL" sz="1000" b="0" i="0" u="sng" strike="noStrike">
            <a:solidFill>
              <a:schemeClr val="dk1"/>
            </a:solidFill>
            <a:effectLst/>
            <a:latin typeface="+mn-lt"/>
            <a:ea typeface="+mn-ea"/>
            <a:cs typeface="+mn-cs"/>
          </a:endParaRPr>
        </a:p>
        <a:p>
          <a:r>
            <a:rPr lang="nl-NL" sz="1000" b="0" i="0" u="sng" strike="noStrike">
              <a:solidFill>
                <a:schemeClr val="dk1"/>
              </a:solidFill>
              <a:effectLst/>
              <a:latin typeface="+mn-lt"/>
              <a:ea typeface="+mn-ea"/>
              <a:cs typeface="+mn-cs"/>
            </a:rPr>
            <a:t>Digital transcriptions: TEPC/TANAP; Inventories of the Orphan Chamber at the Cape of Good Hope</a:t>
          </a:r>
          <a:r>
            <a:rPr lang="nl-NL" sz="1000"/>
            <a:t> </a:t>
          </a:r>
        </a:p>
        <a:p>
          <a:r>
            <a:rPr lang="nl-NL" sz="1000" b="0" i="0" u="none" strike="noStrike">
              <a:solidFill>
                <a:schemeClr val="dk1"/>
              </a:solidFill>
              <a:effectLst/>
              <a:latin typeface="+mn-lt"/>
              <a:ea typeface="+mn-ea"/>
              <a:cs typeface="+mn-cs"/>
            </a:rPr>
            <a:t>MOOC8 &amp; 10:</a:t>
          </a:r>
          <a:r>
            <a:rPr lang="nl-NL" sz="1000" b="0" i="0" u="none" strike="noStrike" baseline="0">
              <a:solidFill>
                <a:schemeClr val="dk1"/>
              </a:solidFill>
              <a:effectLst/>
              <a:latin typeface="+mn-lt"/>
              <a:ea typeface="+mn-ea"/>
              <a:cs typeface="+mn-cs"/>
            </a:rPr>
            <a:t> </a:t>
          </a:r>
          <a:r>
            <a:rPr lang="nl-NL" sz="1000" b="0" i="0" u="sng" strike="noStrike" baseline="0">
              <a:solidFill>
                <a:srgbClr val="0000FF"/>
              </a:solidFill>
              <a:effectLst/>
              <a:latin typeface="+mn-lt"/>
              <a:ea typeface="+mn-ea"/>
              <a:cs typeface="+mn-cs"/>
            </a:rPr>
            <a:t>databases.tanap.net/mooc </a:t>
          </a:r>
          <a:endParaRPr lang="nl-NL" sz="1000" u="sng">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51955</xdr:colOff>
      <xdr:row>92</xdr:row>
      <xdr:rowOff>163946</xdr:rowOff>
    </xdr:from>
    <xdr:to>
      <xdr:col>55</xdr:col>
      <xdr:colOff>496454</xdr:colOff>
      <xdr:row>114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212117</xdr:colOff>
      <xdr:row>18</xdr:row>
      <xdr:rowOff>124873</xdr:rowOff>
    </xdr:from>
    <xdr:to>
      <xdr:col>37</xdr:col>
      <xdr:colOff>316164</xdr:colOff>
      <xdr:row>42</xdr:row>
      <xdr:rowOff>80042</xdr:rowOff>
    </xdr:to>
    <xdr:graphicFrame macro="">
      <xdr:nvGraphicFramePr>
        <xdr:cNvPr id="4" name="Chart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554692</xdr:colOff>
      <xdr:row>7</xdr:row>
      <xdr:rowOff>107577</xdr:rowOff>
    </xdr:from>
    <xdr:to>
      <xdr:col>28</xdr:col>
      <xdr:colOff>285751</xdr:colOff>
      <xdr:row>25</xdr:row>
      <xdr:rowOff>26894</xdr:rowOff>
    </xdr:to>
    <xdr:graphicFrame macro="">
      <xdr:nvGraphicFramePr>
        <xdr:cNvPr id="16" name="Chart 15">
          <a:extLst>
            <a:ext uri="{FF2B5EF4-FFF2-40B4-BE49-F238E27FC236}">
              <a16:creationId xmlns="" xmlns:a16="http://schemas.microsoft.com/office/drawing/2014/main" id="{00000000-0008-0000-0B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168088</xdr:colOff>
      <xdr:row>4</xdr:row>
      <xdr:rowOff>156889</xdr:rowOff>
    </xdr:from>
    <xdr:to>
      <xdr:col>22</xdr:col>
      <xdr:colOff>504265</xdr:colOff>
      <xdr:row>19</xdr:row>
      <xdr:rowOff>42589</xdr:rowOff>
    </xdr:to>
    <xdr:graphicFrame macro="">
      <xdr:nvGraphicFramePr>
        <xdr:cNvPr id="2" name="Chart 1">
          <a:extLst>
            <a:ext uri="{FF2B5EF4-FFF2-40B4-BE49-F238E27FC236}">
              <a16:creationId xmlns=""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4" Type="http://schemas.openxmlformats.org/officeDocument/2006/relationships/comments" Target="../comments10.xml"/><Relationship Id="rId1" Type="http://schemas.openxmlformats.org/officeDocument/2006/relationships/printerSettings" Target="../printerSettings/printerSettings8.bin"/><Relationship Id="rId2"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vmlDrawing" Target="../drawings/vmlDrawing11.vml"/><Relationship Id="rId3"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vmlDrawing" Target="../drawings/vmlDrawing12.vml"/><Relationship Id="rId3"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14.vml"/><Relationship Id="rId2" Type="http://schemas.openxmlformats.org/officeDocument/2006/relationships/comments" Target="../comments1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130" zoomScaleNormal="130" zoomScalePageLayoutView="130" workbookViewId="0">
      <selection activeCell="B70" sqref="B70"/>
    </sheetView>
  </sheetViews>
  <sheetFormatPr baseColWidth="10" defaultColWidth="8.83203125" defaultRowHeight="13" x14ac:dyDescent="0.15"/>
  <cols>
    <col min="1" max="1" width="16.5" customWidth="1"/>
  </cols>
  <sheetData>
    <row r="1" spans="1:1" s="107" customFormat="1" x14ac:dyDescent="0.15"/>
    <row r="2" spans="1:1" s="107" customFormat="1" ht="16" x14ac:dyDescent="0.2">
      <c r="A2" s="120"/>
    </row>
    <row r="3" spans="1:1" s="107" customFormat="1" x14ac:dyDescent="0.15"/>
    <row r="4" spans="1:1" s="107" customFormat="1" x14ac:dyDescent="0.15"/>
    <row r="5" spans="1:1" s="107" customFormat="1" x14ac:dyDescent="0.15"/>
    <row r="6" spans="1:1" s="107" customFormat="1" ht="16" x14ac:dyDescent="0.2">
      <c r="A6" s="120"/>
    </row>
    <row r="8" spans="1:1" x14ac:dyDescent="0.15">
      <c r="A8" s="53"/>
    </row>
    <row r="17" spans="1:1" x14ac:dyDescent="0.15">
      <c r="A17" s="53"/>
    </row>
    <row r="18" spans="1:1" x14ac:dyDescent="0.15">
      <c r="A18" s="53"/>
    </row>
    <row r="19" spans="1:1" x14ac:dyDescent="0.15">
      <c r="A19" s="54"/>
    </row>
    <row r="24" spans="1:1" x14ac:dyDescent="0.15">
      <c r="A24" s="54"/>
    </row>
    <row r="27" spans="1:1" x14ac:dyDescent="0.15">
      <c r="A27" s="54"/>
    </row>
    <row r="30" spans="1:1" x14ac:dyDescent="0.15">
      <c r="A30" s="104"/>
    </row>
    <row r="32" spans="1:1" x14ac:dyDescent="0.15">
      <c r="A32" s="54"/>
    </row>
    <row r="59" spans="1:1" x14ac:dyDescent="0.15">
      <c r="A59" t="s">
        <v>1075</v>
      </c>
    </row>
    <row r="60" spans="1:1" x14ac:dyDescent="0.15">
      <c r="A60" t="s">
        <v>1076</v>
      </c>
    </row>
    <row r="61" spans="1:1" x14ac:dyDescent="0.15">
      <c r="A61" s="107" t="s">
        <v>1077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67"/>
  <sheetViews>
    <sheetView zoomScale="85" zoomScaleNormal="85" zoomScalePageLayoutView="85" workbookViewId="0">
      <pane xSplit="1" ySplit="6" topLeftCell="B7" activePane="bottomRight" state="frozen"/>
      <selection pane="topRight" activeCell="B1" sqref="B1"/>
      <selection pane="bottomLeft" activeCell="A7" sqref="A7"/>
      <selection pane="bottomRight" activeCell="V31" sqref="V31"/>
    </sheetView>
  </sheetViews>
  <sheetFormatPr baseColWidth="10" defaultColWidth="8.83203125" defaultRowHeight="13" x14ac:dyDescent="0.15"/>
  <cols>
    <col min="1" max="1" width="8.83203125" style="38"/>
    <col min="2" max="15" width="8.83203125" style="31"/>
    <col min="16" max="16" width="8.83203125" style="90"/>
    <col min="17" max="17" width="8.83203125" style="31"/>
    <col min="18" max="19" width="8.83203125" style="29"/>
  </cols>
  <sheetData>
    <row r="1" spans="1:21" x14ac:dyDescent="0.15">
      <c r="B1" s="45" t="s">
        <v>62</v>
      </c>
      <c r="Q1" s="31" t="s">
        <v>124</v>
      </c>
      <c r="R1" s="109"/>
      <c r="S1" s="109" t="s">
        <v>66</v>
      </c>
    </row>
    <row r="2" spans="1:21" x14ac:dyDescent="0.15">
      <c r="A2" s="38" t="s">
        <v>125</v>
      </c>
      <c r="B2" s="31" t="s">
        <v>126</v>
      </c>
      <c r="C2" s="31" t="s">
        <v>127</v>
      </c>
      <c r="D2" s="31" t="s">
        <v>128</v>
      </c>
      <c r="E2" s="31" t="s">
        <v>129</v>
      </c>
      <c r="F2" s="31" t="s">
        <v>130</v>
      </c>
      <c r="G2" s="31" t="s">
        <v>131</v>
      </c>
      <c r="H2" s="31" t="s">
        <v>132</v>
      </c>
      <c r="I2" s="31" t="s">
        <v>132</v>
      </c>
      <c r="J2" s="31" t="s">
        <v>133</v>
      </c>
      <c r="K2" s="31" t="s">
        <v>133</v>
      </c>
      <c r="L2" s="31" t="s">
        <v>134</v>
      </c>
      <c r="M2" s="31" t="s">
        <v>134</v>
      </c>
      <c r="N2" s="31" t="s">
        <v>133</v>
      </c>
      <c r="O2" s="31" t="s">
        <v>44</v>
      </c>
      <c r="Q2" s="45" t="s">
        <v>63</v>
      </c>
      <c r="R2" s="109"/>
      <c r="S2" s="45" t="s">
        <v>44</v>
      </c>
    </row>
    <row r="3" spans="1:21" x14ac:dyDescent="0.15">
      <c r="A3" s="38" t="s">
        <v>68</v>
      </c>
      <c r="B3" s="31" t="s">
        <v>72</v>
      </c>
      <c r="C3" s="31" t="s">
        <v>72</v>
      </c>
      <c r="D3" s="31" t="s">
        <v>77</v>
      </c>
      <c r="E3" s="31" t="s">
        <v>77</v>
      </c>
      <c r="F3" s="31" t="s">
        <v>77</v>
      </c>
      <c r="G3" s="31" t="s">
        <v>77</v>
      </c>
      <c r="H3" s="31" t="s">
        <v>135</v>
      </c>
      <c r="I3" s="31" t="s">
        <v>136</v>
      </c>
      <c r="J3" s="31" t="s">
        <v>135</v>
      </c>
      <c r="K3" s="31" t="s">
        <v>136</v>
      </c>
      <c r="L3" s="31" t="s">
        <v>135</v>
      </c>
      <c r="M3" s="31" t="s">
        <v>136</v>
      </c>
      <c r="N3" s="31" t="s">
        <v>73</v>
      </c>
      <c r="O3" s="31" t="s">
        <v>95</v>
      </c>
      <c r="Q3" s="31" t="s">
        <v>82</v>
      </c>
      <c r="R3" s="109" t="s">
        <v>137</v>
      </c>
      <c r="S3" s="109" t="s">
        <v>82</v>
      </c>
    </row>
    <row r="4" spans="1:21" x14ac:dyDescent="0.15">
      <c r="A4" s="31" t="s">
        <v>84</v>
      </c>
      <c r="B4" s="31" t="s">
        <v>85</v>
      </c>
      <c r="C4" s="31" t="s">
        <v>85</v>
      </c>
      <c r="D4" s="31" t="s">
        <v>85</v>
      </c>
      <c r="E4" s="31" t="s">
        <v>85</v>
      </c>
      <c r="F4" s="31" t="s">
        <v>85</v>
      </c>
      <c r="G4" s="31" t="s">
        <v>85</v>
      </c>
      <c r="H4" s="31" t="s">
        <v>85</v>
      </c>
      <c r="I4" s="31" t="s">
        <v>85</v>
      </c>
      <c r="J4" s="31" t="s">
        <v>85</v>
      </c>
      <c r="K4" s="31" t="s">
        <v>85</v>
      </c>
      <c r="L4" s="31" t="s">
        <v>85</v>
      </c>
      <c r="M4" s="31" t="s">
        <v>85</v>
      </c>
      <c r="N4" s="31" t="s">
        <v>85</v>
      </c>
      <c r="O4" s="31" t="s">
        <v>55</v>
      </c>
      <c r="Q4" s="31" t="s">
        <v>85</v>
      </c>
      <c r="R4" s="31" t="s">
        <v>55</v>
      </c>
      <c r="S4" s="109" t="s">
        <v>55</v>
      </c>
      <c r="U4" s="31" t="s">
        <v>1031</v>
      </c>
    </row>
    <row r="5" spans="1:21" x14ac:dyDescent="0.15">
      <c r="A5" s="31" t="s">
        <v>91</v>
      </c>
      <c r="B5" s="31" t="s">
        <v>138</v>
      </c>
      <c r="C5" s="31" t="s">
        <v>138</v>
      </c>
      <c r="D5" s="31" t="s">
        <v>138</v>
      </c>
      <c r="E5" s="31" t="s">
        <v>138</v>
      </c>
      <c r="F5" s="31" t="s">
        <v>138</v>
      </c>
      <c r="G5" s="31" t="s">
        <v>138</v>
      </c>
      <c r="H5" s="31" t="s">
        <v>138</v>
      </c>
      <c r="I5" s="31" t="s">
        <v>138</v>
      </c>
      <c r="J5" s="31" t="s">
        <v>138</v>
      </c>
      <c r="K5" s="31" t="s">
        <v>138</v>
      </c>
      <c r="L5" s="31" t="s">
        <v>138</v>
      </c>
      <c r="M5" s="31" t="s">
        <v>138</v>
      </c>
      <c r="N5" s="31" t="s">
        <v>138</v>
      </c>
      <c r="O5" s="31" t="s">
        <v>139</v>
      </c>
      <c r="Q5" s="31" t="s">
        <v>138</v>
      </c>
      <c r="R5" s="31" t="s">
        <v>138</v>
      </c>
      <c r="S5" s="109" t="s">
        <v>139</v>
      </c>
    </row>
    <row r="7" spans="1:21" x14ac:dyDescent="0.15">
      <c r="A7" s="38">
        <v>1653</v>
      </c>
      <c r="R7" s="109"/>
      <c r="S7" s="109"/>
    </row>
    <row r="8" spans="1:21" x14ac:dyDescent="0.15">
      <c r="A8" s="38">
        <f t="shared" ref="A8:A52" si="0">A9-1</f>
        <v>1654</v>
      </c>
      <c r="R8" s="109"/>
      <c r="S8" s="109"/>
    </row>
    <row r="9" spans="1:21" x14ac:dyDescent="0.15">
      <c r="A9" s="38">
        <f t="shared" si="0"/>
        <v>1655</v>
      </c>
      <c r="B9" s="31">
        <v>8.9250000000000007</v>
      </c>
      <c r="Q9" s="31">
        <f>AVERAGE(B9:H9,J9)</f>
        <v>8.9250000000000007</v>
      </c>
      <c r="R9" s="109">
        <f>Q9*7.84</f>
        <v>69.972000000000008</v>
      </c>
      <c r="S9" s="109">
        <f>R9/(12.78*0.93)</f>
        <v>5.8872229794537843</v>
      </c>
    </row>
    <row r="10" spans="1:21" x14ac:dyDescent="0.15">
      <c r="A10" s="38">
        <f t="shared" si="0"/>
        <v>1656</v>
      </c>
      <c r="R10" s="109"/>
      <c r="S10" s="109"/>
    </row>
    <row r="11" spans="1:21" x14ac:dyDescent="0.15">
      <c r="A11" s="38">
        <f t="shared" si="0"/>
        <v>1657</v>
      </c>
      <c r="R11" s="109"/>
      <c r="S11" s="109"/>
    </row>
    <row r="12" spans="1:21" x14ac:dyDescent="0.15">
      <c r="A12" s="38">
        <f t="shared" si="0"/>
        <v>1658</v>
      </c>
      <c r="B12" s="31">
        <v>8.9166666666666661</v>
      </c>
      <c r="Q12" s="31">
        <f>AVERAGE(B12:H12,J12)</f>
        <v>8.9166666666666661</v>
      </c>
      <c r="R12" s="109">
        <f>Q12*7.84</f>
        <v>69.906666666666666</v>
      </c>
      <c r="S12" s="109">
        <f>R12/(12.78*0.93)</f>
        <v>5.8817260392302035</v>
      </c>
    </row>
    <row r="13" spans="1:21" x14ac:dyDescent="0.15">
      <c r="A13" s="38">
        <f t="shared" si="0"/>
        <v>1659</v>
      </c>
      <c r="R13" s="109"/>
      <c r="S13" s="109"/>
    </row>
    <row r="14" spans="1:21" x14ac:dyDescent="0.15">
      <c r="A14" s="38">
        <f t="shared" si="0"/>
        <v>1660</v>
      </c>
      <c r="B14" s="31">
        <v>8.9250000000000007</v>
      </c>
      <c r="Q14" s="31">
        <f>AVERAGE(B14:H14,J14)</f>
        <v>8.9250000000000007</v>
      </c>
      <c r="R14" s="109">
        <f>Q14*7.84</f>
        <v>69.972000000000008</v>
      </c>
      <c r="S14" s="109">
        <f>R14/(12.78*0.93)</f>
        <v>5.8872229794537843</v>
      </c>
    </row>
    <row r="15" spans="1:21" x14ac:dyDescent="0.15">
      <c r="A15" s="38">
        <f t="shared" si="0"/>
        <v>1661</v>
      </c>
      <c r="R15" s="109"/>
      <c r="S15" s="109"/>
    </row>
    <row r="16" spans="1:21" x14ac:dyDescent="0.15">
      <c r="A16" s="38">
        <f t="shared" si="0"/>
        <v>1662</v>
      </c>
      <c r="B16" s="31">
        <v>4.2</v>
      </c>
      <c r="Q16" s="31">
        <f>AVERAGE(B16:H16,J16)</f>
        <v>4.2</v>
      </c>
      <c r="R16" s="109">
        <f t="shared" ref="R16:R17" si="1">Q16*7.84</f>
        <v>32.927999999999997</v>
      </c>
      <c r="S16" s="109">
        <f t="shared" ref="S16:S17" si="2">R16/(12.78*0.93)</f>
        <v>2.7704578726841329</v>
      </c>
    </row>
    <row r="17" spans="1:19" x14ac:dyDescent="0.15">
      <c r="A17" s="38">
        <f t="shared" si="0"/>
        <v>1663</v>
      </c>
      <c r="B17" s="31">
        <v>4.2</v>
      </c>
      <c r="Q17" s="31">
        <f>AVERAGE(B17:H17,J17)</f>
        <v>4.2</v>
      </c>
      <c r="R17" s="109">
        <f t="shared" si="1"/>
        <v>32.927999999999997</v>
      </c>
      <c r="S17" s="109">
        <f t="shared" si="2"/>
        <v>2.7704578726841329</v>
      </c>
    </row>
    <row r="18" spans="1:19" x14ac:dyDescent="0.15">
      <c r="A18" s="38">
        <f t="shared" si="0"/>
        <v>1664</v>
      </c>
      <c r="R18" s="109"/>
      <c r="S18" s="109"/>
    </row>
    <row r="19" spans="1:19" x14ac:dyDescent="0.15">
      <c r="A19" s="38">
        <f t="shared" si="0"/>
        <v>1665</v>
      </c>
      <c r="B19" s="31">
        <v>4.8864843750000002</v>
      </c>
      <c r="Q19" s="31">
        <f>AVERAGE(B19:H19,J19)</f>
        <v>4.8864843750000002</v>
      </c>
      <c r="R19" s="109">
        <f t="shared" ref="R19:R23" si="3">Q19*7.84</f>
        <v>38.3100375</v>
      </c>
      <c r="S19" s="109">
        <f t="shared" ref="S19:S23" si="4">R19/(12.78*0.93)</f>
        <v>3.2232855015397042</v>
      </c>
    </row>
    <row r="20" spans="1:19" x14ac:dyDescent="0.15">
      <c r="A20" s="38">
        <f t="shared" si="0"/>
        <v>1666</v>
      </c>
      <c r="B20" s="31">
        <v>4.8746189024390247</v>
      </c>
      <c r="Q20" s="31">
        <f>AVERAGE(B20:H20,J20)</f>
        <v>4.8746189024390247</v>
      </c>
      <c r="R20" s="109">
        <f t="shared" si="3"/>
        <v>38.217012195121953</v>
      </c>
      <c r="S20" s="109">
        <f t="shared" si="4"/>
        <v>3.2154586463326393</v>
      </c>
    </row>
    <row r="21" spans="1:19" x14ac:dyDescent="0.15">
      <c r="A21" s="38">
        <f t="shared" si="0"/>
        <v>1667</v>
      </c>
      <c r="B21" s="31">
        <v>4.8779785156250002</v>
      </c>
      <c r="Q21" s="31">
        <f>AVERAGE(B21:H21,J21)</f>
        <v>4.8779785156250002</v>
      </c>
      <c r="R21" s="109">
        <f t="shared" si="3"/>
        <v>38.243351562500003</v>
      </c>
      <c r="S21" s="109">
        <f t="shared" si="4"/>
        <v>3.2176747574755584</v>
      </c>
    </row>
    <row r="22" spans="1:19" x14ac:dyDescent="0.15">
      <c r="A22" s="38">
        <f t="shared" si="0"/>
        <v>1668</v>
      </c>
      <c r="B22" s="31">
        <v>5.5</v>
      </c>
      <c r="Q22" s="31">
        <f>AVERAGE(B22:H22,J22)</f>
        <v>5.5</v>
      </c>
      <c r="R22" s="109">
        <f t="shared" si="3"/>
        <v>43.12</v>
      </c>
      <c r="S22" s="109">
        <f t="shared" si="4"/>
        <v>3.6279805475625553</v>
      </c>
    </row>
    <row r="23" spans="1:19" x14ac:dyDescent="0.15">
      <c r="A23" s="38">
        <f t="shared" si="0"/>
        <v>1669</v>
      </c>
      <c r="B23" s="31">
        <v>5.5</v>
      </c>
      <c r="Q23" s="31">
        <f>AVERAGE(B23:H23,J23)</f>
        <v>5.5</v>
      </c>
      <c r="R23" s="109">
        <f t="shared" si="3"/>
        <v>43.12</v>
      </c>
      <c r="S23" s="109">
        <f t="shared" si="4"/>
        <v>3.6279805475625553</v>
      </c>
    </row>
    <row r="24" spans="1:19" x14ac:dyDescent="0.15">
      <c r="A24" s="38">
        <f t="shared" si="0"/>
        <v>1670</v>
      </c>
      <c r="R24" s="109"/>
      <c r="S24" s="109"/>
    </row>
    <row r="25" spans="1:19" x14ac:dyDescent="0.15">
      <c r="A25" s="38">
        <f t="shared" si="0"/>
        <v>1671</v>
      </c>
      <c r="R25" s="109"/>
      <c r="S25" s="109"/>
    </row>
    <row r="26" spans="1:19" x14ac:dyDescent="0.15">
      <c r="A26" s="38">
        <f t="shared" si="0"/>
        <v>1672</v>
      </c>
      <c r="B26" s="31">
        <v>8</v>
      </c>
      <c r="Q26" s="31">
        <f>AVERAGE(B26:H26,J26)</f>
        <v>8</v>
      </c>
      <c r="R26" s="109">
        <f t="shared" ref="R26:R28" si="5">Q26*7.84</f>
        <v>62.72</v>
      </c>
      <c r="S26" s="109">
        <f t="shared" ref="S26:S28" si="6">R26/(12.78*0.93)</f>
        <v>5.2770626146364448</v>
      </c>
    </row>
    <row r="27" spans="1:19" x14ac:dyDescent="0.15">
      <c r="A27" s="38">
        <f t="shared" si="0"/>
        <v>1673</v>
      </c>
      <c r="B27" s="31">
        <v>8</v>
      </c>
      <c r="Q27" s="31">
        <f>AVERAGE(B27:H27,J27)</f>
        <v>8</v>
      </c>
      <c r="R27" s="109">
        <f t="shared" si="5"/>
        <v>62.72</v>
      </c>
      <c r="S27" s="109">
        <f t="shared" si="6"/>
        <v>5.2770626146364448</v>
      </c>
    </row>
    <row r="28" spans="1:19" x14ac:dyDescent="0.15">
      <c r="A28" s="38">
        <f t="shared" si="0"/>
        <v>1674</v>
      </c>
      <c r="B28" s="31">
        <v>8</v>
      </c>
      <c r="Q28" s="31">
        <f>AVERAGE(B28:H28,J28)</f>
        <v>8</v>
      </c>
      <c r="R28" s="109">
        <f t="shared" si="5"/>
        <v>62.72</v>
      </c>
      <c r="S28" s="109">
        <f t="shared" si="6"/>
        <v>5.2770626146364448</v>
      </c>
    </row>
    <row r="29" spans="1:19" x14ac:dyDescent="0.15">
      <c r="A29" s="38">
        <f t="shared" si="0"/>
        <v>1675</v>
      </c>
      <c r="R29" s="109"/>
      <c r="S29" s="109"/>
    </row>
    <row r="30" spans="1:19" x14ac:dyDescent="0.15">
      <c r="A30" s="38">
        <f t="shared" si="0"/>
        <v>1676</v>
      </c>
      <c r="B30" s="89">
        <v>8</v>
      </c>
      <c r="Q30" s="31">
        <f>AVERAGE(B30:H30,J30)</f>
        <v>8</v>
      </c>
      <c r="R30" s="109">
        <f t="shared" ref="R30:R31" si="7">Q30*7.84</f>
        <v>62.72</v>
      </c>
      <c r="S30" s="109">
        <f t="shared" ref="S30:S31" si="8">R30/(12.78*0.93)</f>
        <v>5.2770626146364448</v>
      </c>
    </row>
    <row r="31" spans="1:19" x14ac:dyDescent="0.15">
      <c r="A31" s="38">
        <f t="shared" si="0"/>
        <v>1677</v>
      </c>
      <c r="B31" s="31">
        <v>8</v>
      </c>
      <c r="Q31" s="31">
        <f>AVERAGE(B31:H31,J31)</f>
        <v>8</v>
      </c>
      <c r="R31" s="109">
        <f t="shared" si="7"/>
        <v>62.72</v>
      </c>
      <c r="S31" s="109">
        <f t="shared" si="8"/>
        <v>5.2770626146364448</v>
      </c>
    </row>
    <row r="32" spans="1:19" x14ac:dyDescent="0.15">
      <c r="A32" s="38">
        <f t="shared" si="0"/>
        <v>1678</v>
      </c>
      <c r="R32" s="109"/>
      <c r="S32" s="109"/>
    </row>
    <row r="33" spans="1:19" x14ac:dyDescent="0.15">
      <c r="A33" s="38">
        <f t="shared" si="0"/>
        <v>1679</v>
      </c>
      <c r="R33" s="109"/>
      <c r="S33" s="109"/>
    </row>
    <row r="34" spans="1:19" x14ac:dyDescent="0.15">
      <c r="A34" s="38">
        <f t="shared" si="0"/>
        <v>1680</v>
      </c>
      <c r="R34" s="109"/>
      <c r="S34" s="109"/>
    </row>
    <row r="35" spans="1:19" x14ac:dyDescent="0.15">
      <c r="A35" s="38">
        <f t="shared" si="0"/>
        <v>1681</v>
      </c>
      <c r="B35" s="89">
        <v>8</v>
      </c>
      <c r="Q35" s="31">
        <f t="shared" ref="Q35:Q40" si="9">AVERAGE(B35:H35,J35)</f>
        <v>8</v>
      </c>
      <c r="R35" s="109">
        <f>Q35*7.69</f>
        <v>61.52</v>
      </c>
      <c r="S35" s="109">
        <f t="shared" ref="S35:S40" si="10">R35/(12.78*0.93)</f>
        <v>5.1760984064482471</v>
      </c>
    </row>
    <row r="36" spans="1:19" x14ac:dyDescent="0.15">
      <c r="A36" s="38">
        <f t="shared" si="0"/>
        <v>1682</v>
      </c>
      <c r="B36" s="31">
        <v>8</v>
      </c>
      <c r="Q36" s="31">
        <f t="shared" si="9"/>
        <v>8</v>
      </c>
      <c r="R36" s="109">
        <f t="shared" ref="R36:R40" si="11">Q36*7.69</f>
        <v>61.52</v>
      </c>
      <c r="S36" s="109">
        <f t="shared" si="10"/>
        <v>5.1760984064482471</v>
      </c>
    </row>
    <row r="37" spans="1:19" x14ac:dyDescent="0.15">
      <c r="A37" s="38">
        <f t="shared" si="0"/>
        <v>1683</v>
      </c>
      <c r="B37" s="31">
        <v>8</v>
      </c>
      <c r="Q37" s="31">
        <f t="shared" si="9"/>
        <v>8</v>
      </c>
      <c r="R37" s="109">
        <f t="shared" si="11"/>
        <v>61.52</v>
      </c>
      <c r="S37" s="109">
        <f t="shared" si="10"/>
        <v>5.1760984064482471</v>
      </c>
    </row>
    <row r="38" spans="1:19" x14ac:dyDescent="0.15">
      <c r="A38" s="38">
        <f t="shared" si="0"/>
        <v>1684</v>
      </c>
      <c r="B38" s="31">
        <v>8.5</v>
      </c>
      <c r="Q38" s="31">
        <f t="shared" si="9"/>
        <v>8.5</v>
      </c>
      <c r="R38" s="109">
        <f t="shared" si="11"/>
        <v>65.365000000000009</v>
      </c>
      <c r="S38" s="109">
        <f t="shared" si="10"/>
        <v>5.4996045568512635</v>
      </c>
    </row>
    <row r="39" spans="1:19" x14ac:dyDescent="0.15">
      <c r="A39" s="38">
        <f t="shared" si="0"/>
        <v>1685</v>
      </c>
      <c r="B39" s="31">
        <v>8</v>
      </c>
      <c r="Q39" s="31">
        <f t="shared" si="9"/>
        <v>8</v>
      </c>
      <c r="R39" s="109">
        <f t="shared" si="11"/>
        <v>61.52</v>
      </c>
      <c r="S39" s="109">
        <f t="shared" si="10"/>
        <v>5.1760984064482471</v>
      </c>
    </row>
    <row r="40" spans="1:19" x14ac:dyDescent="0.15">
      <c r="A40" s="38">
        <f t="shared" si="0"/>
        <v>1686</v>
      </c>
      <c r="B40" s="31">
        <v>8</v>
      </c>
      <c r="Q40" s="31">
        <f t="shared" si="9"/>
        <v>8</v>
      </c>
      <c r="R40" s="109">
        <f t="shared" si="11"/>
        <v>61.52</v>
      </c>
      <c r="S40" s="109">
        <f t="shared" si="10"/>
        <v>5.1760984064482471</v>
      </c>
    </row>
    <row r="41" spans="1:19" x14ac:dyDescent="0.15">
      <c r="A41" s="38">
        <f t="shared" si="0"/>
        <v>1687</v>
      </c>
      <c r="R41" s="109"/>
      <c r="S41" s="109"/>
    </row>
    <row r="42" spans="1:19" x14ac:dyDescent="0.15">
      <c r="A42" s="38">
        <f t="shared" si="0"/>
        <v>1688</v>
      </c>
      <c r="R42" s="109"/>
      <c r="S42" s="109"/>
    </row>
    <row r="43" spans="1:19" x14ac:dyDescent="0.15">
      <c r="A43" s="38">
        <f t="shared" si="0"/>
        <v>1689</v>
      </c>
      <c r="B43" s="31">
        <v>4.4333333333333336</v>
      </c>
      <c r="Q43" s="31">
        <f>AVERAGE(B43:H43,J43)</f>
        <v>4.4333333333333336</v>
      </c>
      <c r="R43" s="109">
        <f>Q43*7.69</f>
        <v>34.092333333333336</v>
      </c>
      <c r="S43" s="109">
        <f>R43/(12.78*0.93)</f>
        <v>2.8684212002400704</v>
      </c>
    </row>
    <row r="44" spans="1:19" x14ac:dyDescent="0.15">
      <c r="A44" s="38">
        <f t="shared" si="0"/>
        <v>1690</v>
      </c>
      <c r="R44" s="109"/>
      <c r="S44" s="109"/>
    </row>
    <row r="45" spans="1:19" x14ac:dyDescent="0.15">
      <c r="A45" s="38">
        <f t="shared" si="0"/>
        <v>1691</v>
      </c>
      <c r="R45" s="109"/>
      <c r="S45" s="109"/>
    </row>
    <row r="46" spans="1:19" x14ac:dyDescent="0.15">
      <c r="A46" s="38">
        <f t="shared" si="0"/>
        <v>1692</v>
      </c>
      <c r="R46" s="109"/>
      <c r="S46" s="109"/>
    </row>
    <row r="47" spans="1:19" x14ac:dyDescent="0.15">
      <c r="A47" s="38">
        <f t="shared" si="0"/>
        <v>1693</v>
      </c>
      <c r="R47" s="109"/>
      <c r="S47" s="109"/>
    </row>
    <row r="48" spans="1:19" x14ac:dyDescent="0.15">
      <c r="A48" s="38">
        <f t="shared" si="0"/>
        <v>1694</v>
      </c>
      <c r="R48" s="109"/>
      <c r="S48" s="109"/>
    </row>
    <row r="49" spans="1:19" x14ac:dyDescent="0.15">
      <c r="A49" s="38">
        <f t="shared" si="0"/>
        <v>1695</v>
      </c>
      <c r="R49" s="109"/>
      <c r="S49" s="109"/>
    </row>
    <row r="50" spans="1:19" x14ac:dyDescent="0.15">
      <c r="A50" s="38">
        <f t="shared" si="0"/>
        <v>1696</v>
      </c>
      <c r="R50" s="109"/>
      <c r="S50" s="109"/>
    </row>
    <row r="51" spans="1:19" x14ac:dyDescent="0.15">
      <c r="A51" s="38">
        <f t="shared" si="0"/>
        <v>1697</v>
      </c>
      <c r="B51" s="31">
        <v>4</v>
      </c>
      <c r="Q51" s="31">
        <f>AVERAGE(B51:H51,J51)</f>
        <v>4</v>
      </c>
      <c r="R51" s="109">
        <f t="shared" ref="R51:R53" si="12">Q51*7.69</f>
        <v>30.76</v>
      </c>
      <c r="S51" s="109">
        <f t="shared" ref="S51:S53" si="13">R51/(12.78*0.93)</f>
        <v>2.5880492032241236</v>
      </c>
    </row>
    <row r="52" spans="1:19" x14ac:dyDescent="0.15">
      <c r="A52" s="38">
        <f t="shared" si="0"/>
        <v>1698</v>
      </c>
      <c r="B52" s="31">
        <v>4.45</v>
      </c>
      <c r="Q52" s="31">
        <f>AVERAGE(B52:H52,J52)</f>
        <v>4.45</v>
      </c>
      <c r="R52" s="109">
        <f t="shared" si="12"/>
        <v>34.220500000000001</v>
      </c>
      <c r="S52" s="109">
        <f t="shared" si="13"/>
        <v>2.8792047385868376</v>
      </c>
    </row>
    <row r="53" spans="1:19" x14ac:dyDescent="0.15">
      <c r="A53" s="38">
        <f>A54-1</f>
        <v>1699</v>
      </c>
      <c r="B53" s="31">
        <v>4.45</v>
      </c>
      <c r="Q53" s="31">
        <f>AVERAGE(B53:H53,J53)</f>
        <v>4.45</v>
      </c>
      <c r="R53" s="109">
        <f t="shared" si="12"/>
        <v>34.220500000000001</v>
      </c>
      <c r="S53" s="109">
        <f t="shared" si="13"/>
        <v>2.8792047385868376</v>
      </c>
    </row>
    <row r="54" spans="1:19" x14ac:dyDescent="0.15">
      <c r="A54" s="38">
        <v>1700</v>
      </c>
      <c r="R54" s="109"/>
      <c r="S54" s="109"/>
    </row>
    <row r="55" spans="1:19" x14ac:dyDescent="0.15">
      <c r="A55" s="38">
        <v>1701</v>
      </c>
      <c r="R55" s="109"/>
      <c r="S55" s="109"/>
    </row>
    <row r="56" spans="1:19" x14ac:dyDescent="0.15">
      <c r="A56" s="38">
        <v>1702</v>
      </c>
      <c r="R56" s="109"/>
      <c r="S56" s="109"/>
    </row>
    <row r="57" spans="1:19" x14ac:dyDescent="0.15">
      <c r="A57" s="38">
        <v>1703</v>
      </c>
      <c r="R57" s="109"/>
      <c r="S57" s="109"/>
    </row>
    <row r="58" spans="1:19" x14ac:dyDescent="0.15">
      <c r="A58" s="38">
        <v>1704</v>
      </c>
      <c r="R58" s="109"/>
      <c r="S58" s="109"/>
    </row>
    <row r="59" spans="1:19" x14ac:dyDescent="0.15">
      <c r="A59" s="38">
        <v>1705</v>
      </c>
      <c r="R59" s="109"/>
      <c r="S59" s="109"/>
    </row>
    <row r="60" spans="1:19" x14ac:dyDescent="0.15">
      <c r="A60" s="38">
        <v>1706</v>
      </c>
      <c r="R60" s="109"/>
      <c r="S60" s="109"/>
    </row>
    <row r="61" spans="1:19" x14ac:dyDescent="0.15">
      <c r="A61" s="38">
        <v>1707</v>
      </c>
      <c r="R61" s="109"/>
      <c r="S61" s="109"/>
    </row>
    <row r="62" spans="1:19" x14ac:dyDescent="0.15">
      <c r="A62" s="38">
        <v>1708</v>
      </c>
      <c r="D62" s="31">
        <v>6.5666666666666664</v>
      </c>
      <c r="Q62" s="31">
        <f>AVERAGE(B62:H62,J62)</f>
        <v>6.5666666666666664</v>
      </c>
      <c r="R62" s="109">
        <f t="shared" ref="R62:R63" si="14">Q62*7.69</f>
        <v>50.497666666666667</v>
      </c>
      <c r="S62" s="109">
        <f t="shared" ref="S62:S63" si="15">R62/(12.78*0.93)</f>
        <v>4.2487141086262694</v>
      </c>
    </row>
    <row r="63" spans="1:19" x14ac:dyDescent="0.15">
      <c r="A63" s="38">
        <v>1709</v>
      </c>
      <c r="E63" s="31">
        <v>5</v>
      </c>
      <c r="Q63" s="31">
        <f>AVERAGE(B63:H63,J63)</f>
        <v>5</v>
      </c>
      <c r="R63" s="109">
        <f t="shared" si="14"/>
        <v>38.450000000000003</v>
      </c>
      <c r="S63" s="109">
        <f t="shared" si="15"/>
        <v>3.2350615040301549</v>
      </c>
    </row>
    <row r="64" spans="1:19" x14ac:dyDescent="0.15">
      <c r="A64" s="38">
        <v>1710</v>
      </c>
      <c r="R64" s="109"/>
      <c r="S64" s="109"/>
    </row>
    <row r="65" spans="1:19" x14ac:dyDescent="0.15">
      <c r="A65" s="38">
        <v>1711</v>
      </c>
      <c r="R65" s="109"/>
      <c r="S65" s="109"/>
    </row>
    <row r="66" spans="1:19" x14ac:dyDescent="0.15">
      <c r="A66" s="38">
        <v>1712</v>
      </c>
      <c r="D66" s="31">
        <v>7.1999999999999993</v>
      </c>
      <c r="Q66" s="31">
        <f>AVERAGE(B66:H66,J66)</f>
        <v>7.1999999999999993</v>
      </c>
      <c r="R66" s="109">
        <f t="shared" ref="R66:R67" si="16">Q66*7.69</f>
        <v>55.367999999999995</v>
      </c>
      <c r="S66" s="109">
        <f t="shared" ref="S66:S67" si="17">R66/(12.78*0.93)</f>
        <v>4.6584885658034221</v>
      </c>
    </row>
    <row r="67" spans="1:19" x14ac:dyDescent="0.15">
      <c r="A67" s="38">
        <v>1713</v>
      </c>
      <c r="E67" s="31">
        <v>5.7166666666666659</v>
      </c>
      <c r="Q67" s="31">
        <f>AVERAGE(B67:H67,J67)</f>
        <v>5.7166666666666659</v>
      </c>
      <c r="R67" s="109">
        <f t="shared" si="16"/>
        <v>43.961166666666664</v>
      </c>
      <c r="S67" s="109">
        <f t="shared" si="17"/>
        <v>3.6987536529411429</v>
      </c>
    </row>
    <row r="68" spans="1:19" x14ac:dyDescent="0.15">
      <c r="A68" s="38">
        <v>1714</v>
      </c>
      <c r="R68" s="109"/>
      <c r="S68" s="109"/>
    </row>
    <row r="69" spans="1:19" x14ac:dyDescent="0.15">
      <c r="A69" s="38">
        <v>1715</v>
      </c>
      <c r="R69" s="109"/>
      <c r="S69" s="109"/>
    </row>
    <row r="70" spans="1:19" x14ac:dyDescent="0.15">
      <c r="A70" s="38">
        <v>1716</v>
      </c>
      <c r="R70" s="109"/>
      <c r="S70" s="109"/>
    </row>
    <row r="71" spans="1:19" x14ac:dyDescent="0.15">
      <c r="A71" s="38">
        <v>1717</v>
      </c>
      <c r="R71" s="109"/>
      <c r="S71" s="109"/>
    </row>
    <row r="72" spans="1:19" x14ac:dyDescent="0.15">
      <c r="A72" s="38">
        <v>1718</v>
      </c>
      <c r="R72" s="109"/>
      <c r="S72" s="109"/>
    </row>
    <row r="73" spans="1:19" x14ac:dyDescent="0.15">
      <c r="A73" s="38">
        <v>1719</v>
      </c>
      <c r="F73" s="31">
        <v>8</v>
      </c>
      <c r="Q73" s="31">
        <f>AVERAGE(B73:H73,J73)</f>
        <v>8</v>
      </c>
      <c r="R73" s="109">
        <f>Q73*7.69</f>
        <v>61.52</v>
      </c>
      <c r="S73" s="109">
        <f>R73/(12.78*0.93)</f>
        <v>5.1760984064482471</v>
      </c>
    </row>
    <row r="74" spans="1:19" x14ac:dyDescent="0.15">
      <c r="A74" s="38">
        <v>1720</v>
      </c>
      <c r="R74" s="109"/>
      <c r="S74" s="109"/>
    </row>
    <row r="75" spans="1:19" x14ac:dyDescent="0.15">
      <c r="A75" s="38">
        <v>1721</v>
      </c>
      <c r="D75" s="31">
        <v>7.1999999999999993</v>
      </c>
      <c r="Q75" s="31">
        <f>AVERAGE(B75:H75,J75)</f>
        <v>7.1999999999999993</v>
      </c>
      <c r="R75" s="109">
        <f t="shared" ref="R75:R76" si="18">Q75*7.69</f>
        <v>55.367999999999995</v>
      </c>
      <c r="S75" s="109">
        <f t="shared" ref="S75:S76" si="19">R75/(12.78*0.93)</f>
        <v>4.6584885658034221</v>
      </c>
    </row>
    <row r="76" spans="1:19" x14ac:dyDescent="0.15">
      <c r="A76" s="38">
        <v>1722</v>
      </c>
      <c r="D76" s="31">
        <v>4.8499999999999996</v>
      </c>
      <c r="Q76" s="31">
        <f>AVERAGE(B76:H76,J76)</f>
        <v>4.8499999999999996</v>
      </c>
      <c r="R76" s="109">
        <f t="shared" si="18"/>
        <v>37.296500000000002</v>
      </c>
      <c r="S76" s="109">
        <f t="shared" si="19"/>
        <v>3.1380096589092501</v>
      </c>
    </row>
    <row r="77" spans="1:19" x14ac:dyDescent="0.15">
      <c r="A77" s="38">
        <v>1723</v>
      </c>
      <c r="R77" s="109"/>
      <c r="S77" s="109"/>
    </row>
    <row r="78" spans="1:19" x14ac:dyDescent="0.15">
      <c r="A78" s="38">
        <v>1724</v>
      </c>
      <c r="R78" s="109"/>
      <c r="S78" s="109"/>
    </row>
    <row r="79" spans="1:19" x14ac:dyDescent="0.15">
      <c r="A79" s="38">
        <v>1725</v>
      </c>
      <c r="R79" s="109"/>
      <c r="S79" s="109"/>
    </row>
    <row r="80" spans="1:19" x14ac:dyDescent="0.15">
      <c r="A80" s="38">
        <v>1726</v>
      </c>
      <c r="R80" s="109"/>
      <c r="S80" s="109"/>
    </row>
    <row r="81" spans="1:19" x14ac:dyDescent="0.15">
      <c r="A81" s="38">
        <v>1727</v>
      </c>
      <c r="R81" s="109"/>
      <c r="S81" s="109"/>
    </row>
    <row r="82" spans="1:19" x14ac:dyDescent="0.15">
      <c r="A82" s="38">
        <v>1728</v>
      </c>
      <c r="R82" s="109"/>
      <c r="S82" s="109"/>
    </row>
    <row r="83" spans="1:19" x14ac:dyDescent="0.15">
      <c r="A83" s="38">
        <v>1729</v>
      </c>
      <c r="R83" s="109"/>
      <c r="S83" s="109"/>
    </row>
    <row r="84" spans="1:19" x14ac:dyDescent="0.15">
      <c r="A84" s="38">
        <v>1730</v>
      </c>
      <c r="R84" s="109"/>
      <c r="S84" s="109"/>
    </row>
    <row r="85" spans="1:19" x14ac:dyDescent="0.15">
      <c r="A85" s="38">
        <v>1731</v>
      </c>
      <c r="R85" s="109"/>
      <c r="S85" s="109"/>
    </row>
    <row r="86" spans="1:19" x14ac:dyDescent="0.15">
      <c r="A86" s="38">
        <v>1732</v>
      </c>
      <c r="R86" s="109"/>
      <c r="S86" s="109"/>
    </row>
    <row r="87" spans="1:19" x14ac:dyDescent="0.15">
      <c r="A87" s="38">
        <v>1733</v>
      </c>
      <c r="R87" s="109"/>
      <c r="S87" s="109"/>
    </row>
    <row r="88" spans="1:19" x14ac:dyDescent="0.15">
      <c r="A88" s="38">
        <v>1734</v>
      </c>
      <c r="R88" s="109"/>
      <c r="S88" s="109"/>
    </row>
    <row r="89" spans="1:19" x14ac:dyDescent="0.15">
      <c r="A89" s="38">
        <v>1735</v>
      </c>
      <c r="R89" s="109"/>
      <c r="S89" s="109"/>
    </row>
    <row r="90" spans="1:19" x14ac:dyDescent="0.15">
      <c r="A90" s="38">
        <v>1736</v>
      </c>
      <c r="D90" s="31">
        <v>5.25</v>
      </c>
      <c r="Q90" s="31">
        <f>AVERAGE(B90:H90,J90)</f>
        <v>5.25</v>
      </c>
      <c r="R90" s="109">
        <f>Q90*7.69</f>
        <v>40.372500000000002</v>
      </c>
      <c r="S90" s="109">
        <f>R90/(12.78*0.93)</f>
        <v>3.3968145792316622</v>
      </c>
    </row>
    <row r="91" spans="1:19" x14ac:dyDescent="0.15">
      <c r="A91" s="38">
        <v>1737</v>
      </c>
      <c r="R91" s="109"/>
      <c r="S91" s="109"/>
    </row>
    <row r="92" spans="1:19" x14ac:dyDescent="0.15">
      <c r="A92" s="38">
        <v>1738</v>
      </c>
      <c r="R92" s="109"/>
      <c r="S92" s="109"/>
    </row>
    <row r="93" spans="1:19" x14ac:dyDescent="0.15">
      <c r="A93" s="38">
        <v>1739</v>
      </c>
      <c r="R93" s="109"/>
      <c r="S93" s="109"/>
    </row>
    <row r="94" spans="1:19" x14ac:dyDescent="0.15">
      <c r="A94" s="38">
        <v>1740</v>
      </c>
      <c r="R94" s="109"/>
      <c r="S94" s="109"/>
    </row>
    <row r="95" spans="1:19" x14ac:dyDescent="0.15">
      <c r="A95" s="38">
        <v>1741</v>
      </c>
      <c r="R95" s="109"/>
      <c r="S95" s="109"/>
    </row>
    <row r="96" spans="1:19" x14ac:dyDescent="0.15">
      <c r="A96" s="38">
        <v>1742</v>
      </c>
      <c r="R96" s="109"/>
      <c r="S96" s="109"/>
    </row>
    <row r="97" spans="1:19" x14ac:dyDescent="0.15">
      <c r="A97" s="38">
        <v>1743</v>
      </c>
      <c r="R97" s="109"/>
      <c r="S97" s="109"/>
    </row>
    <row r="98" spans="1:19" x14ac:dyDescent="0.15">
      <c r="A98" s="38">
        <v>1744</v>
      </c>
      <c r="R98" s="109"/>
      <c r="S98" s="109"/>
    </row>
    <row r="99" spans="1:19" x14ac:dyDescent="0.15">
      <c r="A99" s="38">
        <v>1745</v>
      </c>
      <c r="D99" s="31">
        <v>6.9254999999999942</v>
      </c>
      <c r="Q99" s="31">
        <f>AVERAGE(B99:H99,J99)</f>
        <v>6.9254999999999942</v>
      </c>
      <c r="R99" s="109">
        <f>Q99*8.04</f>
        <v>55.681019999999947</v>
      </c>
      <c r="S99" s="109">
        <f>R99/(12.78*0.93)</f>
        <v>4.6848250795093094</v>
      </c>
    </row>
    <row r="100" spans="1:19" x14ac:dyDescent="0.15">
      <c r="A100" s="38">
        <v>1746</v>
      </c>
      <c r="R100" s="109"/>
      <c r="S100" s="109"/>
    </row>
    <row r="101" spans="1:19" ht="14" x14ac:dyDescent="0.2">
      <c r="A101" s="38">
        <v>1747</v>
      </c>
      <c r="L101" s="75">
        <v>4.6843750000000002</v>
      </c>
      <c r="M101" s="75">
        <v>7.2</v>
      </c>
      <c r="Q101" s="31">
        <f>AVERAGE(B101:N101)</f>
        <v>5.9421875000000002</v>
      </c>
      <c r="R101" s="109">
        <f t="shared" ref="R101:R103" si="20">Q101*8.04</f>
        <v>47.775187499999994</v>
      </c>
      <c r="S101" s="109">
        <f t="shared" ref="S101:S103" si="21">R101/(12.78*0.93)</f>
        <v>4.0196533141501334</v>
      </c>
    </row>
    <row r="102" spans="1:19" ht="14" x14ac:dyDescent="0.2">
      <c r="A102" s="38">
        <v>1748</v>
      </c>
      <c r="L102" s="75">
        <v>4.6812500000000004</v>
      </c>
      <c r="M102" s="75">
        <v>6.270833333333333</v>
      </c>
      <c r="Q102" s="31">
        <f>AVERAGE(B102:N102)</f>
        <v>5.4760416666666671</v>
      </c>
      <c r="R102" s="109">
        <f t="shared" si="20"/>
        <v>44.027374999999999</v>
      </c>
      <c r="S102" s="109">
        <f t="shared" si="21"/>
        <v>3.7043242128998601</v>
      </c>
    </row>
    <row r="103" spans="1:19" ht="14" x14ac:dyDescent="0.2">
      <c r="A103" s="38">
        <v>1749</v>
      </c>
      <c r="L103" s="75">
        <v>4.7690624999999995</v>
      </c>
      <c r="M103" s="75">
        <v>6.3</v>
      </c>
      <c r="Q103" s="31">
        <f>AVERAGE(B103:N103)</f>
        <v>5.5345312499999997</v>
      </c>
      <c r="R103" s="109">
        <f t="shared" si="20"/>
        <v>44.497631249999991</v>
      </c>
      <c r="S103" s="109">
        <f t="shared" si="21"/>
        <v>3.7438900878388601</v>
      </c>
    </row>
    <row r="104" spans="1:19" x14ac:dyDescent="0.15">
      <c r="A104" s="38">
        <v>1750</v>
      </c>
      <c r="R104" s="109"/>
      <c r="S104" s="109"/>
    </row>
    <row r="105" spans="1:19" x14ac:dyDescent="0.15">
      <c r="A105" s="38">
        <v>1751</v>
      </c>
      <c r="R105" s="109"/>
      <c r="S105" s="109"/>
    </row>
    <row r="106" spans="1:19" x14ac:dyDescent="0.15">
      <c r="A106" s="38">
        <v>1752</v>
      </c>
      <c r="D106" s="31">
        <v>7.1999999999999993</v>
      </c>
      <c r="Q106" s="31">
        <f>AVERAGE(B106:H106,J106)</f>
        <v>7.1999999999999993</v>
      </c>
      <c r="R106" s="109">
        <f>Q106*8.04</f>
        <v>57.887999999999991</v>
      </c>
      <c r="S106" s="109">
        <f>R106/(12.78*0.93)</f>
        <v>4.8705134029986361</v>
      </c>
    </row>
    <row r="107" spans="1:19" x14ac:dyDescent="0.15">
      <c r="A107" s="38">
        <f>A106+1</f>
        <v>1753</v>
      </c>
      <c r="R107" s="109"/>
      <c r="S107" s="109"/>
    </row>
    <row r="108" spans="1:19" x14ac:dyDescent="0.15">
      <c r="A108" s="38">
        <f t="shared" ref="A108:A147" si="22">A107+1</f>
        <v>1754</v>
      </c>
      <c r="H108" s="31">
        <v>5.5171875000000004</v>
      </c>
      <c r="I108" s="31">
        <v>9.6224999999999987</v>
      </c>
      <c r="J108" s="31">
        <v>5.5171875000000004</v>
      </c>
      <c r="K108" s="31">
        <v>9.6224999999999987</v>
      </c>
      <c r="Q108" s="31">
        <f>AVERAGE(B108:L108)</f>
        <v>7.5698437499999995</v>
      </c>
      <c r="R108" s="109">
        <f>Q108*8.04</f>
        <v>60.861543749999989</v>
      </c>
      <c r="S108" s="109">
        <f>R108/(12.78*0.93)</f>
        <v>5.1206979781917301</v>
      </c>
    </row>
    <row r="109" spans="1:19" x14ac:dyDescent="0.15">
      <c r="A109" s="38">
        <f t="shared" si="22"/>
        <v>1755</v>
      </c>
      <c r="R109" s="109"/>
      <c r="S109" s="109"/>
    </row>
    <row r="110" spans="1:19" x14ac:dyDescent="0.15">
      <c r="A110" s="38">
        <f t="shared" si="22"/>
        <v>1756</v>
      </c>
      <c r="H110" s="31">
        <v>6.5107812500000009</v>
      </c>
      <c r="I110" s="31">
        <v>9.4537499999999994</v>
      </c>
      <c r="J110" s="31">
        <v>5.9687086092715234</v>
      </c>
      <c r="K110" s="31">
        <v>10.931125827814569</v>
      </c>
      <c r="Q110" s="31">
        <f>AVERAGE(B110:L110)</f>
        <v>8.2160914217715231</v>
      </c>
      <c r="R110" s="109">
        <f t="shared" ref="R110:R113" si="23">Q110*8.04</f>
        <v>66.057375031043037</v>
      </c>
      <c r="S110" s="109">
        <f t="shared" ref="S110:S113" si="24">R110/(12.78*0.93)</f>
        <v>5.5578588041667114</v>
      </c>
    </row>
    <row r="111" spans="1:19" x14ac:dyDescent="0.15">
      <c r="A111" s="38">
        <f t="shared" si="22"/>
        <v>1757</v>
      </c>
      <c r="D111" s="31">
        <v>4.8</v>
      </c>
      <c r="J111" s="31">
        <v>5.8156157270029674</v>
      </c>
      <c r="K111" s="31">
        <v>9.4767062314540063</v>
      </c>
      <c r="Q111" s="31">
        <f>AVERAGE(B111:L111)</f>
        <v>6.6974406528189911</v>
      </c>
      <c r="R111" s="109">
        <f t="shared" si="23"/>
        <v>53.847422848664685</v>
      </c>
      <c r="S111" s="109">
        <f t="shared" si="24"/>
        <v>4.5305520090753939</v>
      </c>
    </row>
    <row r="112" spans="1:19" x14ac:dyDescent="0.15">
      <c r="A112" s="38">
        <f t="shared" si="22"/>
        <v>1758</v>
      </c>
      <c r="H112" s="31">
        <v>6.1690476190476193</v>
      </c>
      <c r="I112" s="31">
        <v>8.2857142857142865</v>
      </c>
      <c r="J112" s="31">
        <v>5.5776255707762559</v>
      </c>
      <c r="K112" s="31">
        <v>9.28158295281583</v>
      </c>
      <c r="Q112" s="31">
        <f>AVERAGE(B112:L112)</f>
        <v>7.3284926070884975</v>
      </c>
      <c r="R112" s="109">
        <f t="shared" si="23"/>
        <v>58.921080560991513</v>
      </c>
      <c r="S112" s="109">
        <f t="shared" si="24"/>
        <v>4.9574335370279092</v>
      </c>
    </row>
    <row r="113" spans="1:19" x14ac:dyDescent="0.15">
      <c r="A113" s="38">
        <f t="shared" si="22"/>
        <v>1759</v>
      </c>
      <c r="H113" s="31">
        <v>6.1592391304347824</v>
      </c>
      <c r="I113" s="31">
        <v>8.9282608695652179</v>
      </c>
      <c r="J113" s="31">
        <v>5.4624999999999995</v>
      </c>
      <c r="K113" s="31">
        <v>8.6302744425385924</v>
      </c>
      <c r="Q113" s="31">
        <f>AVERAGE(B113:L113)</f>
        <v>7.2950686106346483</v>
      </c>
      <c r="R113" s="109">
        <f t="shared" si="23"/>
        <v>58.652351629502569</v>
      </c>
      <c r="S113" s="109">
        <f t="shared" si="24"/>
        <v>4.9348235338737076</v>
      </c>
    </row>
    <row r="114" spans="1:19" x14ac:dyDescent="0.15">
      <c r="A114" s="38">
        <f t="shared" si="22"/>
        <v>1760</v>
      </c>
      <c r="R114" s="109"/>
      <c r="S114" s="109"/>
    </row>
    <row r="115" spans="1:19" x14ac:dyDescent="0.15">
      <c r="A115" s="38">
        <f t="shared" si="22"/>
        <v>1761</v>
      </c>
      <c r="R115" s="109"/>
      <c r="S115" s="109"/>
    </row>
    <row r="116" spans="1:19" x14ac:dyDescent="0.15">
      <c r="A116" s="38">
        <f t="shared" si="22"/>
        <v>1762</v>
      </c>
      <c r="H116" s="31">
        <v>5.6131987577639757</v>
      </c>
      <c r="I116" s="31">
        <v>9.9801242236024841</v>
      </c>
      <c r="Q116" s="31">
        <f t="shared" ref="Q116:Q122" si="25">AVERAGE(B116:L116)</f>
        <v>7.7966614906832294</v>
      </c>
      <c r="R116" s="109">
        <f t="shared" ref="R116:R122" si="26">Q116*8.04</f>
        <v>62.68515838509316</v>
      </c>
      <c r="S116" s="109">
        <f t="shared" ref="S116:S122" si="27">R116/(12.78*0.93)</f>
        <v>5.274131151252222</v>
      </c>
    </row>
    <row r="117" spans="1:19" x14ac:dyDescent="0.15">
      <c r="A117" s="38">
        <f t="shared" si="22"/>
        <v>1763</v>
      </c>
      <c r="G117" s="31">
        <v>6</v>
      </c>
      <c r="H117" s="31">
        <v>5.7476038338658144</v>
      </c>
      <c r="I117" s="31">
        <v>9.9220447284345052</v>
      </c>
      <c r="J117" s="31">
        <v>5.3493891797556712</v>
      </c>
      <c r="K117" s="31">
        <v>10.922513089005236</v>
      </c>
      <c r="Q117" s="31">
        <f t="shared" si="25"/>
        <v>7.5883101662122439</v>
      </c>
      <c r="R117" s="109">
        <f t="shared" si="26"/>
        <v>61.010013736346437</v>
      </c>
      <c r="S117" s="109">
        <f t="shared" si="27"/>
        <v>5.1331897737010479</v>
      </c>
    </row>
    <row r="118" spans="1:19" x14ac:dyDescent="0.15">
      <c r="A118" s="38">
        <f t="shared" si="22"/>
        <v>1764</v>
      </c>
      <c r="H118" s="31">
        <v>5.5718354430379744</v>
      </c>
      <c r="I118" s="31">
        <v>9.0360759493670884</v>
      </c>
      <c r="J118" s="31">
        <v>5.2178700361010826</v>
      </c>
      <c r="K118" s="31">
        <v>8.5900722021660645</v>
      </c>
      <c r="Q118" s="31">
        <f t="shared" si="25"/>
        <v>7.1039634076680525</v>
      </c>
      <c r="R118" s="109">
        <f t="shared" si="26"/>
        <v>57.115865797651132</v>
      </c>
      <c r="S118" s="109">
        <f t="shared" si="27"/>
        <v>4.8055484710359879</v>
      </c>
    </row>
    <row r="119" spans="1:19" x14ac:dyDescent="0.15">
      <c r="A119" s="38">
        <f t="shared" si="22"/>
        <v>1765</v>
      </c>
      <c r="H119" s="31">
        <v>5.7861764705882353</v>
      </c>
      <c r="I119" s="31">
        <v>9.4579411764705874</v>
      </c>
      <c r="J119" s="31">
        <v>5.2374999999999998</v>
      </c>
      <c r="K119" s="31">
        <v>9.4911255411255411</v>
      </c>
      <c r="Q119" s="31">
        <f t="shared" si="25"/>
        <v>7.4931857970460909</v>
      </c>
      <c r="R119" s="109">
        <f t="shared" si="26"/>
        <v>60.245213808250561</v>
      </c>
      <c r="S119" s="109">
        <f t="shared" si="27"/>
        <v>5.0688419243988889</v>
      </c>
    </row>
    <row r="120" spans="1:19" x14ac:dyDescent="0.15">
      <c r="A120" s="38">
        <f t="shared" si="22"/>
        <v>1766</v>
      </c>
      <c r="H120" s="31">
        <v>6.5</v>
      </c>
      <c r="I120" s="31">
        <v>8.5500000000000007</v>
      </c>
      <c r="J120" s="31">
        <v>5.0906378600823041</v>
      </c>
      <c r="K120" s="31">
        <v>7.8676268861454046</v>
      </c>
      <c r="Q120" s="31">
        <f t="shared" si="25"/>
        <v>7.0020661865569274</v>
      </c>
      <c r="R120" s="109">
        <f t="shared" si="26"/>
        <v>56.296612139917691</v>
      </c>
      <c r="S120" s="109">
        <f t="shared" si="27"/>
        <v>4.7366190569873705</v>
      </c>
    </row>
    <row r="121" spans="1:19" x14ac:dyDescent="0.15">
      <c r="A121" s="38">
        <f t="shared" si="22"/>
        <v>1767</v>
      </c>
      <c r="J121" s="31">
        <v>4.993758043758044</v>
      </c>
      <c r="K121" s="31">
        <v>7.9121621621621623</v>
      </c>
      <c r="Q121" s="31">
        <f t="shared" si="25"/>
        <v>6.4529601029601036</v>
      </c>
      <c r="R121" s="109">
        <f t="shared" si="26"/>
        <v>51.881799227799227</v>
      </c>
      <c r="S121" s="109">
        <f t="shared" si="27"/>
        <v>4.365170648678145</v>
      </c>
    </row>
    <row r="122" spans="1:19" x14ac:dyDescent="0.15">
      <c r="A122" s="38">
        <f t="shared" si="22"/>
        <v>1768</v>
      </c>
      <c r="H122" s="31">
        <v>5.3969063545150506</v>
      </c>
      <c r="I122" s="31">
        <v>7.7802675585284291</v>
      </c>
      <c r="J122" s="31">
        <v>4.990616531165311</v>
      </c>
      <c r="K122" s="31">
        <v>8.0743902439024389</v>
      </c>
      <c r="Q122" s="31">
        <f t="shared" si="25"/>
        <v>6.5605451720278074</v>
      </c>
      <c r="R122" s="109">
        <f t="shared" si="26"/>
        <v>52.746783183103567</v>
      </c>
      <c r="S122" s="109">
        <f t="shared" si="27"/>
        <v>4.4379476654638097</v>
      </c>
    </row>
    <row r="123" spans="1:19" x14ac:dyDescent="0.15">
      <c r="A123" s="38">
        <f t="shared" si="22"/>
        <v>1769</v>
      </c>
      <c r="R123" s="109"/>
      <c r="S123" s="109"/>
    </row>
    <row r="124" spans="1:19" x14ac:dyDescent="0.15">
      <c r="A124" s="38">
        <f t="shared" si="22"/>
        <v>1770</v>
      </c>
      <c r="H124" s="31">
        <v>6.5389904809619237</v>
      </c>
      <c r="I124" s="31">
        <v>7.2388777555110213</v>
      </c>
      <c r="J124" s="31">
        <v>6.13232421875</v>
      </c>
      <c r="K124" s="31">
        <v>8.2813934948979586</v>
      </c>
      <c r="Q124" s="31">
        <f t="shared" ref="Q124:Q129" si="28">AVERAGE(B124:L124)</f>
        <v>7.0478964875302257</v>
      </c>
      <c r="R124" s="109">
        <f>Q124*9.61</f>
        <v>67.730285245165462</v>
      </c>
      <c r="S124" s="109">
        <f t="shared" ref="S124:S129" si="29">R124/(12.78*0.93)</f>
        <v>5.6986121834490602</v>
      </c>
    </row>
    <row r="125" spans="1:19" x14ac:dyDescent="0.15">
      <c r="A125" s="38">
        <f t="shared" si="22"/>
        <v>1771</v>
      </c>
      <c r="E125" s="31">
        <v>10.799999999999999</v>
      </c>
      <c r="H125" s="31">
        <v>4.2418227140077818</v>
      </c>
      <c r="I125" s="31">
        <v>4.6284533073929959</v>
      </c>
      <c r="J125" s="31">
        <v>6.3000321990238612</v>
      </c>
      <c r="K125" s="31">
        <v>8.1812500000000004</v>
      </c>
      <c r="Q125" s="31">
        <f t="shared" si="28"/>
        <v>6.8303116440849276</v>
      </c>
      <c r="R125" s="109">
        <f t="shared" ref="R125:R129" si="30">Q125*9.61</f>
        <v>65.63929489965615</v>
      </c>
      <c r="S125" s="109">
        <f t="shared" si="29"/>
        <v>5.5226828629794662</v>
      </c>
    </row>
    <row r="126" spans="1:19" x14ac:dyDescent="0.15">
      <c r="A126" s="38">
        <f t="shared" si="22"/>
        <v>1772</v>
      </c>
      <c r="F126" s="31">
        <v>7.1999999999999993</v>
      </c>
      <c r="H126" s="31">
        <v>7.1717329545454538</v>
      </c>
      <c r="I126" s="31">
        <v>6.7249999999999996</v>
      </c>
      <c r="Q126" s="31">
        <f t="shared" si="28"/>
        <v>7.0322443181818173</v>
      </c>
      <c r="R126" s="109">
        <f t="shared" si="30"/>
        <v>67.579867897727254</v>
      </c>
      <c r="S126" s="109">
        <f t="shared" si="29"/>
        <v>5.6859565431308372</v>
      </c>
    </row>
    <row r="127" spans="1:19" x14ac:dyDescent="0.15">
      <c r="A127" s="38">
        <f t="shared" si="22"/>
        <v>1773</v>
      </c>
      <c r="H127" s="31">
        <v>6.5148437500000007</v>
      </c>
      <c r="I127" s="31">
        <v>7.4303797468354427</v>
      </c>
      <c r="J127" s="31">
        <v>6.3138671874999996</v>
      </c>
      <c r="K127" s="31">
        <v>6.2046875000000004</v>
      </c>
      <c r="Q127" s="31">
        <f t="shared" si="28"/>
        <v>6.6159445460838597</v>
      </c>
      <c r="R127" s="109">
        <f t="shared" si="30"/>
        <v>63.579227087865888</v>
      </c>
      <c r="S127" s="109">
        <f t="shared" si="29"/>
        <v>5.3493552667866364</v>
      </c>
    </row>
    <row r="128" spans="1:19" x14ac:dyDescent="0.15">
      <c r="A128" s="38">
        <f t="shared" si="22"/>
        <v>1774</v>
      </c>
      <c r="J128" s="31">
        <v>6.0401899080560426</v>
      </c>
      <c r="K128" s="31">
        <v>8.2198992994746067</v>
      </c>
      <c r="Q128" s="31">
        <f t="shared" si="28"/>
        <v>7.1300446037653247</v>
      </c>
      <c r="R128" s="109">
        <f t="shared" si="30"/>
        <v>68.519728642184759</v>
      </c>
      <c r="S128" s="109">
        <f t="shared" si="29"/>
        <v>5.7650334563569388</v>
      </c>
    </row>
    <row r="129" spans="1:19" x14ac:dyDescent="0.15">
      <c r="A129" s="38">
        <f t="shared" si="22"/>
        <v>1775</v>
      </c>
      <c r="F129" s="31">
        <v>8.6999999999999993</v>
      </c>
      <c r="Q129" s="31">
        <f t="shared" si="28"/>
        <v>8.6999999999999993</v>
      </c>
      <c r="R129" s="109">
        <f t="shared" si="30"/>
        <v>83.606999999999985</v>
      </c>
      <c r="S129" s="109">
        <f t="shared" si="29"/>
        <v>7.0344287949921736</v>
      </c>
    </row>
    <row r="130" spans="1:19" x14ac:dyDescent="0.15">
      <c r="A130" s="38">
        <f t="shared" si="22"/>
        <v>1776</v>
      </c>
      <c r="R130" s="109"/>
      <c r="S130" s="109"/>
    </row>
    <row r="131" spans="1:19" x14ac:dyDescent="0.15">
      <c r="A131" s="38">
        <f t="shared" si="22"/>
        <v>1777</v>
      </c>
      <c r="R131" s="109"/>
      <c r="S131" s="109"/>
    </row>
    <row r="132" spans="1:19" x14ac:dyDescent="0.15">
      <c r="A132" s="38">
        <f t="shared" si="22"/>
        <v>1778</v>
      </c>
      <c r="R132" s="109"/>
      <c r="S132" s="109"/>
    </row>
    <row r="133" spans="1:19" x14ac:dyDescent="0.15">
      <c r="A133" s="38">
        <f t="shared" si="22"/>
        <v>1779</v>
      </c>
      <c r="R133" s="109"/>
      <c r="S133" s="109"/>
    </row>
    <row r="134" spans="1:19" x14ac:dyDescent="0.15">
      <c r="A134" s="38">
        <f t="shared" si="22"/>
        <v>1780</v>
      </c>
      <c r="C134" s="31">
        <v>4.3250000000000002</v>
      </c>
      <c r="Q134" s="31">
        <f>AVERAGE(B134:H134,J134)</f>
        <v>4.3250000000000002</v>
      </c>
      <c r="R134" s="109">
        <f t="shared" ref="R134:R135" si="31">Q134*9.61</f>
        <v>41.563249999999996</v>
      </c>
      <c r="S134" s="109">
        <f t="shared" ref="S134:S135" si="32">R134/(12.78*0.93)</f>
        <v>3.4970005216484084</v>
      </c>
    </row>
    <row r="135" spans="1:19" x14ac:dyDescent="0.15">
      <c r="A135" s="38">
        <f t="shared" si="22"/>
        <v>1781</v>
      </c>
      <c r="C135" s="31">
        <v>4.3</v>
      </c>
      <c r="Q135" s="31">
        <f>AVERAGE(B135:H135,J135)</f>
        <v>4.3</v>
      </c>
      <c r="R135" s="109">
        <f t="shared" si="31"/>
        <v>41.322999999999993</v>
      </c>
      <c r="S135" s="109">
        <f t="shared" si="32"/>
        <v>3.4767866458007295</v>
      </c>
    </row>
    <row r="136" spans="1:19" x14ac:dyDescent="0.15">
      <c r="A136" s="38">
        <f t="shared" si="22"/>
        <v>1782</v>
      </c>
      <c r="R136" s="109"/>
      <c r="S136" s="109"/>
    </row>
    <row r="137" spans="1:19" x14ac:dyDescent="0.15">
      <c r="A137" s="38">
        <f t="shared" si="22"/>
        <v>1783</v>
      </c>
      <c r="R137" s="109"/>
      <c r="S137" s="109"/>
    </row>
    <row r="138" spans="1:19" x14ac:dyDescent="0.15">
      <c r="A138" s="38">
        <f t="shared" si="22"/>
        <v>1784</v>
      </c>
      <c r="N138" s="31">
        <v>4.131856446610545</v>
      </c>
      <c r="R138" s="109"/>
      <c r="S138" s="109"/>
    </row>
    <row r="139" spans="1:19" x14ac:dyDescent="0.15">
      <c r="A139" s="38">
        <f t="shared" si="22"/>
        <v>1785</v>
      </c>
      <c r="N139" s="31">
        <v>4.2337500000000006</v>
      </c>
      <c r="R139" s="109"/>
      <c r="S139" s="109"/>
    </row>
    <row r="140" spans="1:19" x14ac:dyDescent="0.15">
      <c r="A140" s="38">
        <f t="shared" si="22"/>
        <v>1786</v>
      </c>
      <c r="R140" s="109"/>
      <c r="S140" s="109"/>
    </row>
    <row r="141" spans="1:19" x14ac:dyDescent="0.15">
      <c r="A141" s="38">
        <f t="shared" si="22"/>
        <v>1787</v>
      </c>
      <c r="R141" s="109"/>
      <c r="S141" s="109"/>
    </row>
    <row r="142" spans="1:19" x14ac:dyDescent="0.15">
      <c r="A142" s="38">
        <f t="shared" si="22"/>
        <v>1788</v>
      </c>
      <c r="R142" s="109"/>
      <c r="S142" s="109"/>
    </row>
    <row r="143" spans="1:19" x14ac:dyDescent="0.15">
      <c r="A143" s="38">
        <f t="shared" si="22"/>
        <v>1789</v>
      </c>
      <c r="R143" s="109"/>
      <c r="S143" s="109"/>
    </row>
    <row r="144" spans="1:19" x14ac:dyDescent="0.15">
      <c r="A144" s="38">
        <f t="shared" si="22"/>
        <v>1790</v>
      </c>
      <c r="R144" s="109"/>
      <c r="S144" s="109"/>
    </row>
    <row r="145" spans="1:19" x14ac:dyDescent="0.15">
      <c r="A145" s="38">
        <f t="shared" si="22"/>
        <v>1791</v>
      </c>
      <c r="C145" s="31">
        <v>4.2750000000000004</v>
      </c>
      <c r="Q145" s="31">
        <f>AVERAGE(B145:H145,J145)</f>
        <v>4.2750000000000004</v>
      </c>
      <c r="R145" s="109">
        <f>Q145*9.61</f>
        <v>41.082750000000004</v>
      </c>
      <c r="S145" s="109">
        <f>R145/(12.78*0.93)</f>
        <v>3.456572769953052</v>
      </c>
    </row>
    <row r="146" spans="1:19" x14ac:dyDescent="0.15">
      <c r="A146" s="38">
        <f t="shared" si="22"/>
        <v>1792</v>
      </c>
      <c r="R146" s="109"/>
      <c r="S146" s="109"/>
    </row>
    <row r="147" spans="1:19" x14ac:dyDescent="0.15">
      <c r="A147" s="38">
        <f t="shared" si="22"/>
        <v>1793</v>
      </c>
      <c r="R147" s="109"/>
      <c r="S147" s="109"/>
    </row>
    <row r="148" spans="1:19" x14ac:dyDescent="0.15">
      <c r="A148" s="38">
        <v>1794</v>
      </c>
      <c r="C148" s="31">
        <v>4.2687499999999998</v>
      </c>
      <c r="Q148" s="31">
        <f>AVERAGE(B148:H148,J148)</f>
        <v>4.2687499999999998</v>
      </c>
      <c r="R148" s="109">
        <f>Q148*9.61</f>
        <v>41.022687499999996</v>
      </c>
      <c r="S148" s="109">
        <f>R148/(12.78*0.93)</f>
        <v>3.4515193009911314</v>
      </c>
    </row>
    <row r="149" spans="1:19" x14ac:dyDescent="0.15">
      <c r="A149" s="38">
        <v>1795</v>
      </c>
      <c r="R149" s="109"/>
      <c r="S149" s="109"/>
    </row>
    <row r="150" spans="1:19" x14ac:dyDescent="0.15">
      <c r="A150" s="38">
        <f t="shared" ref="A150:A213" si="33">A149+1</f>
        <v>1796</v>
      </c>
      <c r="R150" s="109"/>
      <c r="S150" s="109"/>
    </row>
    <row r="151" spans="1:19" x14ac:dyDescent="0.15">
      <c r="A151" s="38">
        <f t="shared" si="33"/>
        <v>1797</v>
      </c>
      <c r="R151" s="109"/>
      <c r="S151" s="109"/>
    </row>
    <row r="152" spans="1:19" x14ac:dyDescent="0.15">
      <c r="A152" s="38">
        <f t="shared" si="33"/>
        <v>1798</v>
      </c>
      <c r="R152" s="109"/>
      <c r="S152" s="109"/>
    </row>
    <row r="153" spans="1:19" x14ac:dyDescent="0.15">
      <c r="A153" s="38">
        <f t="shared" si="33"/>
        <v>1799</v>
      </c>
      <c r="R153" s="109"/>
      <c r="S153" s="109"/>
    </row>
    <row r="154" spans="1:19" x14ac:dyDescent="0.15">
      <c r="A154" s="38">
        <f t="shared" si="33"/>
        <v>1800</v>
      </c>
      <c r="R154" s="109"/>
      <c r="S154" s="109"/>
    </row>
    <row r="155" spans="1:19" x14ac:dyDescent="0.15">
      <c r="A155" s="38">
        <f t="shared" si="33"/>
        <v>1801</v>
      </c>
      <c r="R155" s="109"/>
      <c r="S155" s="109"/>
    </row>
    <row r="156" spans="1:19" x14ac:dyDescent="0.15">
      <c r="A156" s="38">
        <f t="shared" si="33"/>
        <v>1802</v>
      </c>
      <c r="R156" s="109"/>
      <c r="S156" s="109"/>
    </row>
    <row r="157" spans="1:19" x14ac:dyDescent="0.15">
      <c r="A157" s="38">
        <f t="shared" si="33"/>
        <v>1803</v>
      </c>
      <c r="R157" s="109"/>
      <c r="S157" s="109"/>
    </row>
    <row r="158" spans="1:19" x14ac:dyDescent="0.15">
      <c r="A158" s="38">
        <f t="shared" si="33"/>
        <v>1804</v>
      </c>
      <c r="R158" s="109"/>
      <c r="S158" s="109"/>
    </row>
    <row r="159" spans="1:19" x14ac:dyDescent="0.15">
      <c r="A159" s="38">
        <f t="shared" si="33"/>
        <v>1805</v>
      </c>
      <c r="R159" s="109"/>
      <c r="S159" s="109"/>
    </row>
    <row r="160" spans="1:19" x14ac:dyDescent="0.15">
      <c r="A160" s="38">
        <f t="shared" si="33"/>
        <v>1806</v>
      </c>
      <c r="R160" s="109"/>
      <c r="S160" s="109"/>
    </row>
    <row r="161" spans="1:1" x14ac:dyDescent="0.15">
      <c r="A161" s="38">
        <f t="shared" si="33"/>
        <v>1807</v>
      </c>
    </row>
    <row r="162" spans="1:1" x14ac:dyDescent="0.15">
      <c r="A162" s="38">
        <f t="shared" si="33"/>
        <v>1808</v>
      </c>
    </row>
    <row r="163" spans="1:1" x14ac:dyDescent="0.15">
      <c r="A163" s="38">
        <f t="shared" si="33"/>
        <v>1809</v>
      </c>
    </row>
    <row r="164" spans="1:1" x14ac:dyDescent="0.15">
      <c r="A164" s="38">
        <f t="shared" si="33"/>
        <v>1810</v>
      </c>
    </row>
    <row r="165" spans="1:1" x14ac:dyDescent="0.15">
      <c r="A165" s="38">
        <f t="shared" si="33"/>
        <v>1811</v>
      </c>
    </row>
    <row r="166" spans="1:1" x14ac:dyDescent="0.15">
      <c r="A166" s="38">
        <f t="shared" si="33"/>
        <v>1812</v>
      </c>
    </row>
    <row r="167" spans="1:1" x14ac:dyDescent="0.15">
      <c r="A167" s="38">
        <f t="shared" si="33"/>
        <v>1813</v>
      </c>
    </row>
    <row r="168" spans="1:1" x14ac:dyDescent="0.15">
      <c r="A168" s="38">
        <f t="shared" si="33"/>
        <v>1814</v>
      </c>
    </row>
    <row r="169" spans="1:1" x14ac:dyDescent="0.15">
      <c r="A169" s="38">
        <f t="shared" si="33"/>
        <v>1815</v>
      </c>
    </row>
    <row r="170" spans="1:1" x14ac:dyDescent="0.15">
      <c r="A170" s="38">
        <f t="shared" si="33"/>
        <v>1816</v>
      </c>
    </row>
    <row r="171" spans="1:1" x14ac:dyDescent="0.15">
      <c r="A171" s="38">
        <f t="shared" si="33"/>
        <v>1817</v>
      </c>
    </row>
    <row r="172" spans="1:1" x14ac:dyDescent="0.15">
      <c r="A172" s="38">
        <f t="shared" si="33"/>
        <v>1818</v>
      </c>
    </row>
    <row r="173" spans="1:1" x14ac:dyDescent="0.15">
      <c r="A173" s="38">
        <f t="shared" si="33"/>
        <v>1819</v>
      </c>
    </row>
    <row r="174" spans="1:1" x14ac:dyDescent="0.15">
      <c r="A174" s="38">
        <f t="shared" si="33"/>
        <v>1820</v>
      </c>
    </row>
    <row r="175" spans="1:1" x14ac:dyDescent="0.15">
      <c r="A175" s="38">
        <f t="shared" si="33"/>
        <v>1821</v>
      </c>
    </row>
    <row r="176" spans="1:1" x14ac:dyDescent="0.15">
      <c r="A176" s="38">
        <f t="shared" si="33"/>
        <v>1822</v>
      </c>
    </row>
    <row r="177" spans="1:19" x14ac:dyDescent="0.15">
      <c r="A177" s="38">
        <f t="shared" si="33"/>
        <v>1823</v>
      </c>
      <c r="R177" s="109"/>
      <c r="S177" s="109"/>
    </row>
    <row r="178" spans="1:19" x14ac:dyDescent="0.15">
      <c r="A178" s="38">
        <f t="shared" si="33"/>
        <v>1824</v>
      </c>
      <c r="R178" s="109"/>
      <c r="S178" s="109"/>
    </row>
    <row r="179" spans="1:19" x14ac:dyDescent="0.15">
      <c r="A179" s="38">
        <f t="shared" si="33"/>
        <v>1825</v>
      </c>
      <c r="R179" s="109"/>
      <c r="S179" s="109"/>
    </row>
    <row r="180" spans="1:19" x14ac:dyDescent="0.15">
      <c r="A180" s="38">
        <f t="shared" si="33"/>
        <v>1826</v>
      </c>
      <c r="R180" s="109"/>
      <c r="S180" s="109"/>
    </row>
    <row r="181" spans="1:19" x14ac:dyDescent="0.15">
      <c r="A181" s="38">
        <f t="shared" si="33"/>
        <v>1827</v>
      </c>
      <c r="R181" s="109"/>
      <c r="S181" s="109"/>
    </row>
    <row r="182" spans="1:19" x14ac:dyDescent="0.15">
      <c r="A182" s="38">
        <f t="shared" si="33"/>
        <v>1828</v>
      </c>
      <c r="R182" s="109"/>
      <c r="S182" s="109"/>
    </row>
    <row r="183" spans="1:19" x14ac:dyDescent="0.15">
      <c r="A183" s="38">
        <f t="shared" si="33"/>
        <v>1829</v>
      </c>
      <c r="R183" s="109"/>
      <c r="S183" s="109"/>
    </row>
    <row r="184" spans="1:19" x14ac:dyDescent="0.15">
      <c r="A184" s="38">
        <f t="shared" si="33"/>
        <v>1830</v>
      </c>
      <c r="R184" s="109"/>
      <c r="S184" s="109"/>
    </row>
    <row r="185" spans="1:19" x14ac:dyDescent="0.15">
      <c r="A185" s="38">
        <f t="shared" si="33"/>
        <v>1831</v>
      </c>
      <c r="R185" s="109"/>
      <c r="S185" s="109"/>
    </row>
    <row r="186" spans="1:19" x14ac:dyDescent="0.15">
      <c r="A186" s="38">
        <f t="shared" si="33"/>
        <v>1832</v>
      </c>
      <c r="R186" s="109"/>
      <c r="S186" s="109"/>
    </row>
    <row r="187" spans="1:19" x14ac:dyDescent="0.15">
      <c r="A187" s="38">
        <f t="shared" si="33"/>
        <v>1833</v>
      </c>
      <c r="R187" s="109"/>
      <c r="S187" s="109"/>
    </row>
    <row r="188" spans="1:19" x14ac:dyDescent="0.15">
      <c r="A188" s="38">
        <f t="shared" si="33"/>
        <v>1834</v>
      </c>
      <c r="R188" s="109"/>
      <c r="S188" s="109"/>
    </row>
    <row r="189" spans="1:19" ht="15" x14ac:dyDescent="0.2">
      <c r="A189" s="38">
        <f t="shared" si="33"/>
        <v>1835</v>
      </c>
      <c r="O189" s="126">
        <v>2.6296571588920594</v>
      </c>
      <c r="R189" s="109"/>
      <c r="S189" s="109">
        <f>O189</f>
        <v>2.6296571588920594</v>
      </c>
    </row>
    <row r="190" spans="1:19" x14ac:dyDescent="0.15">
      <c r="A190" s="38">
        <f t="shared" si="33"/>
        <v>1836</v>
      </c>
      <c r="R190" s="109"/>
      <c r="S190" s="109"/>
    </row>
    <row r="191" spans="1:19" x14ac:dyDescent="0.15">
      <c r="A191" s="38">
        <f t="shared" si="33"/>
        <v>1837</v>
      </c>
      <c r="R191" s="109"/>
      <c r="S191" s="109"/>
    </row>
    <row r="192" spans="1:19" x14ac:dyDescent="0.15">
      <c r="A192" s="38">
        <f t="shared" si="33"/>
        <v>1838</v>
      </c>
      <c r="R192" s="109"/>
      <c r="S192" s="109"/>
    </row>
    <row r="193" spans="1:19" x14ac:dyDescent="0.15">
      <c r="A193" s="38">
        <f t="shared" si="33"/>
        <v>1839</v>
      </c>
      <c r="R193" s="109"/>
      <c r="S193" s="109"/>
    </row>
    <row r="194" spans="1:19" x14ac:dyDescent="0.15">
      <c r="A194" s="38">
        <f t="shared" si="33"/>
        <v>1840</v>
      </c>
      <c r="R194" s="109"/>
      <c r="S194" s="109"/>
    </row>
    <row r="195" spans="1:19" x14ac:dyDescent="0.15">
      <c r="A195" s="38">
        <f t="shared" si="33"/>
        <v>1841</v>
      </c>
      <c r="R195" s="109"/>
      <c r="S195" s="109"/>
    </row>
    <row r="196" spans="1:19" x14ac:dyDescent="0.15">
      <c r="A196" s="38">
        <f t="shared" si="33"/>
        <v>1842</v>
      </c>
      <c r="R196" s="109"/>
      <c r="S196" s="109"/>
    </row>
    <row r="197" spans="1:19" x14ac:dyDescent="0.15">
      <c r="A197" s="38">
        <f t="shared" si="33"/>
        <v>1843</v>
      </c>
      <c r="R197" s="109"/>
      <c r="S197" s="109"/>
    </row>
    <row r="198" spans="1:19" x14ac:dyDescent="0.15">
      <c r="A198" s="38">
        <f t="shared" si="33"/>
        <v>1844</v>
      </c>
      <c r="R198" s="109"/>
      <c r="S198" s="109"/>
    </row>
    <row r="199" spans="1:19" x14ac:dyDescent="0.15">
      <c r="A199" s="38">
        <f t="shared" si="33"/>
        <v>1845</v>
      </c>
      <c r="R199" s="109"/>
      <c r="S199" s="109"/>
    </row>
    <row r="200" spans="1:19" x14ac:dyDescent="0.15">
      <c r="A200" s="38">
        <f t="shared" si="33"/>
        <v>1846</v>
      </c>
      <c r="R200" s="109"/>
      <c r="S200" s="109"/>
    </row>
    <row r="201" spans="1:19" x14ac:dyDescent="0.15">
      <c r="A201" s="38">
        <f t="shared" si="33"/>
        <v>1847</v>
      </c>
      <c r="R201" s="109"/>
      <c r="S201" s="109"/>
    </row>
    <row r="202" spans="1:19" x14ac:dyDescent="0.15">
      <c r="A202" s="38">
        <f t="shared" si="33"/>
        <v>1848</v>
      </c>
      <c r="R202" s="109"/>
      <c r="S202" s="109"/>
    </row>
    <row r="203" spans="1:19" x14ac:dyDescent="0.15">
      <c r="A203" s="38">
        <f t="shared" si="33"/>
        <v>1849</v>
      </c>
      <c r="R203" s="109"/>
      <c r="S203" s="109"/>
    </row>
    <row r="204" spans="1:19" x14ac:dyDescent="0.15">
      <c r="A204" s="38">
        <f t="shared" si="33"/>
        <v>1850</v>
      </c>
      <c r="R204" s="109"/>
      <c r="S204" s="109"/>
    </row>
    <row r="205" spans="1:19" x14ac:dyDescent="0.15">
      <c r="A205" s="38">
        <f t="shared" si="33"/>
        <v>1851</v>
      </c>
      <c r="R205" s="109"/>
      <c r="S205" s="109"/>
    </row>
    <row r="206" spans="1:19" x14ac:dyDescent="0.15">
      <c r="A206" s="38">
        <f t="shared" si="33"/>
        <v>1852</v>
      </c>
      <c r="O206" s="41">
        <v>2.55141423810697</v>
      </c>
      <c r="R206" s="109"/>
      <c r="S206" s="109">
        <f t="shared" ref="S206:S209" si="34">O206</f>
        <v>2.55141423810697</v>
      </c>
    </row>
    <row r="207" spans="1:19" x14ac:dyDescent="0.15">
      <c r="A207" s="38">
        <f t="shared" si="33"/>
        <v>1853</v>
      </c>
      <c r="O207" s="41">
        <v>2.4707032402177416</v>
      </c>
      <c r="R207" s="109"/>
      <c r="S207" s="109">
        <f t="shared" si="34"/>
        <v>2.4707032402177416</v>
      </c>
    </row>
    <row r="208" spans="1:19" x14ac:dyDescent="0.15">
      <c r="A208" s="38">
        <f t="shared" si="33"/>
        <v>1854</v>
      </c>
      <c r="O208" s="41">
        <v>2.5886605590222649</v>
      </c>
      <c r="R208" s="109"/>
      <c r="S208" s="109">
        <f t="shared" si="34"/>
        <v>2.5886605590222649</v>
      </c>
    </row>
    <row r="209" spans="1:19" x14ac:dyDescent="0.15">
      <c r="A209" s="38">
        <f t="shared" si="33"/>
        <v>1855</v>
      </c>
      <c r="O209" s="41">
        <v>2.217941441955412</v>
      </c>
      <c r="R209" s="109"/>
      <c r="S209" s="109">
        <f t="shared" si="34"/>
        <v>2.217941441955412</v>
      </c>
    </row>
    <row r="210" spans="1:19" x14ac:dyDescent="0.15">
      <c r="A210" s="38">
        <f t="shared" si="33"/>
        <v>1856</v>
      </c>
      <c r="O210" s="41"/>
      <c r="R210" s="109"/>
      <c r="S210" s="109"/>
    </row>
    <row r="211" spans="1:19" x14ac:dyDescent="0.15">
      <c r="A211" s="38">
        <f t="shared" si="33"/>
        <v>1857</v>
      </c>
      <c r="O211" s="41">
        <v>1.5131909491212352</v>
      </c>
      <c r="R211" s="109"/>
      <c r="S211" s="109">
        <f>O211</f>
        <v>1.5131909491212352</v>
      </c>
    </row>
    <row r="212" spans="1:19" x14ac:dyDescent="0.15">
      <c r="A212" s="38">
        <f t="shared" si="33"/>
        <v>1858</v>
      </c>
      <c r="O212" s="41"/>
      <c r="R212" s="109"/>
      <c r="S212" s="109"/>
    </row>
    <row r="213" spans="1:19" x14ac:dyDescent="0.15">
      <c r="A213" s="38">
        <f t="shared" si="33"/>
        <v>1859</v>
      </c>
      <c r="O213" s="41">
        <v>1.8672939978678036</v>
      </c>
      <c r="R213" s="109"/>
      <c r="S213" s="109">
        <f t="shared" ref="S213:S256" si="35">O213</f>
        <v>1.8672939978678036</v>
      </c>
    </row>
    <row r="214" spans="1:19" x14ac:dyDescent="0.15">
      <c r="A214" s="38">
        <f t="shared" ref="A214:A264" si="36">A213+1</f>
        <v>1860</v>
      </c>
      <c r="O214" s="41">
        <v>1.9429799451510692</v>
      </c>
      <c r="R214" s="109"/>
      <c r="S214" s="109">
        <f t="shared" si="35"/>
        <v>1.9429799451510692</v>
      </c>
    </row>
    <row r="215" spans="1:19" x14ac:dyDescent="0.15">
      <c r="A215" s="38">
        <f t="shared" si="36"/>
        <v>1861</v>
      </c>
      <c r="O215" s="41">
        <v>1.9362470779561076</v>
      </c>
      <c r="R215" s="109"/>
      <c r="S215" s="109">
        <f t="shared" si="35"/>
        <v>1.9362470779561076</v>
      </c>
    </row>
    <row r="216" spans="1:19" x14ac:dyDescent="0.15">
      <c r="A216" s="38">
        <f t="shared" si="36"/>
        <v>1862</v>
      </c>
      <c r="O216" s="41">
        <v>2.27216556133394</v>
      </c>
      <c r="R216" s="109"/>
      <c r="S216" s="109">
        <f t="shared" si="35"/>
        <v>2.27216556133394</v>
      </c>
    </row>
    <row r="217" spans="1:19" x14ac:dyDescent="0.15">
      <c r="A217" s="38">
        <f t="shared" si="36"/>
        <v>1863</v>
      </c>
      <c r="O217" s="41">
        <v>2.6002057137077399</v>
      </c>
      <c r="R217" s="109"/>
      <c r="S217" s="109">
        <f t="shared" si="35"/>
        <v>2.6002057137077399</v>
      </c>
    </row>
    <row r="218" spans="1:19" x14ac:dyDescent="0.15">
      <c r="A218" s="38">
        <f t="shared" si="36"/>
        <v>1864</v>
      </c>
      <c r="O218" s="41">
        <v>3.0550893674416826</v>
      </c>
      <c r="R218" s="109"/>
      <c r="S218" s="109">
        <f t="shared" si="35"/>
        <v>3.0550893674416826</v>
      </c>
    </row>
    <row r="219" spans="1:19" x14ac:dyDescent="0.15">
      <c r="A219" s="38">
        <f t="shared" si="36"/>
        <v>1865</v>
      </c>
      <c r="O219" s="41">
        <v>2.6687904841586234</v>
      </c>
      <c r="R219" s="109"/>
      <c r="S219" s="109">
        <f t="shared" si="35"/>
        <v>2.6687904841586234</v>
      </c>
    </row>
    <row r="220" spans="1:19" x14ac:dyDescent="0.15">
      <c r="A220" s="38">
        <f t="shared" si="36"/>
        <v>1866</v>
      </c>
      <c r="O220" s="41">
        <v>2.8487689347428535</v>
      </c>
      <c r="R220" s="109"/>
      <c r="S220" s="109">
        <f t="shared" si="35"/>
        <v>2.8487689347428535</v>
      </c>
    </row>
    <row r="221" spans="1:19" x14ac:dyDescent="0.15">
      <c r="A221" s="38">
        <f t="shared" si="36"/>
        <v>1867</v>
      </c>
      <c r="O221" s="41">
        <v>2.2395562900946469</v>
      </c>
      <c r="R221" s="109"/>
      <c r="S221" s="109">
        <f t="shared" si="35"/>
        <v>2.2395562900946469</v>
      </c>
    </row>
    <row r="222" spans="1:19" x14ac:dyDescent="0.15">
      <c r="A222" s="38">
        <f t="shared" si="36"/>
        <v>1868</v>
      </c>
      <c r="O222" s="41">
        <v>2.1286055664352843</v>
      </c>
      <c r="R222" s="109"/>
      <c r="S222" s="109">
        <f t="shared" si="35"/>
        <v>2.1286055664352843</v>
      </c>
    </row>
    <row r="223" spans="1:19" x14ac:dyDescent="0.15">
      <c r="A223" s="38">
        <f t="shared" si="36"/>
        <v>1869</v>
      </c>
      <c r="O223" s="41">
        <v>1.935281286453483</v>
      </c>
      <c r="R223" s="109"/>
      <c r="S223" s="109">
        <f t="shared" si="35"/>
        <v>1.935281286453483</v>
      </c>
    </row>
    <row r="224" spans="1:19" x14ac:dyDescent="0.15">
      <c r="A224" s="38">
        <f t="shared" si="36"/>
        <v>1870</v>
      </c>
      <c r="O224" s="41">
        <v>2.2019927399100081</v>
      </c>
      <c r="R224" s="109"/>
      <c r="S224" s="109">
        <f t="shared" si="35"/>
        <v>2.2019927399100081</v>
      </c>
    </row>
    <row r="225" spans="1:19" x14ac:dyDescent="0.15">
      <c r="A225" s="38">
        <f t="shared" si="36"/>
        <v>1871</v>
      </c>
      <c r="O225" s="41">
        <v>1.842086485961451</v>
      </c>
      <c r="R225" s="109"/>
      <c r="S225" s="109">
        <f t="shared" si="35"/>
        <v>1.842086485961451</v>
      </c>
    </row>
    <row r="226" spans="1:19" x14ac:dyDescent="0.15">
      <c r="A226" s="38">
        <f t="shared" si="36"/>
        <v>1872</v>
      </c>
      <c r="O226" s="41">
        <v>1.9341367229676887</v>
      </c>
      <c r="R226" s="109"/>
      <c r="S226" s="109">
        <f t="shared" si="35"/>
        <v>1.9341367229676887</v>
      </c>
    </row>
    <row r="227" spans="1:19" x14ac:dyDescent="0.15">
      <c r="A227" s="38">
        <f t="shared" si="36"/>
        <v>1873</v>
      </c>
      <c r="O227" s="41">
        <v>1.9942265373298844</v>
      </c>
      <c r="R227" s="109"/>
      <c r="S227" s="109">
        <f t="shared" si="35"/>
        <v>1.9942265373298844</v>
      </c>
    </row>
    <row r="228" spans="1:19" x14ac:dyDescent="0.15">
      <c r="A228" s="38">
        <f t="shared" si="36"/>
        <v>1874</v>
      </c>
      <c r="O228" s="41">
        <v>2.0578054382616191</v>
      </c>
      <c r="R228" s="109"/>
      <c r="S228" s="109">
        <f t="shared" si="35"/>
        <v>2.0578054382616191</v>
      </c>
    </row>
    <row r="229" spans="1:19" x14ac:dyDescent="0.15">
      <c r="A229" s="38">
        <f t="shared" si="36"/>
        <v>1875</v>
      </c>
      <c r="O229" s="41">
        <v>2.0027980476023273</v>
      </c>
      <c r="R229" s="109"/>
      <c r="S229" s="109">
        <f t="shared" si="35"/>
        <v>2.0027980476023273</v>
      </c>
    </row>
    <row r="230" spans="1:19" x14ac:dyDescent="0.15">
      <c r="A230" s="38">
        <f t="shared" si="36"/>
        <v>1876</v>
      </c>
      <c r="O230" s="41">
        <v>1.872720554701448</v>
      </c>
      <c r="R230" s="109"/>
      <c r="S230" s="109">
        <f t="shared" si="35"/>
        <v>1.872720554701448</v>
      </c>
    </row>
    <row r="231" spans="1:19" x14ac:dyDescent="0.15">
      <c r="A231" s="38">
        <f t="shared" si="36"/>
        <v>1877</v>
      </c>
      <c r="O231" s="41">
        <v>1.7346749233506551</v>
      </c>
      <c r="R231" s="109"/>
      <c r="S231" s="109">
        <f t="shared" si="35"/>
        <v>1.7346749233506551</v>
      </c>
    </row>
    <row r="232" spans="1:19" x14ac:dyDescent="0.15">
      <c r="A232" s="38">
        <f t="shared" si="36"/>
        <v>1878</v>
      </c>
      <c r="O232" s="41">
        <v>1.6970327517782469</v>
      </c>
      <c r="R232" s="109"/>
      <c r="S232" s="109">
        <f t="shared" si="35"/>
        <v>1.6970327517782469</v>
      </c>
    </row>
    <row r="233" spans="1:19" x14ac:dyDescent="0.15">
      <c r="A233" s="38">
        <f t="shared" si="36"/>
        <v>1879</v>
      </c>
      <c r="O233" s="41">
        <v>1.6230859547781127</v>
      </c>
      <c r="R233" s="109"/>
      <c r="S233" s="109">
        <f t="shared" si="35"/>
        <v>1.6230859547781127</v>
      </c>
    </row>
    <row r="234" spans="1:19" x14ac:dyDescent="0.15">
      <c r="A234" s="38">
        <f t="shared" si="36"/>
        <v>1880</v>
      </c>
      <c r="O234" s="41">
        <v>1.6615491848310839</v>
      </c>
      <c r="R234" s="109"/>
      <c r="S234" s="109">
        <f t="shared" si="35"/>
        <v>1.6615491848310839</v>
      </c>
    </row>
    <row r="235" spans="1:19" x14ac:dyDescent="0.15">
      <c r="A235" s="38">
        <f t="shared" si="36"/>
        <v>1881</v>
      </c>
      <c r="O235" s="41">
        <v>1.6104609005301891</v>
      </c>
      <c r="R235" s="109"/>
      <c r="S235" s="109">
        <f t="shared" si="35"/>
        <v>1.6104609005301891</v>
      </c>
    </row>
    <row r="236" spans="1:19" x14ac:dyDescent="0.15">
      <c r="A236" s="38">
        <f t="shared" si="36"/>
        <v>1882</v>
      </c>
      <c r="O236" s="41">
        <v>1.5859834159405617</v>
      </c>
      <c r="R236" s="109"/>
      <c r="S236" s="109">
        <f t="shared" si="35"/>
        <v>1.5859834159405617</v>
      </c>
    </row>
    <row r="237" spans="1:19" x14ac:dyDescent="0.15">
      <c r="A237" s="38">
        <f t="shared" si="36"/>
        <v>1883</v>
      </c>
      <c r="O237" s="41">
        <v>1.5540820256544372</v>
      </c>
      <c r="R237" s="109"/>
      <c r="S237" s="109">
        <f t="shared" si="35"/>
        <v>1.5540820256544372</v>
      </c>
    </row>
    <row r="238" spans="1:19" x14ac:dyDescent="0.15">
      <c r="A238" s="38">
        <f t="shared" si="36"/>
        <v>1884</v>
      </c>
      <c r="O238" s="41">
        <v>1.4014029550199427</v>
      </c>
      <c r="R238" s="109"/>
      <c r="S238" s="109">
        <f t="shared" si="35"/>
        <v>1.4014029550199427</v>
      </c>
    </row>
    <row r="239" spans="1:19" x14ac:dyDescent="0.15">
      <c r="A239" s="38">
        <f t="shared" si="36"/>
        <v>1885</v>
      </c>
      <c r="O239" s="41">
        <v>1.4074906289482294</v>
      </c>
      <c r="R239" s="109"/>
      <c r="S239" s="109">
        <f t="shared" si="35"/>
        <v>1.4074906289482294</v>
      </c>
    </row>
    <row r="240" spans="1:19" x14ac:dyDescent="0.15">
      <c r="A240" s="38">
        <f t="shared" si="36"/>
        <v>1886</v>
      </c>
      <c r="O240" s="41">
        <v>1.3700365984067249</v>
      </c>
      <c r="R240" s="109"/>
      <c r="S240" s="109">
        <f t="shared" si="35"/>
        <v>1.3700365984067249</v>
      </c>
    </row>
    <row r="241" spans="1:19" x14ac:dyDescent="0.15">
      <c r="A241" s="38">
        <f t="shared" si="36"/>
        <v>1887</v>
      </c>
      <c r="O241" s="41">
        <v>1.3618703357454891</v>
      </c>
      <c r="R241" s="109"/>
      <c r="S241" s="109">
        <f t="shared" si="35"/>
        <v>1.3618703357454891</v>
      </c>
    </row>
    <row r="242" spans="1:19" x14ac:dyDescent="0.15">
      <c r="A242" s="38">
        <f t="shared" si="36"/>
        <v>1888</v>
      </c>
      <c r="O242" s="41">
        <v>1.3121736744731702</v>
      </c>
      <c r="R242" s="109"/>
      <c r="S242" s="109">
        <f t="shared" si="35"/>
        <v>1.3121736744731702</v>
      </c>
    </row>
    <row r="243" spans="1:19" x14ac:dyDescent="0.15">
      <c r="A243" s="38">
        <f t="shared" si="36"/>
        <v>1889</v>
      </c>
      <c r="O243" s="41">
        <v>1.6466392200135427</v>
      </c>
      <c r="R243" s="109"/>
      <c r="S243" s="109">
        <f t="shared" si="35"/>
        <v>1.6466392200135427</v>
      </c>
    </row>
    <row r="244" spans="1:19" x14ac:dyDescent="0.15">
      <c r="A244" s="38">
        <f t="shared" si="36"/>
        <v>1890</v>
      </c>
      <c r="O244" s="41">
        <v>1.8676193870038651</v>
      </c>
      <c r="R244" s="109"/>
      <c r="S244" s="109">
        <f t="shared" si="35"/>
        <v>1.8676193870038651</v>
      </c>
    </row>
    <row r="245" spans="1:19" x14ac:dyDescent="0.15">
      <c r="A245" s="38">
        <f t="shared" si="36"/>
        <v>1891</v>
      </c>
      <c r="O245" s="41">
        <v>1.6527476685157418</v>
      </c>
      <c r="R245" s="109"/>
      <c r="S245" s="109">
        <f t="shared" si="35"/>
        <v>1.6527476685157418</v>
      </c>
    </row>
    <row r="246" spans="1:19" x14ac:dyDescent="0.15">
      <c r="A246" s="38">
        <f t="shared" si="36"/>
        <v>1892</v>
      </c>
      <c r="O246" s="41">
        <v>1.7327152267303101</v>
      </c>
      <c r="R246" s="109"/>
      <c r="S246" s="109">
        <f t="shared" si="35"/>
        <v>1.7327152267303101</v>
      </c>
    </row>
    <row r="247" spans="1:19" x14ac:dyDescent="0.15">
      <c r="A247" s="38">
        <f t="shared" si="36"/>
        <v>1893</v>
      </c>
      <c r="O247" s="41">
        <v>1.8746984039134325</v>
      </c>
      <c r="R247" s="109"/>
      <c r="S247" s="109">
        <f t="shared" si="35"/>
        <v>1.8746984039134325</v>
      </c>
    </row>
    <row r="248" spans="1:19" x14ac:dyDescent="0.15">
      <c r="A248" s="38">
        <f t="shared" si="36"/>
        <v>1894</v>
      </c>
      <c r="O248" s="41">
        <v>1.4180029617753445</v>
      </c>
      <c r="R248" s="109"/>
      <c r="S248" s="109">
        <f t="shared" si="35"/>
        <v>1.4180029617753445</v>
      </c>
    </row>
    <row r="249" spans="1:19" x14ac:dyDescent="0.15">
      <c r="A249" s="38">
        <f t="shared" si="36"/>
        <v>1895</v>
      </c>
      <c r="O249" s="41"/>
      <c r="R249" s="109"/>
      <c r="S249" s="109"/>
    </row>
    <row r="250" spans="1:19" x14ac:dyDescent="0.15">
      <c r="A250" s="38">
        <f t="shared" si="36"/>
        <v>1896</v>
      </c>
      <c r="O250" s="41">
        <v>1.6649418613258151</v>
      </c>
      <c r="R250" s="109"/>
      <c r="S250" s="109">
        <f t="shared" si="35"/>
        <v>1.6649418613258151</v>
      </c>
    </row>
    <row r="251" spans="1:19" x14ac:dyDescent="0.15">
      <c r="A251" s="38">
        <f t="shared" si="36"/>
        <v>1897</v>
      </c>
      <c r="O251" s="41">
        <v>1.9995246555819475</v>
      </c>
      <c r="R251" s="109"/>
      <c r="S251" s="109">
        <f t="shared" si="35"/>
        <v>1.9995246555819475</v>
      </c>
    </row>
    <row r="252" spans="1:19" x14ac:dyDescent="0.15">
      <c r="A252" s="38">
        <f t="shared" si="36"/>
        <v>1898</v>
      </c>
      <c r="O252" s="41">
        <v>1.3970899193395934</v>
      </c>
      <c r="R252" s="109"/>
      <c r="S252" s="109">
        <f t="shared" si="35"/>
        <v>1.3970899193395934</v>
      </c>
    </row>
    <row r="253" spans="1:19" x14ac:dyDescent="0.15">
      <c r="A253" s="38">
        <f t="shared" si="36"/>
        <v>1899</v>
      </c>
      <c r="O253" s="41">
        <v>1.6425452110110501</v>
      </c>
      <c r="R253" s="109"/>
      <c r="S253" s="109">
        <f t="shared" si="35"/>
        <v>1.6425452110110501</v>
      </c>
    </row>
    <row r="254" spans="1:19" x14ac:dyDescent="0.15">
      <c r="A254" s="38">
        <f t="shared" si="36"/>
        <v>1900</v>
      </c>
      <c r="O254" s="41">
        <v>1.0964380804259219</v>
      </c>
      <c r="R254" s="109"/>
      <c r="S254" s="109">
        <f t="shared" si="35"/>
        <v>1.0964380804259219</v>
      </c>
    </row>
    <row r="255" spans="1:19" x14ac:dyDescent="0.15">
      <c r="A255" s="38">
        <f t="shared" si="36"/>
        <v>1901</v>
      </c>
      <c r="O255" s="41">
        <v>1.3989886326632288</v>
      </c>
      <c r="R255" s="109"/>
      <c r="S255" s="109">
        <f t="shared" si="35"/>
        <v>1.3989886326632288</v>
      </c>
    </row>
    <row r="256" spans="1:19" x14ac:dyDescent="0.15">
      <c r="A256" s="38">
        <f t="shared" si="36"/>
        <v>1902</v>
      </c>
      <c r="O256" s="41">
        <v>1.2736155747844788</v>
      </c>
      <c r="R256" s="109"/>
      <c r="S256" s="109">
        <f t="shared" si="35"/>
        <v>1.2736155747844788</v>
      </c>
    </row>
    <row r="257" spans="1:15" ht="15" x14ac:dyDescent="0.2">
      <c r="A257" s="38">
        <f t="shared" si="36"/>
        <v>1903</v>
      </c>
      <c r="O257" s="7"/>
    </row>
    <row r="258" spans="1:15" ht="15" x14ac:dyDescent="0.2">
      <c r="A258" s="38">
        <f t="shared" si="36"/>
        <v>1904</v>
      </c>
      <c r="O258" s="7"/>
    </row>
    <row r="259" spans="1:15" ht="15" x14ac:dyDescent="0.2">
      <c r="A259" s="38">
        <f t="shared" si="36"/>
        <v>1905</v>
      </c>
      <c r="O259" s="7"/>
    </row>
    <row r="260" spans="1:15" ht="15" x14ac:dyDescent="0.2">
      <c r="A260" s="38">
        <f t="shared" si="36"/>
        <v>1906</v>
      </c>
      <c r="O260" s="7"/>
    </row>
    <row r="261" spans="1:15" ht="15" x14ac:dyDescent="0.2">
      <c r="A261" s="38">
        <f t="shared" si="36"/>
        <v>1907</v>
      </c>
      <c r="O261" s="7"/>
    </row>
    <row r="262" spans="1:15" ht="15" x14ac:dyDescent="0.2">
      <c r="A262" s="38">
        <f t="shared" si="36"/>
        <v>1908</v>
      </c>
      <c r="O262" s="7"/>
    </row>
    <row r="263" spans="1:15" ht="15" x14ac:dyDescent="0.2">
      <c r="A263" s="38">
        <f t="shared" si="36"/>
        <v>1909</v>
      </c>
      <c r="O263" s="7"/>
    </row>
    <row r="264" spans="1:15" ht="15" x14ac:dyDescent="0.2">
      <c r="A264" s="38">
        <f t="shared" si="36"/>
        <v>1910</v>
      </c>
      <c r="O264" s="7"/>
    </row>
    <row r="265" spans="1:15" ht="15" x14ac:dyDescent="0.2">
      <c r="A265" s="38">
        <v>1911</v>
      </c>
      <c r="O265" s="7"/>
    </row>
    <row r="266" spans="1:15" ht="15" x14ac:dyDescent="0.2">
      <c r="A266" s="38">
        <v>1912</v>
      </c>
      <c r="O266" s="7"/>
    </row>
    <row r="267" spans="1:15" ht="15" x14ac:dyDescent="0.2">
      <c r="A267" s="38">
        <v>1913</v>
      </c>
      <c r="O267" s="7"/>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7"/>
  <sheetViews>
    <sheetView zoomScale="85" zoomScaleNormal="85" zoomScalePageLayoutView="85" workbookViewId="0">
      <pane xSplit="1" ySplit="6" topLeftCell="B7" activePane="bottomRight" state="frozen"/>
      <selection pane="topRight" activeCell="B1" sqref="B1"/>
      <selection pane="bottomLeft" activeCell="A7" sqref="A7"/>
      <selection pane="bottomRight" activeCell="S34" sqref="S34"/>
    </sheetView>
  </sheetViews>
  <sheetFormatPr baseColWidth="10" defaultColWidth="8.83203125" defaultRowHeight="13" x14ac:dyDescent="0.15"/>
  <cols>
    <col min="1" max="1" width="8.83203125" style="38"/>
    <col min="2" max="8" width="8.83203125" style="31"/>
    <col min="10" max="10" width="8.83203125" style="29"/>
    <col min="11" max="11" width="8.83203125" style="48"/>
  </cols>
  <sheetData>
    <row r="1" spans="1:16" x14ac:dyDescent="0.15">
      <c r="B1" s="45" t="s">
        <v>62</v>
      </c>
      <c r="I1" s="107"/>
      <c r="J1" s="109"/>
      <c r="L1" s="53" t="s">
        <v>65</v>
      </c>
      <c r="M1" s="107"/>
      <c r="N1" s="107"/>
    </row>
    <row r="2" spans="1:16" x14ac:dyDescent="0.15">
      <c r="B2" s="31" t="s">
        <v>140</v>
      </c>
      <c r="C2" s="31" t="s">
        <v>140</v>
      </c>
      <c r="D2" s="31" t="s">
        <v>141</v>
      </c>
      <c r="E2" s="31" t="s">
        <v>140</v>
      </c>
      <c r="F2" s="31" t="s">
        <v>141</v>
      </c>
      <c r="G2" s="31" t="s">
        <v>142</v>
      </c>
      <c r="H2" s="31" t="s">
        <v>142</v>
      </c>
      <c r="I2" s="31" t="s">
        <v>143</v>
      </c>
      <c r="J2" s="109" t="s">
        <v>142</v>
      </c>
      <c r="L2" s="107"/>
      <c r="M2" s="107"/>
      <c r="N2" s="107"/>
    </row>
    <row r="3" spans="1:16" x14ac:dyDescent="0.15">
      <c r="A3" s="38" t="s">
        <v>68</v>
      </c>
      <c r="B3" s="31" t="s">
        <v>72</v>
      </c>
      <c r="C3" s="31" t="s">
        <v>72</v>
      </c>
      <c r="D3" s="31" t="s">
        <v>72</v>
      </c>
      <c r="E3" s="31" t="s">
        <v>73</v>
      </c>
      <c r="F3" s="31" t="s">
        <v>144</v>
      </c>
      <c r="G3" s="31" t="s">
        <v>145</v>
      </c>
      <c r="H3" s="31" t="s">
        <v>145</v>
      </c>
      <c r="I3" s="31" t="s">
        <v>78</v>
      </c>
      <c r="J3" s="109" t="s">
        <v>95</v>
      </c>
      <c r="L3" s="109" t="s">
        <v>82</v>
      </c>
      <c r="M3" s="107"/>
      <c r="N3" s="107"/>
    </row>
    <row r="4" spans="1:16" x14ac:dyDescent="0.15">
      <c r="A4" s="31" t="s">
        <v>84</v>
      </c>
      <c r="B4" s="31" t="s">
        <v>85</v>
      </c>
      <c r="C4" s="31" t="s">
        <v>85</v>
      </c>
      <c r="D4" s="31" t="s">
        <v>85</v>
      </c>
      <c r="E4" s="31" t="s">
        <v>85</v>
      </c>
      <c r="F4" s="31" t="s">
        <v>85</v>
      </c>
      <c r="G4" s="31" t="s">
        <v>87</v>
      </c>
      <c r="H4" s="31" t="s">
        <v>88</v>
      </c>
      <c r="I4" s="31" t="s">
        <v>88</v>
      </c>
      <c r="J4" s="109" t="s">
        <v>146</v>
      </c>
      <c r="L4" s="109" t="s">
        <v>85</v>
      </c>
      <c r="M4" s="31" t="s">
        <v>88</v>
      </c>
      <c r="N4" s="31" t="s">
        <v>55</v>
      </c>
      <c r="P4" s="31" t="s">
        <v>1031</v>
      </c>
    </row>
    <row r="5" spans="1:16" x14ac:dyDescent="0.15">
      <c r="A5" s="31" t="s">
        <v>91</v>
      </c>
      <c r="B5" s="31" t="s">
        <v>147</v>
      </c>
      <c r="C5" s="31" t="s">
        <v>101</v>
      </c>
      <c r="D5" s="31" t="s">
        <v>101</v>
      </c>
      <c r="E5" s="31" t="s">
        <v>101</v>
      </c>
      <c r="F5" s="31" t="s">
        <v>101</v>
      </c>
      <c r="G5" s="31" t="s">
        <v>101</v>
      </c>
      <c r="H5" s="31" t="s">
        <v>112</v>
      </c>
      <c r="I5" s="31" t="s">
        <v>112</v>
      </c>
      <c r="J5" s="109" t="s">
        <v>51</v>
      </c>
      <c r="L5" s="109" t="s">
        <v>51</v>
      </c>
      <c r="M5" s="109" t="s">
        <v>51</v>
      </c>
      <c r="N5" s="109" t="s">
        <v>51</v>
      </c>
    </row>
    <row r="7" spans="1:16" x14ac:dyDescent="0.15">
      <c r="A7" s="38">
        <v>1653</v>
      </c>
      <c r="I7" s="107"/>
      <c r="J7" s="109"/>
      <c r="L7" s="107"/>
      <c r="M7" s="107"/>
      <c r="N7" s="107"/>
    </row>
    <row r="8" spans="1:16" x14ac:dyDescent="0.15">
      <c r="A8" s="38">
        <f t="shared" ref="A8:A52" si="0">A9-1</f>
        <v>1654</v>
      </c>
      <c r="I8" s="107"/>
      <c r="J8" s="109"/>
      <c r="L8" s="107"/>
      <c r="M8" s="107"/>
      <c r="N8" s="107"/>
    </row>
    <row r="9" spans="1:16" x14ac:dyDescent="0.15">
      <c r="A9" s="38">
        <f t="shared" si="0"/>
        <v>1655</v>
      </c>
      <c r="B9" s="31">
        <v>80</v>
      </c>
      <c r="I9" s="107"/>
      <c r="J9" s="109"/>
      <c r="L9" s="107">
        <f>B9/60</f>
        <v>1.3333333333333333</v>
      </c>
      <c r="M9" s="107"/>
      <c r="N9" s="107">
        <f t="shared" ref="N9:N10" si="1">L9*7.84</f>
        <v>10.453333333333333</v>
      </c>
    </row>
    <row r="10" spans="1:16" x14ac:dyDescent="0.15">
      <c r="A10" s="38">
        <f t="shared" si="0"/>
        <v>1656</v>
      </c>
      <c r="B10" s="31">
        <v>66.3</v>
      </c>
      <c r="I10" s="107"/>
      <c r="J10" s="109"/>
      <c r="L10" s="107">
        <f>B10/60</f>
        <v>1.105</v>
      </c>
      <c r="M10" s="107"/>
      <c r="N10" s="107">
        <f t="shared" si="1"/>
        <v>8.6631999999999998</v>
      </c>
    </row>
    <row r="11" spans="1:16" x14ac:dyDescent="0.15">
      <c r="A11" s="38">
        <f t="shared" si="0"/>
        <v>1657</v>
      </c>
      <c r="I11" s="107"/>
      <c r="J11" s="109"/>
      <c r="L11" s="107"/>
      <c r="M11" s="107"/>
      <c r="N11" s="107"/>
    </row>
    <row r="12" spans="1:16" x14ac:dyDescent="0.15">
      <c r="A12" s="38">
        <f t="shared" si="0"/>
        <v>1658</v>
      </c>
      <c r="B12" s="31">
        <v>124.8</v>
      </c>
      <c r="I12" s="107"/>
      <c r="J12" s="109"/>
      <c r="L12" s="107">
        <f>B12/60</f>
        <v>2.08</v>
      </c>
      <c r="M12" s="107"/>
      <c r="N12" s="107">
        <f t="shared" ref="N12:N13" si="2">L12*7.84</f>
        <v>16.307200000000002</v>
      </c>
    </row>
    <row r="13" spans="1:16" x14ac:dyDescent="0.15">
      <c r="A13" s="38">
        <f t="shared" si="0"/>
        <v>1659</v>
      </c>
      <c r="B13" s="31">
        <v>62.4</v>
      </c>
      <c r="I13" s="107"/>
      <c r="J13" s="109"/>
      <c r="L13" s="107">
        <f>B13/60</f>
        <v>1.04</v>
      </c>
      <c r="M13" s="107"/>
      <c r="N13" s="107">
        <f t="shared" si="2"/>
        <v>8.1536000000000008</v>
      </c>
    </row>
    <row r="14" spans="1:16" x14ac:dyDescent="0.15">
      <c r="A14" s="38">
        <f t="shared" si="0"/>
        <v>1660</v>
      </c>
      <c r="I14" s="107"/>
      <c r="J14" s="109"/>
      <c r="L14" s="107"/>
      <c r="M14" s="107"/>
      <c r="N14" s="107"/>
    </row>
    <row r="15" spans="1:16" x14ac:dyDescent="0.15">
      <c r="A15" s="38">
        <f t="shared" si="0"/>
        <v>1661</v>
      </c>
      <c r="I15" s="107"/>
      <c r="J15" s="109"/>
      <c r="L15" s="107"/>
      <c r="M15" s="107"/>
      <c r="N15" s="107"/>
    </row>
    <row r="16" spans="1:16" x14ac:dyDescent="0.15">
      <c r="A16" s="38">
        <f t="shared" si="0"/>
        <v>1662</v>
      </c>
      <c r="I16" s="107"/>
      <c r="J16" s="109"/>
      <c r="L16" s="107"/>
      <c r="M16" s="107"/>
      <c r="N16" s="107"/>
    </row>
    <row r="17" spans="1:14" x14ac:dyDescent="0.15">
      <c r="A17" s="38">
        <f t="shared" si="0"/>
        <v>1663</v>
      </c>
      <c r="I17" s="107"/>
      <c r="J17" s="109"/>
      <c r="L17" s="107"/>
      <c r="M17" s="107"/>
      <c r="N17" s="107"/>
    </row>
    <row r="18" spans="1:14" x14ac:dyDescent="0.15">
      <c r="A18" s="38">
        <f t="shared" si="0"/>
        <v>1664</v>
      </c>
      <c r="I18" s="107"/>
      <c r="J18" s="109"/>
      <c r="L18" s="107"/>
      <c r="M18" s="107"/>
      <c r="N18" s="107"/>
    </row>
    <row r="19" spans="1:14" x14ac:dyDescent="0.15">
      <c r="A19" s="38">
        <f t="shared" si="0"/>
        <v>1665</v>
      </c>
      <c r="B19" s="31">
        <v>96</v>
      </c>
      <c r="I19" s="107"/>
      <c r="J19" s="109"/>
      <c r="L19" s="107">
        <f t="shared" ref="L19:L20" si="3">B19/60</f>
        <v>1.6</v>
      </c>
      <c r="M19" s="107"/>
      <c r="N19" s="107">
        <f t="shared" ref="N19:N20" si="4">L19*7.84</f>
        <v>12.544</v>
      </c>
    </row>
    <row r="20" spans="1:14" x14ac:dyDescent="0.15">
      <c r="A20" s="38">
        <f t="shared" si="0"/>
        <v>1666</v>
      </c>
      <c r="B20" s="31">
        <v>96</v>
      </c>
      <c r="I20" s="107"/>
      <c r="J20" s="109"/>
      <c r="L20" s="107">
        <f t="shared" si="3"/>
        <v>1.6</v>
      </c>
      <c r="M20" s="107"/>
      <c r="N20" s="107">
        <f t="shared" si="4"/>
        <v>12.544</v>
      </c>
    </row>
    <row r="21" spans="1:14" x14ac:dyDescent="0.15">
      <c r="A21" s="38">
        <f t="shared" si="0"/>
        <v>1667</v>
      </c>
      <c r="I21" s="107"/>
      <c r="J21" s="109"/>
      <c r="L21" s="107"/>
      <c r="M21" s="107"/>
      <c r="N21" s="107"/>
    </row>
    <row r="22" spans="1:14" x14ac:dyDescent="0.15">
      <c r="A22" s="38">
        <f t="shared" si="0"/>
        <v>1668</v>
      </c>
      <c r="I22" s="107"/>
      <c r="J22" s="109"/>
      <c r="L22" s="107"/>
      <c r="M22" s="107"/>
      <c r="N22" s="107"/>
    </row>
    <row r="23" spans="1:14" x14ac:dyDescent="0.15">
      <c r="A23" s="38">
        <f t="shared" si="0"/>
        <v>1669</v>
      </c>
      <c r="C23" s="31">
        <v>0.85395348837209295</v>
      </c>
      <c r="I23" s="107"/>
      <c r="J23" s="109"/>
      <c r="L23" s="107">
        <f t="shared" ref="L23:L28" si="5">AVERAGE(C23:F23)/0.494</f>
        <v>1.7286507861783258</v>
      </c>
      <c r="M23" s="107"/>
      <c r="N23" s="107">
        <f t="shared" ref="N23:N28" si="6">L23*7.84</f>
        <v>13.552622163638073</v>
      </c>
    </row>
    <row r="24" spans="1:14" x14ac:dyDescent="0.15">
      <c r="A24" s="38">
        <f t="shared" si="0"/>
        <v>1670</v>
      </c>
      <c r="D24" s="31">
        <v>1</v>
      </c>
      <c r="I24" s="107"/>
      <c r="J24" s="109"/>
      <c r="L24" s="107">
        <f t="shared" si="5"/>
        <v>2.0242914979757085</v>
      </c>
      <c r="M24" s="107"/>
      <c r="N24" s="107">
        <f t="shared" si="6"/>
        <v>15.870445344129555</v>
      </c>
    </row>
    <row r="25" spans="1:14" x14ac:dyDescent="0.15">
      <c r="A25" s="38">
        <f t="shared" si="0"/>
        <v>1671</v>
      </c>
      <c r="C25" s="31">
        <v>0.8</v>
      </c>
      <c r="I25" s="107"/>
      <c r="J25" s="109"/>
      <c r="L25" s="107">
        <f t="shared" si="5"/>
        <v>1.619433198380567</v>
      </c>
      <c r="M25" s="107"/>
      <c r="N25" s="107">
        <f t="shared" si="6"/>
        <v>12.696356275303645</v>
      </c>
    </row>
    <row r="26" spans="1:14" x14ac:dyDescent="0.15">
      <c r="A26" s="38">
        <f t="shared" si="0"/>
        <v>1672</v>
      </c>
      <c r="C26" s="31">
        <v>1</v>
      </c>
      <c r="I26" s="107"/>
      <c r="J26" s="109"/>
      <c r="L26" s="107">
        <f t="shared" si="5"/>
        <v>2.0242914979757085</v>
      </c>
      <c r="M26" s="107"/>
      <c r="N26" s="107">
        <f t="shared" si="6"/>
        <v>15.870445344129555</v>
      </c>
    </row>
    <row r="27" spans="1:14" x14ac:dyDescent="0.15">
      <c r="A27" s="38">
        <f t="shared" si="0"/>
        <v>1673</v>
      </c>
      <c r="C27" s="31">
        <v>0.83750000000000002</v>
      </c>
      <c r="I27" s="107"/>
      <c r="J27" s="109"/>
      <c r="L27" s="107">
        <f t="shared" si="5"/>
        <v>1.6953441295546559</v>
      </c>
      <c r="M27" s="107"/>
      <c r="N27" s="107">
        <f t="shared" si="6"/>
        <v>13.291497975708502</v>
      </c>
    </row>
    <row r="28" spans="1:14" x14ac:dyDescent="0.15">
      <c r="A28" s="38">
        <f t="shared" si="0"/>
        <v>1674</v>
      </c>
      <c r="C28" s="31">
        <v>0.8</v>
      </c>
      <c r="I28" s="107"/>
      <c r="J28" s="109"/>
      <c r="L28" s="107">
        <f t="shared" si="5"/>
        <v>1.619433198380567</v>
      </c>
      <c r="M28" s="107"/>
      <c r="N28" s="107">
        <f t="shared" si="6"/>
        <v>12.696356275303645</v>
      </c>
    </row>
    <row r="29" spans="1:14" x14ac:dyDescent="0.15">
      <c r="A29" s="38">
        <f t="shared" si="0"/>
        <v>1675</v>
      </c>
      <c r="I29" s="107"/>
      <c r="J29" s="109"/>
      <c r="L29" s="107"/>
      <c r="M29" s="107"/>
      <c r="N29" s="107"/>
    </row>
    <row r="30" spans="1:14" x14ac:dyDescent="0.15">
      <c r="A30" s="38">
        <f t="shared" si="0"/>
        <v>1676</v>
      </c>
      <c r="C30" s="31">
        <v>1.006043956043956</v>
      </c>
      <c r="I30" s="107"/>
      <c r="J30" s="109"/>
      <c r="L30" s="107">
        <f>AVERAGE(C30:F30)/0.494</f>
        <v>2.0365262268096278</v>
      </c>
      <c r="M30" s="107"/>
      <c r="N30" s="107">
        <f t="shared" ref="N30:N31" si="7">L30*7.84</f>
        <v>15.966365618187481</v>
      </c>
    </row>
    <row r="31" spans="1:14" x14ac:dyDescent="0.15">
      <c r="A31" s="38">
        <f t="shared" si="0"/>
        <v>1677</v>
      </c>
      <c r="C31" s="31">
        <v>1</v>
      </c>
      <c r="D31" s="31">
        <v>1.05</v>
      </c>
      <c r="I31" s="107"/>
      <c r="J31" s="109"/>
      <c r="L31" s="107">
        <f>AVERAGE(C31:F31)/0.494</f>
        <v>2.0748987854251011</v>
      </c>
      <c r="M31" s="107"/>
      <c r="N31" s="107">
        <f t="shared" si="7"/>
        <v>16.267206477732792</v>
      </c>
    </row>
    <row r="32" spans="1:14" x14ac:dyDescent="0.15">
      <c r="A32" s="38">
        <f t="shared" si="0"/>
        <v>1678</v>
      </c>
      <c r="B32" s="31">
        <v>60</v>
      </c>
      <c r="I32" s="107"/>
      <c r="J32" s="109"/>
      <c r="L32" s="107">
        <f>B32/60</f>
        <v>1</v>
      </c>
      <c r="M32" s="107"/>
      <c r="N32" s="107">
        <f>L32*7.84</f>
        <v>7.84</v>
      </c>
    </row>
    <row r="33" spans="1:14" x14ac:dyDescent="0.15">
      <c r="A33" s="38">
        <f t="shared" si="0"/>
        <v>1679</v>
      </c>
      <c r="I33" s="107"/>
      <c r="J33" s="109"/>
      <c r="L33" s="107"/>
      <c r="M33" s="107"/>
      <c r="N33" s="107"/>
    </row>
    <row r="34" spans="1:14" x14ac:dyDescent="0.15">
      <c r="A34" s="38">
        <f t="shared" si="0"/>
        <v>1680</v>
      </c>
      <c r="I34" s="107"/>
      <c r="J34" s="109"/>
      <c r="L34" s="107"/>
      <c r="M34" s="107"/>
      <c r="N34" s="107"/>
    </row>
    <row r="35" spans="1:14" x14ac:dyDescent="0.15">
      <c r="A35" s="38">
        <f t="shared" si="0"/>
        <v>1681</v>
      </c>
      <c r="C35" s="31">
        <v>0.5625</v>
      </c>
      <c r="I35" s="107"/>
      <c r="J35" s="109"/>
      <c r="L35" s="107">
        <f t="shared" ref="L35:L40" si="8">AVERAGE(C35:F35)/0.494</f>
        <v>1.1386639676113361</v>
      </c>
      <c r="M35" s="107"/>
      <c r="N35" s="107">
        <f t="shared" ref="N35:N40" si="9">L35*7.69</f>
        <v>8.7563259109311762</v>
      </c>
    </row>
    <row r="36" spans="1:14" x14ac:dyDescent="0.15">
      <c r="A36" s="38">
        <f t="shared" si="0"/>
        <v>1682</v>
      </c>
      <c r="C36" s="31">
        <v>0.53437500000000004</v>
      </c>
      <c r="I36" s="107"/>
      <c r="J36" s="109"/>
      <c r="L36" s="107">
        <f t="shared" si="8"/>
        <v>1.0817307692307694</v>
      </c>
      <c r="M36" s="107"/>
      <c r="N36" s="107">
        <f t="shared" si="9"/>
        <v>8.3185096153846168</v>
      </c>
    </row>
    <row r="37" spans="1:14" x14ac:dyDescent="0.15">
      <c r="A37" s="38">
        <f t="shared" si="0"/>
        <v>1683</v>
      </c>
      <c r="C37" s="31">
        <v>0.53437500000000004</v>
      </c>
      <c r="I37" s="107"/>
      <c r="J37" s="109"/>
      <c r="L37" s="107">
        <f t="shared" si="8"/>
        <v>1.0817307692307694</v>
      </c>
      <c r="M37" s="107"/>
      <c r="N37" s="107">
        <f t="shared" si="9"/>
        <v>8.3185096153846168</v>
      </c>
    </row>
    <row r="38" spans="1:14" x14ac:dyDescent="0.15">
      <c r="A38" s="38">
        <f t="shared" si="0"/>
        <v>1684</v>
      </c>
      <c r="C38" s="31">
        <v>0.66249999999999998</v>
      </c>
      <c r="I38" s="107"/>
      <c r="J38" s="109"/>
      <c r="L38" s="107">
        <f t="shared" si="8"/>
        <v>1.3410931174089069</v>
      </c>
      <c r="M38" s="107"/>
      <c r="N38" s="107">
        <f t="shared" si="9"/>
        <v>10.313006072874495</v>
      </c>
    </row>
    <row r="39" spans="1:14" x14ac:dyDescent="0.15">
      <c r="A39" s="38">
        <f t="shared" si="0"/>
        <v>1685</v>
      </c>
      <c r="C39" s="31">
        <v>0.83651960784313728</v>
      </c>
      <c r="I39" s="107"/>
      <c r="J39" s="109"/>
      <c r="L39" s="107">
        <f t="shared" si="8"/>
        <v>1.6933595300468367</v>
      </c>
      <c r="M39" s="107"/>
      <c r="N39" s="107">
        <f t="shared" si="9"/>
        <v>13.021934786060175</v>
      </c>
    </row>
    <row r="40" spans="1:14" x14ac:dyDescent="0.15">
      <c r="A40" s="38">
        <f t="shared" si="0"/>
        <v>1686</v>
      </c>
      <c r="C40" s="31">
        <v>0.84433593750000002</v>
      </c>
      <c r="I40" s="107"/>
      <c r="J40" s="109"/>
      <c r="L40" s="107">
        <f t="shared" si="8"/>
        <v>1.7091820597165992</v>
      </c>
      <c r="M40" s="107"/>
      <c r="N40" s="107">
        <f t="shared" si="9"/>
        <v>13.143610039220649</v>
      </c>
    </row>
    <row r="41" spans="1:14" x14ac:dyDescent="0.15">
      <c r="A41" s="38">
        <f t="shared" si="0"/>
        <v>1687</v>
      </c>
      <c r="I41" s="107"/>
      <c r="J41" s="109"/>
      <c r="L41" s="107"/>
      <c r="M41" s="107"/>
      <c r="N41" s="107"/>
    </row>
    <row r="42" spans="1:14" x14ac:dyDescent="0.15">
      <c r="A42" s="38">
        <f t="shared" si="0"/>
        <v>1688</v>
      </c>
      <c r="I42" s="107"/>
      <c r="J42" s="109"/>
      <c r="L42" s="107"/>
      <c r="M42" s="107"/>
      <c r="N42" s="107"/>
    </row>
    <row r="43" spans="1:14" x14ac:dyDescent="0.15">
      <c r="A43" s="38">
        <f t="shared" si="0"/>
        <v>1689</v>
      </c>
      <c r="C43" s="31">
        <v>0.89999999999999991</v>
      </c>
      <c r="I43" s="107"/>
      <c r="J43" s="109"/>
      <c r="L43" s="107">
        <f t="shared" ref="L43:L44" si="10">AVERAGE(C43:F43)/0.494</f>
        <v>1.8218623481781375</v>
      </c>
      <c r="M43" s="107"/>
      <c r="N43" s="107">
        <f t="shared" ref="N43:N44" si="11">L43*7.69</f>
        <v>14.010121457489879</v>
      </c>
    </row>
    <row r="44" spans="1:14" x14ac:dyDescent="0.15">
      <c r="A44" s="38">
        <f t="shared" si="0"/>
        <v>1690</v>
      </c>
      <c r="C44" s="31">
        <v>0.9</v>
      </c>
      <c r="I44" s="107"/>
      <c r="J44" s="109"/>
      <c r="L44" s="107">
        <f t="shared" si="10"/>
        <v>1.8218623481781377</v>
      </c>
      <c r="M44" s="107"/>
      <c r="N44" s="107">
        <f t="shared" si="11"/>
        <v>14.01012145748988</v>
      </c>
    </row>
    <row r="45" spans="1:14" x14ac:dyDescent="0.15">
      <c r="A45" s="38">
        <f t="shared" si="0"/>
        <v>1691</v>
      </c>
      <c r="I45" s="107"/>
      <c r="J45" s="109"/>
      <c r="L45" s="107"/>
      <c r="M45" s="107"/>
      <c r="N45" s="107"/>
    </row>
    <row r="46" spans="1:14" x14ac:dyDescent="0.15">
      <c r="A46" s="38">
        <f t="shared" si="0"/>
        <v>1692</v>
      </c>
      <c r="C46" s="31">
        <v>0.45</v>
      </c>
      <c r="I46" s="107"/>
      <c r="J46" s="109"/>
      <c r="L46" s="107">
        <f t="shared" ref="L46:L47" si="12">AVERAGE(C46:F46)/0.494</f>
        <v>0.91093117408906887</v>
      </c>
      <c r="M46" s="107"/>
      <c r="N46" s="107">
        <f t="shared" ref="N46:N47" si="13">L46*7.69</f>
        <v>7.0050607287449402</v>
      </c>
    </row>
    <row r="47" spans="1:14" x14ac:dyDescent="0.15">
      <c r="A47" s="38">
        <f t="shared" si="0"/>
        <v>1693</v>
      </c>
      <c r="C47" s="31">
        <v>0.45</v>
      </c>
      <c r="I47" s="107"/>
      <c r="J47" s="109"/>
      <c r="L47" s="107">
        <f t="shared" si="12"/>
        <v>0.91093117408906887</v>
      </c>
      <c r="M47" s="107"/>
      <c r="N47" s="107">
        <f t="shared" si="13"/>
        <v>7.0050607287449402</v>
      </c>
    </row>
    <row r="48" spans="1:14" x14ac:dyDescent="0.15">
      <c r="A48" s="38">
        <f t="shared" si="0"/>
        <v>1694</v>
      </c>
      <c r="I48" s="107"/>
      <c r="J48" s="109"/>
      <c r="L48" s="107"/>
      <c r="M48" s="107"/>
      <c r="N48" s="107"/>
    </row>
    <row r="49" spans="1:14" x14ac:dyDescent="0.15">
      <c r="A49" s="38">
        <f t="shared" si="0"/>
        <v>1695</v>
      </c>
      <c r="I49" s="107"/>
      <c r="J49" s="109"/>
      <c r="L49" s="107"/>
      <c r="M49" s="107"/>
      <c r="N49" s="107"/>
    </row>
    <row r="50" spans="1:14" x14ac:dyDescent="0.15">
      <c r="A50" s="38">
        <f t="shared" si="0"/>
        <v>1696</v>
      </c>
      <c r="I50" s="107"/>
      <c r="J50" s="109"/>
      <c r="L50" s="107"/>
      <c r="M50" s="107"/>
      <c r="N50" s="107"/>
    </row>
    <row r="51" spans="1:14" x14ac:dyDescent="0.15">
      <c r="A51" s="38">
        <f t="shared" si="0"/>
        <v>1697</v>
      </c>
      <c r="C51" s="31">
        <v>0.5</v>
      </c>
      <c r="I51" s="107"/>
      <c r="J51" s="109"/>
      <c r="L51" s="107">
        <f t="shared" ref="L51:L57" si="14">AVERAGE(C51:F51)/0.494</f>
        <v>1.0121457489878543</v>
      </c>
      <c r="M51" s="107"/>
      <c r="N51" s="107">
        <f t="shared" ref="N51:N57" si="15">L51*7.69</f>
        <v>7.7834008097165999</v>
      </c>
    </row>
    <row r="52" spans="1:14" x14ac:dyDescent="0.15">
      <c r="A52" s="38">
        <f t="shared" si="0"/>
        <v>1698</v>
      </c>
      <c r="C52" s="31">
        <v>0.6</v>
      </c>
      <c r="I52" s="107"/>
      <c r="J52" s="109"/>
      <c r="L52" s="107">
        <f t="shared" si="14"/>
        <v>1.214574898785425</v>
      </c>
      <c r="M52" s="107"/>
      <c r="N52" s="107">
        <f t="shared" si="15"/>
        <v>9.3400809716599191</v>
      </c>
    </row>
    <row r="53" spans="1:14" x14ac:dyDescent="0.15">
      <c r="A53" s="38">
        <f>A54-1</f>
        <v>1699</v>
      </c>
      <c r="C53" s="31">
        <v>0.6</v>
      </c>
      <c r="I53" s="107"/>
      <c r="J53" s="109"/>
      <c r="L53" s="107">
        <f t="shared" si="14"/>
        <v>1.214574898785425</v>
      </c>
      <c r="M53" s="107"/>
      <c r="N53" s="107">
        <f t="shared" si="15"/>
        <v>9.3400809716599191</v>
      </c>
    </row>
    <row r="54" spans="1:14" x14ac:dyDescent="0.15">
      <c r="A54" s="38">
        <v>1700</v>
      </c>
      <c r="C54" s="31">
        <v>0.47500000000000003</v>
      </c>
      <c r="I54" s="107"/>
      <c r="J54" s="109"/>
      <c r="L54" s="107">
        <f t="shared" si="14"/>
        <v>0.96153846153846156</v>
      </c>
      <c r="M54" s="107"/>
      <c r="N54" s="107">
        <f t="shared" si="15"/>
        <v>7.3942307692307701</v>
      </c>
    </row>
    <row r="55" spans="1:14" x14ac:dyDescent="0.15">
      <c r="A55" s="38">
        <v>1701</v>
      </c>
      <c r="C55" s="31">
        <v>0.57000000000000006</v>
      </c>
      <c r="I55" s="107"/>
      <c r="J55" s="109"/>
      <c r="L55" s="107">
        <f t="shared" si="14"/>
        <v>1.153846153846154</v>
      </c>
      <c r="M55" s="107"/>
      <c r="N55" s="107">
        <f t="shared" si="15"/>
        <v>8.8730769230769244</v>
      </c>
    </row>
    <row r="56" spans="1:14" x14ac:dyDescent="0.15">
      <c r="A56" s="38">
        <v>1702</v>
      </c>
      <c r="C56" s="31">
        <v>0.45</v>
      </c>
      <c r="I56" s="107"/>
      <c r="J56" s="109"/>
      <c r="L56" s="107">
        <f t="shared" si="14"/>
        <v>0.91093117408906887</v>
      </c>
      <c r="M56" s="107"/>
      <c r="N56" s="107">
        <f t="shared" si="15"/>
        <v>7.0050607287449402</v>
      </c>
    </row>
    <row r="57" spans="1:14" x14ac:dyDescent="0.15">
      <c r="A57" s="38">
        <v>1703</v>
      </c>
      <c r="C57" s="31">
        <v>0.60795454545454541</v>
      </c>
      <c r="I57" s="107"/>
      <c r="J57" s="109"/>
      <c r="L57" s="107">
        <f t="shared" si="14"/>
        <v>1.2306772175193228</v>
      </c>
      <c r="M57" s="107"/>
      <c r="N57" s="107">
        <f t="shared" si="15"/>
        <v>9.4639078027235932</v>
      </c>
    </row>
    <row r="58" spans="1:14" x14ac:dyDescent="0.15">
      <c r="A58" s="38">
        <v>1704</v>
      </c>
      <c r="I58" s="107"/>
      <c r="J58" s="109"/>
      <c r="L58" s="107"/>
      <c r="M58" s="107"/>
      <c r="N58" s="107"/>
    </row>
    <row r="59" spans="1:14" x14ac:dyDescent="0.15">
      <c r="A59" s="38">
        <v>1705</v>
      </c>
      <c r="I59" s="107"/>
      <c r="J59" s="109"/>
      <c r="L59" s="107"/>
      <c r="M59" s="107"/>
      <c r="N59" s="107"/>
    </row>
    <row r="60" spans="1:14" x14ac:dyDescent="0.15">
      <c r="A60" s="38">
        <v>1706</v>
      </c>
      <c r="I60" s="107"/>
      <c r="J60" s="109"/>
      <c r="L60" s="107"/>
      <c r="M60" s="107"/>
      <c r="N60" s="107"/>
    </row>
    <row r="61" spans="1:14" x14ac:dyDescent="0.15">
      <c r="A61" s="38">
        <v>1707</v>
      </c>
      <c r="I61" s="107"/>
      <c r="J61" s="109"/>
      <c r="L61" s="107"/>
      <c r="M61" s="107"/>
      <c r="N61" s="107"/>
    </row>
    <row r="62" spans="1:14" x14ac:dyDescent="0.15">
      <c r="A62" s="38">
        <v>1708</v>
      </c>
      <c r="D62" s="31">
        <v>0.56874999999999998</v>
      </c>
      <c r="I62" s="107"/>
      <c r="J62" s="109"/>
      <c r="L62" s="107">
        <f>AVERAGE(C62:F62)/0.494</f>
        <v>1.1513157894736841</v>
      </c>
      <c r="M62" s="107"/>
      <c r="N62" s="107">
        <f>L62*7.69</f>
        <v>8.8536184210526301</v>
      </c>
    </row>
    <row r="63" spans="1:14" x14ac:dyDescent="0.15">
      <c r="A63" s="38">
        <v>1709</v>
      </c>
      <c r="I63" s="107"/>
      <c r="J63" s="109"/>
      <c r="L63" s="107"/>
      <c r="M63" s="107"/>
      <c r="N63" s="107"/>
    </row>
    <row r="64" spans="1:14" x14ac:dyDescent="0.15">
      <c r="A64" s="38">
        <v>1710</v>
      </c>
      <c r="I64" s="107"/>
      <c r="J64" s="109"/>
      <c r="L64" s="107"/>
      <c r="M64" s="107"/>
      <c r="N64" s="107"/>
    </row>
    <row r="65" spans="1:14" x14ac:dyDescent="0.15">
      <c r="A65" s="38">
        <v>1711</v>
      </c>
      <c r="I65" s="107"/>
      <c r="J65" s="109"/>
      <c r="L65" s="107"/>
      <c r="M65" s="107"/>
      <c r="N65" s="107"/>
    </row>
    <row r="66" spans="1:14" x14ac:dyDescent="0.15">
      <c r="A66" s="38">
        <v>1712</v>
      </c>
      <c r="I66" s="107"/>
      <c r="J66" s="109"/>
      <c r="L66" s="107"/>
      <c r="M66" s="107"/>
      <c r="N66" s="107"/>
    </row>
    <row r="67" spans="1:14" x14ac:dyDescent="0.15">
      <c r="A67" s="38">
        <v>1713</v>
      </c>
      <c r="I67" s="107"/>
      <c r="J67" s="109"/>
      <c r="L67" s="107"/>
      <c r="M67" s="107"/>
      <c r="N67" s="107"/>
    </row>
    <row r="68" spans="1:14" x14ac:dyDescent="0.15">
      <c r="A68" s="38">
        <v>1714</v>
      </c>
      <c r="I68" s="107"/>
      <c r="J68" s="109"/>
      <c r="L68" s="107"/>
      <c r="M68" s="107"/>
      <c r="N68" s="107"/>
    </row>
    <row r="69" spans="1:14" x14ac:dyDescent="0.15">
      <c r="A69" s="38">
        <v>1715</v>
      </c>
      <c r="I69" s="107"/>
      <c r="J69" s="109"/>
      <c r="L69" s="107"/>
      <c r="M69" s="107"/>
      <c r="N69" s="107"/>
    </row>
    <row r="70" spans="1:14" x14ac:dyDescent="0.15">
      <c r="A70" s="38">
        <v>1716</v>
      </c>
      <c r="D70" s="31">
        <v>0.80642857142857138</v>
      </c>
      <c r="I70" s="107"/>
      <c r="J70" s="109"/>
      <c r="L70" s="107">
        <f t="shared" ref="L70:L71" si="16">AVERAGE(C70:F70)/0.494</f>
        <v>1.6324465008675535</v>
      </c>
      <c r="M70" s="107"/>
      <c r="N70" s="107">
        <f t="shared" ref="N70:N71" si="17">L70*7.69</f>
        <v>12.553513591671488</v>
      </c>
    </row>
    <row r="71" spans="1:14" x14ac:dyDescent="0.15">
      <c r="A71" s="38">
        <v>1717</v>
      </c>
      <c r="D71" s="31">
        <v>0.73124999999999996</v>
      </c>
      <c r="I71" s="107"/>
      <c r="J71" s="109"/>
      <c r="L71" s="107">
        <f t="shared" si="16"/>
        <v>1.4802631578947367</v>
      </c>
      <c r="M71" s="107"/>
      <c r="N71" s="107">
        <f t="shared" si="17"/>
        <v>11.383223684210526</v>
      </c>
    </row>
    <row r="72" spans="1:14" x14ac:dyDescent="0.15">
      <c r="A72" s="38">
        <v>1718</v>
      </c>
      <c r="I72" s="107"/>
      <c r="J72" s="109"/>
      <c r="L72" s="107"/>
      <c r="M72" s="107"/>
      <c r="N72" s="107"/>
    </row>
    <row r="73" spans="1:14" x14ac:dyDescent="0.15">
      <c r="A73" s="38">
        <v>1719</v>
      </c>
      <c r="I73" s="107"/>
      <c r="J73" s="109"/>
      <c r="L73" s="107"/>
      <c r="M73" s="107"/>
      <c r="N73" s="107"/>
    </row>
    <row r="74" spans="1:14" x14ac:dyDescent="0.15">
      <c r="A74" s="38">
        <v>1720</v>
      </c>
      <c r="D74" s="31">
        <v>0.66249999999999998</v>
      </c>
      <c r="I74" s="107"/>
      <c r="J74" s="109"/>
      <c r="L74" s="107">
        <f>AVERAGE(C74:F74)/0.494</f>
        <v>1.3410931174089069</v>
      </c>
      <c r="M74" s="107"/>
      <c r="N74" s="107">
        <f>L74*7.69</f>
        <v>10.313006072874495</v>
      </c>
    </row>
    <row r="75" spans="1:14" x14ac:dyDescent="0.15">
      <c r="A75" s="38">
        <v>1721</v>
      </c>
      <c r="I75" s="107"/>
      <c r="J75" s="109"/>
      <c r="L75" s="107"/>
      <c r="M75" s="107"/>
      <c r="N75" s="107"/>
    </row>
    <row r="76" spans="1:14" x14ac:dyDescent="0.15">
      <c r="A76" s="38">
        <v>1722</v>
      </c>
      <c r="I76" s="107"/>
      <c r="J76" s="109"/>
      <c r="L76" s="107"/>
      <c r="M76" s="107"/>
      <c r="N76" s="107"/>
    </row>
    <row r="77" spans="1:14" x14ac:dyDescent="0.15">
      <c r="A77" s="38">
        <v>1723</v>
      </c>
      <c r="I77" s="107"/>
      <c r="J77" s="109"/>
      <c r="L77" s="107"/>
      <c r="M77" s="107"/>
      <c r="N77" s="107"/>
    </row>
    <row r="78" spans="1:14" x14ac:dyDescent="0.15">
      <c r="A78" s="38">
        <v>1724</v>
      </c>
      <c r="I78" s="107"/>
      <c r="J78" s="109"/>
      <c r="L78" s="107"/>
      <c r="M78" s="107"/>
      <c r="N78" s="107"/>
    </row>
    <row r="79" spans="1:14" x14ac:dyDescent="0.15">
      <c r="A79" s="38">
        <v>1725</v>
      </c>
      <c r="I79" s="107"/>
      <c r="J79" s="109"/>
      <c r="L79" s="107"/>
      <c r="M79" s="107"/>
      <c r="N79" s="107"/>
    </row>
    <row r="80" spans="1:14" x14ac:dyDescent="0.15">
      <c r="A80" s="38">
        <v>1726</v>
      </c>
      <c r="I80" s="107"/>
      <c r="J80" s="109"/>
      <c r="L80" s="107"/>
      <c r="M80" s="107"/>
      <c r="N80" s="107"/>
    </row>
    <row r="81" spans="1:14" x14ac:dyDescent="0.15">
      <c r="A81" s="38">
        <v>1727</v>
      </c>
      <c r="I81" s="107"/>
      <c r="J81" s="109"/>
      <c r="L81" s="107"/>
      <c r="M81" s="107"/>
      <c r="N81" s="107"/>
    </row>
    <row r="82" spans="1:14" x14ac:dyDescent="0.15">
      <c r="A82" s="38">
        <v>1728</v>
      </c>
      <c r="I82" s="107"/>
      <c r="J82" s="109"/>
      <c r="L82" s="107"/>
      <c r="M82" s="107"/>
      <c r="N82" s="107"/>
    </row>
    <row r="83" spans="1:14" x14ac:dyDescent="0.15">
      <c r="A83" s="38">
        <v>1729</v>
      </c>
      <c r="I83" s="107"/>
      <c r="J83" s="109"/>
      <c r="L83" s="107"/>
      <c r="M83" s="107"/>
      <c r="N83" s="107"/>
    </row>
    <row r="84" spans="1:14" x14ac:dyDescent="0.15">
      <c r="A84" s="38">
        <v>1730</v>
      </c>
      <c r="I84" s="107"/>
      <c r="J84" s="109"/>
      <c r="L84" s="107"/>
      <c r="M84" s="107"/>
      <c r="N84" s="107"/>
    </row>
    <row r="85" spans="1:14" x14ac:dyDescent="0.15">
      <c r="A85" s="38">
        <v>1731</v>
      </c>
      <c r="I85" s="107"/>
      <c r="J85" s="109"/>
      <c r="L85" s="107"/>
      <c r="M85" s="107"/>
      <c r="N85" s="107"/>
    </row>
    <row r="86" spans="1:14" x14ac:dyDescent="0.15">
      <c r="A86" s="38">
        <v>1732</v>
      </c>
      <c r="I86" s="107"/>
      <c r="J86" s="109"/>
      <c r="L86" s="107"/>
      <c r="M86" s="107"/>
      <c r="N86" s="107"/>
    </row>
    <row r="87" spans="1:14" x14ac:dyDescent="0.15">
      <c r="A87" s="38">
        <v>1733</v>
      </c>
      <c r="I87" s="107"/>
      <c r="J87" s="109"/>
      <c r="L87" s="107"/>
      <c r="M87" s="107"/>
      <c r="N87" s="107"/>
    </row>
    <row r="88" spans="1:14" x14ac:dyDescent="0.15">
      <c r="A88" s="38">
        <v>1734</v>
      </c>
      <c r="I88" s="107"/>
      <c r="J88" s="109"/>
      <c r="L88" s="107"/>
      <c r="M88" s="107"/>
      <c r="N88" s="107"/>
    </row>
    <row r="89" spans="1:14" x14ac:dyDescent="0.15">
      <c r="A89" s="38">
        <v>1735</v>
      </c>
      <c r="I89" s="107"/>
      <c r="J89" s="109"/>
      <c r="L89" s="107"/>
      <c r="M89" s="107"/>
      <c r="N89" s="107"/>
    </row>
    <row r="90" spans="1:14" x14ac:dyDescent="0.15">
      <c r="A90" s="38">
        <v>1736</v>
      </c>
      <c r="I90" s="107"/>
      <c r="J90" s="109"/>
      <c r="L90" s="107"/>
      <c r="M90" s="107"/>
      <c r="N90" s="107"/>
    </row>
    <row r="91" spans="1:14" x14ac:dyDescent="0.15">
      <c r="A91" s="38">
        <v>1737</v>
      </c>
      <c r="I91" s="107"/>
      <c r="J91" s="109"/>
      <c r="L91" s="107"/>
      <c r="M91" s="107"/>
      <c r="N91" s="107"/>
    </row>
    <row r="92" spans="1:14" x14ac:dyDescent="0.15">
      <c r="A92" s="38">
        <v>1738</v>
      </c>
      <c r="I92" s="107"/>
      <c r="J92" s="109"/>
      <c r="L92" s="107"/>
      <c r="M92" s="107"/>
      <c r="N92" s="107"/>
    </row>
    <row r="93" spans="1:14" x14ac:dyDescent="0.15">
      <c r="A93" s="38">
        <v>1739</v>
      </c>
      <c r="I93" s="107"/>
      <c r="J93" s="109"/>
      <c r="L93" s="107"/>
      <c r="M93" s="107"/>
      <c r="N93" s="107"/>
    </row>
    <row r="94" spans="1:14" x14ac:dyDescent="0.15">
      <c r="A94" s="38">
        <v>1740</v>
      </c>
      <c r="I94" s="107"/>
      <c r="J94" s="109"/>
      <c r="L94" s="107"/>
      <c r="M94" s="107"/>
      <c r="N94" s="107"/>
    </row>
    <row r="95" spans="1:14" x14ac:dyDescent="0.15">
      <c r="A95" s="38">
        <v>1741</v>
      </c>
      <c r="D95" s="31">
        <v>0.61499999999999999</v>
      </c>
      <c r="I95" s="107"/>
      <c r="J95" s="109"/>
      <c r="L95" s="107">
        <f>AVERAGE(C95:F95)/0.494</f>
        <v>1.2449392712550607</v>
      </c>
      <c r="M95" s="107"/>
      <c r="N95" s="107">
        <f>L95*7.69</f>
        <v>9.5735829959514174</v>
      </c>
    </row>
    <row r="96" spans="1:14" x14ac:dyDescent="0.15">
      <c r="A96" s="38">
        <v>1742</v>
      </c>
      <c r="I96" s="107"/>
      <c r="J96" s="109"/>
      <c r="L96" s="107"/>
      <c r="M96" s="107"/>
      <c r="N96" s="107"/>
    </row>
    <row r="97" spans="1:1" x14ac:dyDescent="0.15">
      <c r="A97" s="38">
        <v>1743</v>
      </c>
    </row>
    <row r="98" spans="1:1" x14ac:dyDescent="0.15">
      <c r="A98" s="38">
        <v>1744</v>
      </c>
    </row>
    <row r="99" spans="1:1" x14ac:dyDescent="0.15">
      <c r="A99" s="38">
        <v>1745</v>
      </c>
    </row>
    <row r="100" spans="1:1" x14ac:dyDescent="0.15">
      <c r="A100" s="38">
        <v>1746</v>
      </c>
    </row>
    <row r="101" spans="1:1" x14ac:dyDescent="0.15">
      <c r="A101" s="38">
        <v>1747</v>
      </c>
    </row>
    <row r="102" spans="1:1" x14ac:dyDescent="0.15">
      <c r="A102" s="38">
        <v>1748</v>
      </c>
    </row>
    <row r="103" spans="1:1" x14ac:dyDescent="0.15">
      <c r="A103" s="38">
        <v>1749</v>
      </c>
    </row>
    <row r="104" spans="1:1" x14ac:dyDescent="0.15">
      <c r="A104" s="38">
        <v>1750</v>
      </c>
    </row>
    <row r="105" spans="1:1" x14ac:dyDescent="0.15">
      <c r="A105" s="38">
        <v>1751</v>
      </c>
    </row>
    <row r="106" spans="1:1" x14ac:dyDescent="0.15">
      <c r="A106" s="38">
        <v>1752</v>
      </c>
    </row>
    <row r="107" spans="1:1" x14ac:dyDescent="0.15">
      <c r="A107" s="38">
        <f>A106+1</f>
        <v>1753</v>
      </c>
    </row>
    <row r="108" spans="1:1" x14ac:dyDescent="0.15">
      <c r="A108" s="38">
        <f t="shared" ref="A108:A147" si="18">A107+1</f>
        <v>1754</v>
      </c>
    </row>
    <row r="109" spans="1:1" x14ac:dyDescent="0.15">
      <c r="A109" s="38">
        <f t="shared" si="18"/>
        <v>1755</v>
      </c>
    </row>
    <row r="110" spans="1:1" x14ac:dyDescent="0.15">
      <c r="A110" s="38">
        <f t="shared" si="18"/>
        <v>1756</v>
      </c>
    </row>
    <row r="111" spans="1:1" x14ac:dyDescent="0.15">
      <c r="A111" s="38">
        <f t="shared" si="18"/>
        <v>1757</v>
      </c>
    </row>
    <row r="112" spans="1:1" x14ac:dyDescent="0.15">
      <c r="A112" s="38">
        <f t="shared" si="18"/>
        <v>1758</v>
      </c>
    </row>
    <row r="113" spans="1:14" x14ac:dyDescent="0.15">
      <c r="A113" s="38">
        <f t="shared" si="18"/>
        <v>1759</v>
      </c>
      <c r="D113" s="31">
        <v>0.95000000000000007</v>
      </c>
      <c r="I113" s="107"/>
      <c r="J113" s="109"/>
      <c r="L113" s="107">
        <f>AVERAGE(C113:F113)/0.494</f>
        <v>1.9230769230769231</v>
      </c>
      <c r="M113" s="107"/>
      <c r="N113" s="107">
        <f>L113*8.04</f>
        <v>15.46153846153846</v>
      </c>
    </row>
    <row r="114" spans="1:14" x14ac:dyDescent="0.15">
      <c r="A114" s="38">
        <f t="shared" si="18"/>
        <v>1760</v>
      </c>
      <c r="I114" s="107"/>
      <c r="J114" s="109"/>
      <c r="L114" s="107"/>
      <c r="M114" s="107"/>
      <c r="N114" s="107"/>
    </row>
    <row r="115" spans="1:14" x14ac:dyDescent="0.15">
      <c r="A115" s="38">
        <f t="shared" si="18"/>
        <v>1761</v>
      </c>
      <c r="I115" s="107"/>
      <c r="J115" s="109"/>
      <c r="L115" s="107"/>
      <c r="M115" s="107"/>
      <c r="N115" s="107"/>
    </row>
    <row r="116" spans="1:14" x14ac:dyDescent="0.15">
      <c r="A116" s="38">
        <f t="shared" si="18"/>
        <v>1762</v>
      </c>
      <c r="I116" s="107"/>
      <c r="J116" s="109"/>
      <c r="L116" s="107"/>
      <c r="M116" s="107"/>
      <c r="N116" s="107"/>
    </row>
    <row r="117" spans="1:14" x14ac:dyDescent="0.15">
      <c r="A117" s="38">
        <f t="shared" si="18"/>
        <v>1763</v>
      </c>
      <c r="I117" s="107"/>
      <c r="J117" s="109"/>
      <c r="L117" s="107"/>
      <c r="M117" s="107"/>
      <c r="N117" s="107"/>
    </row>
    <row r="118" spans="1:14" x14ac:dyDescent="0.15">
      <c r="A118" s="38">
        <f t="shared" si="18"/>
        <v>1764</v>
      </c>
      <c r="D118" s="31">
        <v>0.83416666666666661</v>
      </c>
      <c r="I118" s="107"/>
      <c r="J118" s="109"/>
      <c r="L118" s="107">
        <f>AVERAGE(C118:F118)/0.494</f>
        <v>1.68859649122807</v>
      </c>
      <c r="M118" s="107"/>
      <c r="N118" s="107">
        <f>L118*8.04</f>
        <v>13.576315789473682</v>
      </c>
    </row>
    <row r="119" spans="1:14" x14ac:dyDescent="0.15">
      <c r="A119" s="38">
        <f t="shared" si="18"/>
        <v>1765</v>
      </c>
      <c r="I119" s="107"/>
      <c r="J119" s="109"/>
      <c r="L119" s="107"/>
      <c r="M119" s="107"/>
      <c r="N119" s="107"/>
    </row>
    <row r="120" spans="1:14" x14ac:dyDescent="0.15">
      <c r="A120" s="38">
        <f t="shared" si="18"/>
        <v>1766</v>
      </c>
      <c r="I120" s="107"/>
      <c r="J120" s="109"/>
      <c r="L120" s="107"/>
      <c r="M120" s="107"/>
      <c r="N120" s="107"/>
    </row>
    <row r="121" spans="1:14" x14ac:dyDescent="0.15">
      <c r="A121" s="38">
        <f t="shared" si="18"/>
        <v>1767</v>
      </c>
      <c r="I121" s="107"/>
      <c r="J121" s="109"/>
      <c r="L121" s="107"/>
      <c r="M121" s="107"/>
      <c r="N121" s="107"/>
    </row>
    <row r="122" spans="1:14" x14ac:dyDescent="0.15">
      <c r="A122" s="38">
        <f t="shared" si="18"/>
        <v>1768</v>
      </c>
      <c r="I122" s="107"/>
      <c r="J122" s="109"/>
      <c r="L122" s="107"/>
      <c r="M122" s="107"/>
      <c r="N122" s="107"/>
    </row>
    <row r="123" spans="1:14" x14ac:dyDescent="0.15">
      <c r="A123" s="38">
        <f t="shared" si="18"/>
        <v>1769</v>
      </c>
      <c r="I123" s="107"/>
      <c r="J123" s="109"/>
      <c r="L123" s="107"/>
      <c r="M123" s="107"/>
      <c r="N123" s="107"/>
    </row>
    <row r="124" spans="1:14" x14ac:dyDescent="0.15">
      <c r="A124" s="38">
        <f t="shared" si="18"/>
        <v>1770</v>
      </c>
      <c r="I124" s="107"/>
      <c r="J124" s="109"/>
      <c r="L124" s="107"/>
      <c r="M124" s="107"/>
      <c r="N124" s="107"/>
    </row>
    <row r="125" spans="1:14" x14ac:dyDescent="0.15">
      <c r="A125" s="38">
        <f t="shared" si="18"/>
        <v>1771</v>
      </c>
      <c r="I125" s="107"/>
      <c r="J125" s="109"/>
      <c r="L125" s="107"/>
      <c r="M125" s="107"/>
      <c r="N125" s="107"/>
    </row>
    <row r="126" spans="1:14" x14ac:dyDescent="0.15">
      <c r="A126" s="38">
        <f t="shared" si="18"/>
        <v>1772</v>
      </c>
      <c r="D126" s="31">
        <v>0.77222222222222225</v>
      </c>
      <c r="I126" s="107"/>
      <c r="J126" s="109"/>
      <c r="L126" s="107">
        <f>AVERAGE(C126:F126)/0.494</f>
        <v>1.5632028789923527</v>
      </c>
      <c r="M126" s="107"/>
      <c r="N126" s="107">
        <f>L126*9.61</f>
        <v>15.022379667116509</v>
      </c>
    </row>
    <row r="127" spans="1:14" x14ac:dyDescent="0.15">
      <c r="A127" s="38">
        <f t="shared" si="18"/>
        <v>1773</v>
      </c>
      <c r="I127" s="107"/>
      <c r="J127" s="109"/>
      <c r="L127" s="107"/>
      <c r="M127" s="107"/>
      <c r="N127" s="107"/>
    </row>
    <row r="128" spans="1:14" x14ac:dyDescent="0.15">
      <c r="A128" s="38">
        <f t="shared" si="18"/>
        <v>1774</v>
      </c>
      <c r="I128" s="107"/>
      <c r="J128" s="109"/>
      <c r="L128" s="107"/>
      <c r="M128" s="107"/>
      <c r="N128" s="107"/>
    </row>
    <row r="129" spans="1:14" x14ac:dyDescent="0.15">
      <c r="A129" s="38">
        <f t="shared" si="18"/>
        <v>1775</v>
      </c>
      <c r="I129" s="107"/>
      <c r="J129" s="109"/>
      <c r="L129" s="107"/>
      <c r="M129" s="107"/>
      <c r="N129" s="107"/>
    </row>
    <row r="130" spans="1:14" x14ac:dyDescent="0.15">
      <c r="A130" s="38">
        <f t="shared" si="18"/>
        <v>1776</v>
      </c>
      <c r="I130" s="107"/>
      <c r="J130" s="109"/>
      <c r="L130" s="107"/>
      <c r="M130" s="107"/>
      <c r="N130" s="107"/>
    </row>
    <row r="131" spans="1:14" x14ac:dyDescent="0.15">
      <c r="A131" s="38">
        <f t="shared" si="18"/>
        <v>1777</v>
      </c>
      <c r="I131" s="107"/>
      <c r="J131" s="109"/>
      <c r="L131" s="107"/>
      <c r="M131" s="107"/>
      <c r="N131" s="107"/>
    </row>
    <row r="132" spans="1:14" x14ac:dyDescent="0.15">
      <c r="A132" s="38">
        <f t="shared" si="18"/>
        <v>1778</v>
      </c>
      <c r="I132" s="107"/>
      <c r="J132" s="109"/>
      <c r="L132" s="107"/>
      <c r="M132" s="107"/>
      <c r="N132" s="107"/>
    </row>
    <row r="133" spans="1:14" x14ac:dyDescent="0.15">
      <c r="A133" s="38">
        <f t="shared" si="18"/>
        <v>1779</v>
      </c>
      <c r="I133" s="107"/>
      <c r="J133" s="109"/>
      <c r="L133" s="107"/>
      <c r="M133" s="107"/>
      <c r="N133" s="107"/>
    </row>
    <row r="134" spans="1:14" x14ac:dyDescent="0.15">
      <c r="A134" s="38">
        <f t="shared" si="18"/>
        <v>1780</v>
      </c>
      <c r="I134" s="107"/>
      <c r="J134" s="109"/>
      <c r="L134" s="107"/>
      <c r="M134" s="107"/>
      <c r="N134" s="107"/>
    </row>
    <row r="135" spans="1:14" x14ac:dyDescent="0.15">
      <c r="A135" s="38">
        <f t="shared" si="18"/>
        <v>1781</v>
      </c>
      <c r="I135" s="107"/>
      <c r="J135" s="109"/>
      <c r="L135" s="107"/>
      <c r="M135" s="107"/>
      <c r="N135" s="107"/>
    </row>
    <row r="136" spans="1:14" x14ac:dyDescent="0.15">
      <c r="A136" s="38">
        <f t="shared" si="18"/>
        <v>1782</v>
      </c>
      <c r="I136" s="107"/>
      <c r="J136" s="109"/>
      <c r="L136" s="107"/>
      <c r="M136" s="107"/>
      <c r="N136" s="107"/>
    </row>
    <row r="137" spans="1:14" x14ac:dyDescent="0.15">
      <c r="A137" s="38">
        <f t="shared" si="18"/>
        <v>1783</v>
      </c>
      <c r="I137" s="107"/>
      <c r="J137" s="109"/>
      <c r="L137" s="107"/>
      <c r="M137" s="107"/>
      <c r="N137" s="107"/>
    </row>
    <row r="138" spans="1:14" x14ac:dyDescent="0.15">
      <c r="A138" s="38">
        <f t="shared" si="18"/>
        <v>1784</v>
      </c>
      <c r="E138" s="31">
        <v>0.60446009389671362</v>
      </c>
      <c r="F138" s="31">
        <v>0.69918478260869565</v>
      </c>
      <c r="I138" s="107"/>
      <c r="J138" s="109"/>
      <c r="L138" s="107">
        <f t="shared" ref="L138:L139" si="19">AVERAGE(C138:F138)/0.494</f>
        <v>1.3194786199447464</v>
      </c>
      <c r="M138" s="107"/>
      <c r="N138" s="107">
        <f t="shared" ref="N138:N139" si="20">L138*9.61</f>
        <v>12.680189537669012</v>
      </c>
    </row>
    <row r="139" spans="1:14" x14ac:dyDescent="0.15">
      <c r="A139" s="38">
        <f t="shared" si="18"/>
        <v>1785</v>
      </c>
      <c r="E139" s="31">
        <v>0.60277777777777775</v>
      </c>
      <c r="I139" s="107"/>
      <c r="J139" s="109"/>
      <c r="L139" s="107">
        <f t="shared" si="19"/>
        <v>1.2201979307242465</v>
      </c>
      <c r="M139" s="107"/>
      <c r="N139" s="107">
        <f t="shared" si="20"/>
        <v>11.726102114260009</v>
      </c>
    </row>
    <row r="140" spans="1:14" x14ac:dyDescent="0.15">
      <c r="A140" s="38">
        <f t="shared" si="18"/>
        <v>1786</v>
      </c>
      <c r="I140" s="107"/>
      <c r="J140" s="109"/>
      <c r="L140" s="107"/>
      <c r="M140" s="107"/>
      <c r="N140" s="107"/>
    </row>
    <row r="141" spans="1:14" x14ac:dyDescent="0.15">
      <c r="A141" s="38">
        <f t="shared" si="18"/>
        <v>1787</v>
      </c>
      <c r="I141" s="107"/>
      <c r="J141" s="109"/>
      <c r="L141" s="107"/>
      <c r="M141" s="107"/>
      <c r="N141" s="107"/>
    </row>
    <row r="142" spans="1:14" x14ac:dyDescent="0.15">
      <c r="A142" s="38">
        <f t="shared" si="18"/>
        <v>1788</v>
      </c>
      <c r="D142" s="31">
        <v>0.80333333333333334</v>
      </c>
      <c r="I142" s="107"/>
      <c r="J142" s="109"/>
      <c r="L142" s="107">
        <f>AVERAGE(C142:F142)/0.494</f>
        <v>1.6261808367071526</v>
      </c>
      <c r="M142" s="107"/>
      <c r="N142" s="107">
        <f>L142*9.61</f>
        <v>15.627597840755735</v>
      </c>
    </row>
    <row r="143" spans="1:14" x14ac:dyDescent="0.15">
      <c r="A143" s="38">
        <f t="shared" si="18"/>
        <v>1789</v>
      </c>
      <c r="I143" s="107"/>
      <c r="J143" s="109"/>
      <c r="L143" s="107"/>
      <c r="M143" s="107"/>
      <c r="N143" s="107"/>
    </row>
    <row r="144" spans="1:14" x14ac:dyDescent="0.15">
      <c r="A144" s="38">
        <f t="shared" si="18"/>
        <v>1790</v>
      </c>
      <c r="I144" s="107"/>
      <c r="J144" s="109"/>
      <c r="L144" s="107"/>
      <c r="M144" s="107"/>
      <c r="N144" s="107"/>
    </row>
    <row r="145" spans="1:15" x14ac:dyDescent="0.15">
      <c r="A145" s="38">
        <f t="shared" si="18"/>
        <v>1791</v>
      </c>
      <c r="I145" s="107"/>
      <c r="J145" s="109"/>
      <c r="L145" s="107"/>
      <c r="M145" s="107"/>
      <c r="N145" s="107"/>
      <c r="O145" s="107"/>
    </row>
    <row r="146" spans="1:15" x14ac:dyDescent="0.15">
      <c r="A146" s="38">
        <f t="shared" si="18"/>
        <v>1792</v>
      </c>
      <c r="I146" s="107"/>
      <c r="J146" s="109"/>
      <c r="L146" s="107"/>
      <c r="M146" s="107"/>
      <c r="N146" s="107"/>
      <c r="O146" s="107"/>
    </row>
    <row r="147" spans="1:15" x14ac:dyDescent="0.15">
      <c r="A147" s="38">
        <f t="shared" si="18"/>
        <v>1793</v>
      </c>
      <c r="D147" s="31">
        <v>0.91250000000000009</v>
      </c>
      <c r="I147" s="107"/>
      <c r="J147" s="109"/>
      <c r="L147" s="107">
        <f>AVERAGE(C147:F147)/0.494</f>
        <v>1.8471659919028343</v>
      </c>
      <c r="M147" s="107"/>
      <c r="N147" s="107">
        <f>L147*9.61</f>
        <v>17.751265182186238</v>
      </c>
      <c r="O147" s="107"/>
    </row>
    <row r="148" spans="1:15" x14ac:dyDescent="0.15">
      <c r="A148" s="38">
        <v>1794</v>
      </c>
      <c r="I148" s="107"/>
      <c r="J148" s="109"/>
      <c r="L148" s="107"/>
      <c r="M148" s="107"/>
      <c r="N148" s="107"/>
      <c r="O148" s="107"/>
    </row>
    <row r="149" spans="1:15" x14ac:dyDescent="0.15">
      <c r="A149" s="38">
        <v>1795</v>
      </c>
      <c r="I149" s="107"/>
      <c r="J149" s="109"/>
      <c r="L149" s="107"/>
      <c r="M149" s="107"/>
      <c r="N149" s="107"/>
      <c r="O149" s="107"/>
    </row>
    <row r="150" spans="1:15" x14ac:dyDescent="0.15">
      <c r="A150" s="38">
        <f t="shared" ref="A150:A213" si="21">A149+1</f>
        <v>1796</v>
      </c>
      <c r="I150" s="107"/>
      <c r="J150" s="109"/>
      <c r="L150" s="107"/>
      <c r="M150" s="107"/>
      <c r="N150" s="107"/>
      <c r="O150" s="107"/>
    </row>
    <row r="151" spans="1:15" x14ac:dyDescent="0.15">
      <c r="A151" s="38">
        <f t="shared" si="21"/>
        <v>1797</v>
      </c>
      <c r="G151" s="31">
        <v>0.14000000000000001</v>
      </c>
      <c r="I151" s="107"/>
      <c r="J151" s="109"/>
      <c r="L151" s="107">
        <f>G151*2.4/0.494</f>
        <v>0.68016194331983815</v>
      </c>
      <c r="M151" s="91">
        <f>G151*0.2/0.494</f>
        <v>5.6680161943319846E-2</v>
      </c>
      <c r="N151" s="107">
        <f>M151*111.4</f>
        <v>6.3141700404858314</v>
      </c>
      <c r="O151" s="107">
        <f>L151*9.61</f>
        <v>6.5363562753036444</v>
      </c>
    </row>
    <row r="152" spans="1:15" x14ac:dyDescent="0.15">
      <c r="A152" s="38">
        <f t="shared" si="21"/>
        <v>1798</v>
      </c>
      <c r="G152" s="31">
        <v>0.25</v>
      </c>
      <c r="I152" s="107"/>
      <c r="J152" s="109"/>
      <c r="L152" s="107">
        <f>G152*2.4/0.494</f>
        <v>1.214574898785425</v>
      </c>
      <c r="M152" s="91">
        <f>G152*0.2/0.494</f>
        <v>0.10121457489878544</v>
      </c>
      <c r="N152" s="107">
        <f>M152*111.4</f>
        <v>11.275303643724698</v>
      </c>
      <c r="O152" s="107">
        <f>L152*9.61</f>
        <v>11.672064777327934</v>
      </c>
    </row>
    <row r="153" spans="1:15" x14ac:dyDescent="0.15">
      <c r="A153" s="38">
        <f t="shared" si="21"/>
        <v>1799</v>
      </c>
      <c r="I153" s="107"/>
      <c r="J153" s="109"/>
      <c r="L153" s="107"/>
      <c r="M153" s="107"/>
      <c r="N153" s="107"/>
      <c r="O153" s="107"/>
    </row>
    <row r="154" spans="1:15" x14ac:dyDescent="0.15">
      <c r="A154" s="38">
        <f t="shared" si="21"/>
        <v>1800</v>
      </c>
      <c r="I154" s="107"/>
      <c r="J154" s="109"/>
      <c r="L154" s="107"/>
      <c r="M154" s="107"/>
      <c r="N154" s="107"/>
      <c r="O154" s="107"/>
    </row>
    <row r="155" spans="1:15" x14ac:dyDescent="0.15">
      <c r="A155" s="38">
        <f t="shared" si="21"/>
        <v>1801</v>
      </c>
      <c r="I155" s="107"/>
      <c r="J155" s="109"/>
      <c r="L155" s="107"/>
      <c r="M155" s="107"/>
      <c r="N155" s="107"/>
      <c r="O155" s="107"/>
    </row>
    <row r="156" spans="1:15" x14ac:dyDescent="0.15">
      <c r="A156" s="38">
        <f t="shared" si="21"/>
        <v>1802</v>
      </c>
      <c r="I156" s="107"/>
      <c r="J156" s="109"/>
      <c r="L156" s="107"/>
      <c r="M156" s="107"/>
      <c r="N156" s="107"/>
      <c r="O156" s="107"/>
    </row>
    <row r="157" spans="1:15" x14ac:dyDescent="0.15">
      <c r="A157" s="38">
        <f t="shared" si="21"/>
        <v>1803</v>
      </c>
      <c r="I157" s="107"/>
      <c r="J157" s="109"/>
      <c r="L157" s="107"/>
      <c r="M157" s="107"/>
      <c r="N157" s="107"/>
      <c r="O157" s="107"/>
    </row>
    <row r="158" spans="1:15" x14ac:dyDescent="0.15">
      <c r="A158" s="38">
        <f t="shared" si="21"/>
        <v>1804</v>
      </c>
      <c r="I158" s="107"/>
      <c r="J158" s="109"/>
      <c r="L158" s="107"/>
      <c r="M158" s="107"/>
      <c r="N158" s="107"/>
      <c r="O158" s="107"/>
    </row>
    <row r="159" spans="1:15" x14ac:dyDescent="0.15">
      <c r="A159" s="38">
        <f t="shared" si="21"/>
        <v>1805</v>
      </c>
      <c r="I159" s="107"/>
      <c r="J159" s="109"/>
      <c r="L159" s="107"/>
      <c r="M159" s="107"/>
      <c r="N159" s="107"/>
      <c r="O159" s="107"/>
    </row>
    <row r="160" spans="1:15" x14ac:dyDescent="0.15">
      <c r="A160" s="38">
        <f t="shared" si="21"/>
        <v>1806</v>
      </c>
      <c r="I160" s="107"/>
      <c r="J160" s="109"/>
      <c r="L160" s="107"/>
      <c r="M160" s="107"/>
      <c r="N160" s="107"/>
      <c r="O160" s="107"/>
    </row>
    <row r="161" spans="1:14" x14ac:dyDescent="0.15">
      <c r="A161" s="38">
        <f t="shared" si="21"/>
        <v>1807</v>
      </c>
      <c r="I161" s="107"/>
      <c r="J161" s="109"/>
      <c r="L161" s="107"/>
      <c r="M161" s="107"/>
      <c r="N161" s="107"/>
    </row>
    <row r="162" spans="1:14" x14ac:dyDescent="0.15">
      <c r="A162" s="38">
        <f t="shared" si="21"/>
        <v>1808</v>
      </c>
      <c r="I162" s="107"/>
      <c r="J162" s="109"/>
      <c r="L162" s="107"/>
      <c r="M162" s="107"/>
      <c r="N162" s="107"/>
    </row>
    <row r="163" spans="1:14" x14ac:dyDescent="0.15">
      <c r="A163" s="38">
        <f t="shared" si="21"/>
        <v>1809</v>
      </c>
      <c r="I163" s="107"/>
      <c r="J163" s="109"/>
      <c r="L163" s="107"/>
      <c r="M163" s="107"/>
      <c r="N163" s="107"/>
    </row>
    <row r="164" spans="1:14" x14ac:dyDescent="0.15">
      <c r="A164" s="38">
        <f t="shared" si="21"/>
        <v>1810</v>
      </c>
      <c r="I164" s="107"/>
      <c r="J164" s="109"/>
      <c r="L164" s="107"/>
      <c r="M164" s="107"/>
      <c r="N164" s="107"/>
    </row>
    <row r="165" spans="1:14" x14ac:dyDescent="0.15">
      <c r="A165" s="38">
        <f t="shared" si="21"/>
        <v>1811</v>
      </c>
      <c r="I165" s="107">
        <v>5.1708333333333335E-2</v>
      </c>
      <c r="J165" s="109"/>
      <c r="L165" s="107"/>
      <c r="M165" s="107">
        <f>I165*2.2046</f>
        <v>0.11399619166666668</v>
      </c>
      <c r="N165" s="107">
        <f>M165*111.4</f>
        <v>12.699175751666669</v>
      </c>
    </row>
    <row r="166" spans="1:14" x14ac:dyDescent="0.15">
      <c r="A166" s="38">
        <f t="shared" si="21"/>
        <v>1812</v>
      </c>
      <c r="I166" s="107">
        <v>4.3916666666666666E-2</v>
      </c>
      <c r="J166" s="109"/>
      <c r="L166" s="107"/>
      <c r="M166" s="107">
        <f>I166*2.2046</f>
        <v>9.6818683333333336E-2</v>
      </c>
      <c r="N166" s="107">
        <f>M166*111.4</f>
        <v>10.785601323333335</v>
      </c>
    </row>
    <row r="167" spans="1:14" x14ac:dyDescent="0.15">
      <c r="A167" s="38">
        <f t="shared" si="21"/>
        <v>1813</v>
      </c>
      <c r="I167" s="107"/>
      <c r="J167" s="109"/>
      <c r="L167" s="107"/>
      <c r="M167" s="107"/>
      <c r="N167" s="107"/>
    </row>
    <row r="168" spans="1:14" x14ac:dyDescent="0.15">
      <c r="A168" s="38">
        <f t="shared" si="21"/>
        <v>1814</v>
      </c>
      <c r="I168" s="107"/>
      <c r="J168" s="109"/>
      <c r="L168" s="107"/>
      <c r="M168" s="107"/>
      <c r="N168" s="107"/>
    </row>
    <row r="169" spans="1:14" x14ac:dyDescent="0.15">
      <c r="A169" s="38">
        <f t="shared" si="21"/>
        <v>1815</v>
      </c>
      <c r="I169" s="107"/>
      <c r="J169" s="109"/>
      <c r="L169" s="107"/>
      <c r="M169" s="107"/>
      <c r="N169" s="107"/>
    </row>
    <row r="170" spans="1:14" x14ac:dyDescent="0.15">
      <c r="A170" s="38">
        <f t="shared" si="21"/>
        <v>1816</v>
      </c>
      <c r="I170" s="107"/>
      <c r="J170" s="109"/>
      <c r="L170" s="107"/>
      <c r="M170" s="107"/>
      <c r="N170" s="107"/>
    </row>
    <row r="171" spans="1:14" x14ac:dyDescent="0.15">
      <c r="A171" s="38">
        <f t="shared" si="21"/>
        <v>1817</v>
      </c>
      <c r="I171" s="107"/>
      <c r="J171" s="109"/>
      <c r="L171" s="107"/>
      <c r="M171" s="107"/>
      <c r="N171" s="107"/>
    </row>
    <row r="172" spans="1:14" x14ac:dyDescent="0.15">
      <c r="A172" s="38">
        <f t="shared" si="21"/>
        <v>1818</v>
      </c>
      <c r="I172" s="107"/>
      <c r="J172" s="109"/>
      <c r="L172" s="107"/>
      <c r="M172" s="107"/>
      <c r="N172" s="107"/>
    </row>
    <row r="173" spans="1:14" x14ac:dyDescent="0.15">
      <c r="A173" s="38">
        <f t="shared" si="21"/>
        <v>1819</v>
      </c>
      <c r="I173" s="107"/>
      <c r="J173" s="109"/>
      <c r="L173" s="107"/>
      <c r="M173" s="107"/>
      <c r="N173" s="107"/>
    </row>
    <row r="174" spans="1:14" x14ac:dyDescent="0.15">
      <c r="A174" s="38">
        <f t="shared" si="21"/>
        <v>1820</v>
      </c>
      <c r="I174" s="107"/>
      <c r="J174" s="109"/>
      <c r="L174" s="107"/>
      <c r="M174" s="107"/>
      <c r="N174" s="107"/>
    </row>
    <row r="175" spans="1:14" x14ac:dyDescent="0.15">
      <c r="A175" s="38">
        <f t="shared" si="21"/>
        <v>1821</v>
      </c>
      <c r="I175" s="107"/>
      <c r="J175" s="109"/>
      <c r="L175" s="107"/>
      <c r="M175" s="107"/>
      <c r="N175" s="107"/>
    </row>
    <row r="176" spans="1:14" x14ac:dyDescent="0.15">
      <c r="A176" s="38">
        <f t="shared" si="21"/>
        <v>1822</v>
      </c>
      <c r="H176" s="31">
        <v>0.05</v>
      </c>
      <c r="I176" s="107"/>
      <c r="J176" s="109"/>
      <c r="L176" s="107"/>
      <c r="M176" s="107">
        <f>AVERAGE(H176:I176)*2.2046</f>
        <v>0.11023000000000001</v>
      </c>
      <c r="N176" s="107">
        <f>M176*104.6</f>
        <v>11.530058</v>
      </c>
    </row>
    <row r="177" spans="1:14" x14ac:dyDescent="0.15">
      <c r="A177" s="38">
        <f t="shared" si="21"/>
        <v>1823</v>
      </c>
      <c r="H177" s="31">
        <v>2.0833333333333332E-2</v>
      </c>
      <c r="I177" s="107"/>
      <c r="J177" s="109"/>
      <c r="L177" s="107"/>
      <c r="M177" s="107">
        <f>AVERAGE(H177:I177)*2.2046</f>
        <v>4.5929166666666667E-2</v>
      </c>
      <c r="N177" s="107">
        <f>M177*104.6</f>
        <v>4.8041908333333332</v>
      </c>
    </row>
    <row r="178" spans="1:14" x14ac:dyDescent="0.15">
      <c r="A178" s="38">
        <f t="shared" si="21"/>
        <v>1824</v>
      </c>
      <c r="I178" s="107"/>
      <c r="J178" s="109"/>
      <c r="L178" s="107"/>
      <c r="M178" s="107"/>
      <c r="N178" s="107"/>
    </row>
    <row r="179" spans="1:14" x14ac:dyDescent="0.15">
      <c r="A179" s="38">
        <f t="shared" si="21"/>
        <v>1825</v>
      </c>
      <c r="H179" s="77">
        <v>4.4583333333333329E-2</v>
      </c>
      <c r="I179" s="107">
        <v>4.2946428571428573E-2</v>
      </c>
      <c r="J179" s="109"/>
      <c r="L179" s="107"/>
      <c r="M179" s="107">
        <f>AVERAGE(H179:I179)*2.2046</f>
        <v>9.6484056547619046E-2</v>
      </c>
      <c r="N179" s="107">
        <f>M179*104.6</f>
        <v>10.092232314880953</v>
      </c>
    </row>
    <row r="180" spans="1:14" x14ac:dyDescent="0.15">
      <c r="A180" s="38">
        <f t="shared" si="21"/>
        <v>1826</v>
      </c>
      <c r="I180" s="107"/>
      <c r="J180" s="109"/>
      <c r="L180" s="107"/>
      <c r="M180" s="107"/>
      <c r="N180" s="107"/>
    </row>
    <row r="181" spans="1:14" x14ac:dyDescent="0.15">
      <c r="A181" s="38">
        <f t="shared" si="21"/>
        <v>1827</v>
      </c>
      <c r="I181" s="107"/>
      <c r="J181" s="109"/>
      <c r="L181" s="107"/>
      <c r="M181" s="107"/>
      <c r="N181" s="107"/>
    </row>
    <row r="182" spans="1:14" x14ac:dyDescent="0.15">
      <c r="A182" s="38">
        <f t="shared" si="21"/>
        <v>1828</v>
      </c>
      <c r="H182" s="31">
        <v>3.1666666666666662E-2</v>
      </c>
      <c r="I182" s="107">
        <v>0.10317343173431734</v>
      </c>
      <c r="J182" s="109"/>
      <c r="L182" s="107"/>
      <c r="M182" s="107">
        <f>H182*2.2046</f>
        <v>6.9812333333333323E-2</v>
      </c>
      <c r="N182" s="107">
        <f t="shared" ref="N182:N190" si="22">M182*104.6</f>
        <v>7.3023700666666649</v>
      </c>
    </row>
    <row r="183" spans="1:14" x14ac:dyDescent="0.15">
      <c r="A183" s="38">
        <f t="shared" si="21"/>
        <v>1829</v>
      </c>
      <c r="H183" s="31">
        <v>3.291666666666667E-2</v>
      </c>
      <c r="I183" s="107"/>
      <c r="J183" s="109"/>
      <c r="L183" s="107"/>
      <c r="M183" s="107">
        <f t="shared" ref="M183:M191" si="23">H183*2.2046</f>
        <v>7.2568083333333339E-2</v>
      </c>
      <c r="N183" s="107">
        <f t="shared" si="22"/>
        <v>7.5906215166666664</v>
      </c>
    </row>
    <row r="184" spans="1:14" x14ac:dyDescent="0.15">
      <c r="A184" s="38">
        <f t="shared" si="21"/>
        <v>1830</v>
      </c>
      <c r="H184" s="31">
        <v>3.6249999999999998E-2</v>
      </c>
      <c r="I184" s="107"/>
      <c r="J184" s="109"/>
      <c r="L184" s="107"/>
      <c r="M184" s="107">
        <f t="shared" si="23"/>
        <v>7.9916749999999995E-2</v>
      </c>
      <c r="N184" s="107">
        <f t="shared" si="22"/>
        <v>8.3592920499999988</v>
      </c>
    </row>
    <row r="185" spans="1:14" x14ac:dyDescent="0.15">
      <c r="A185" s="38">
        <f t="shared" si="21"/>
        <v>1831</v>
      </c>
      <c r="H185" s="31">
        <v>2.8333333333333332E-2</v>
      </c>
      <c r="I185" s="107"/>
      <c r="J185" s="109"/>
      <c r="L185" s="107"/>
      <c r="M185" s="107">
        <f t="shared" si="23"/>
        <v>6.2463666666666667E-2</v>
      </c>
      <c r="N185" s="107">
        <f t="shared" si="22"/>
        <v>6.5336995333333334</v>
      </c>
    </row>
    <row r="186" spans="1:14" x14ac:dyDescent="0.15">
      <c r="A186" s="38">
        <f t="shared" si="21"/>
        <v>1832</v>
      </c>
      <c r="H186" s="31">
        <v>2.7916666666666666E-2</v>
      </c>
      <c r="I186" s="107"/>
      <c r="J186" s="109"/>
      <c r="L186" s="107"/>
      <c r="M186" s="107">
        <f t="shared" si="23"/>
        <v>6.1545083333333334E-2</v>
      </c>
      <c r="N186" s="107">
        <f t="shared" si="22"/>
        <v>6.4376157166666665</v>
      </c>
    </row>
    <row r="187" spans="1:14" x14ac:dyDescent="0.15">
      <c r="A187" s="38">
        <f t="shared" si="21"/>
        <v>1833</v>
      </c>
      <c r="H187" s="31">
        <v>2.6666666666666668E-2</v>
      </c>
      <c r="I187" s="107"/>
      <c r="J187" s="109"/>
      <c r="L187" s="107"/>
      <c r="M187" s="107">
        <f t="shared" si="23"/>
        <v>5.8789333333333339E-2</v>
      </c>
      <c r="N187" s="107">
        <f t="shared" si="22"/>
        <v>6.1493642666666668</v>
      </c>
    </row>
    <row r="188" spans="1:14" x14ac:dyDescent="0.15">
      <c r="A188" s="38">
        <f t="shared" si="21"/>
        <v>1834</v>
      </c>
      <c r="H188" s="31">
        <v>2.6666666666666668E-2</v>
      </c>
      <c r="I188" s="107"/>
      <c r="J188" s="109"/>
      <c r="L188" s="107"/>
      <c r="M188" s="107">
        <f t="shared" si="23"/>
        <v>5.8789333333333339E-2</v>
      </c>
      <c r="N188" s="107">
        <f t="shared" si="22"/>
        <v>6.1493642666666668</v>
      </c>
    </row>
    <row r="189" spans="1:14" x14ac:dyDescent="0.15">
      <c r="A189" s="38">
        <f t="shared" si="21"/>
        <v>1835</v>
      </c>
      <c r="H189" s="31">
        <v>3.2083333333333332E-2</v>
      </c>
      <c r="I189" s="107"/>
      <c r="J189" s="109"/>
      <c r="L189" s="107"/>
      <c r="M189" s="107">
        <f t="shared" si="23"/>
        <v>7.0730916666666671E-2</v>
      </c>
      <c r="N189" s="107">
        <f t="shared" si="22"/>
        <v>7.3984538833333335</v>
      </c>
    </row>
    <row r="190" spans="1:14" x14ac:dyDescent="0.15">
      <c r="A190" s="38">
        <f t="shared" si="21"/>
        <v>1836</v>
      </c>
      <c r="H190" s="31">
        <v>3.5833333333333335E-2</v>
      </c>
      <c r="I190" s="107"/>
      <c r="J190" s="109"/>
      <c r="L190" s="107"/>
      <c r="M190" s="107">
        <f t="shared" si="23"/>
        <v>7.8998166666666675E-2</v>
      </c>
      <c r="N190" s="107">
        <f t="shared" si="22"/>
        <v>8.2632082333333337</v>
      </c>
    </row>
    <row r="191" spans="1:14" x14ac:dyDescent="0.15">
      <c r="A191" s="38">
        <f t="shared" si="21"/>
        <v>1837</v>
      </c>
      <c r="H191" s="31">
        <v>3.0833333333333334E-2</v>
      </c>
      <c r="I191" s="107"/>
      <c r="J191" s="109"/>
      <c r="L191" s="107"/>
      <c r="M191" s="107">
        <f t="shared" si="23"/>
        <v>6.797516666666667E-2</v>
      </c>
      <c r="N191" s="107">
        <f>M191*104.6</f>
        <v>7.1102024333333329</v>
      </c>
    </row>
    <row r="192" spans="1:14" x14ac:dyDescent="0.15">
      <c r="A192" s="38">
        <f t="shared" si="21"/>
        <v>1838</v>
      </c>
      <c r="I192" s="107"/>
      <c r="J192" s="109">
        <v>7.1498580020564741</v>
      </c>
      <c r="L192" s="107"/>
      <c r="M192" s="107"/>
      <c r="N192" s="107">
        <v>7.1498580020564741</v>
      </c>
    </row>
    <row r="193" spans="1:14" x14ac:dyDescent="0.15">
      <c r="A193" s="38">
        <f t="shared" si="21"/>
        <v>1839</v>
      </c>
      <c r="I193" s="107"/>
      <c r="J193" s="109">
        <v>8.155861560226354</v>
      </c>
      <c r="L193" s="107"/>
      <c r="M193" s="107"/>
      <c r="N193" s="107">
        <v>8.155861560226354</v>
      </c>
    </row>
    <row r="194" spans="1:14" x14ac:dyDescent="0.15">
      <c r="A194" s="38">
        <f t="shared" si="21"/>
        <v>1840</v>
      </c>
      <c r="I194" s="107"/>
      <c r="J194" s="109">
        <v>7.7075967431908863</v>
      </c>
      <c r="L194" s="107"/>
      <c r="M194" s="107"/>
      <c r="N194" s="107">
        <v>7.7075967431908863</v>
      </c>
    </row>
    <row r="195" spans="1:14" x14ac:dyDescent="0.15">
      <c r="A195" s="38">
        <f t="shared" si="21"/>
        <v>1841</v>
      </c>
      <c r="I195" s="107"/>
      <c r="J195" s="109">
        <v>7.7398054892806085</v>
      </c>
      <c r="L195" s="107"/>
      <c r="M195" s="107"/>
      <c r="N195" s="107">
        <v>7.7398054892806085</v>
      </c>
    </row>
    <row r="196" spans="1:14" x14ac:dyDescent="0.15">
      <c r="A196" s="38">
        <f t="shared" si="21"/>
        <v>1842</v>
      </c>
      <c r="I196" s="107"/>
      <c r="J196" s="109">
        <v>6.9154829612689044</v>
      </c>
      <c r="L196" s="107"/>
      <c r="M196" s="107"/>
      <c r="N196" s="107">
        <v>6.9154829612689044</v>
      </c>
    </row>
    <row r="197" spans="1:14" x14ac:dyDescent="0.15">
      <c r="A197" s="38">
        <f t="shared" si="21"/>
        <v>1843</v>
      </c>
      <c r="I197" s="107"/>
      <c r="J197" s="109">
        <v>7.4575335764140265</v>
      </c>
      <c r="L197" s="107"/>
      <c r="M197" s="107"/>
      <c r="N197" s="107">
        <v>7.4575335764140265</v>
      </c>
    </row>
    <row r="198" spans="1:14" x14ac:dyDescent="0.15">
      <c r="A198" s="38">
        <f t="shared" si="21"/>
        <v>1844</v>
      </c>
      <c r="I198" s="107"/>
      <c r="J198" s="109">
        <v>7.344533127211772</v>
      </c>
      <c r="L198" s="107"/>
      <c r="M198" s="107"/>
      <c r="N198" s="107">
        <v>7.344533127211772</v>
      </c>
    </row>
    <row r="199" spans="1:14" x14ac:dyDescent="0.15">
      <c r="A199" s="38">
        <f t="shared" si="21"/>
        <v>1845</v>
      </c>
      <c r="I199" s="107"/>
      <c r="J199" s="109">
        <v>6.7170582755019153</v>
      </c>
      <c r="L199" s="107"/>
      <c r="M199" s="107"/>
      <c r="N199" s="107">
        <v>6.7170582755019153</v>
      </c>
    </row>
    <row r="200" spans="1:14" x14ac:dyDescent="0.15">
      <c r="A200" s="38">
        <f t="shared" si="21"/>
        <v>1846</v>
      </c>
      <c r="I200" s="107"/>
      <c r="J200" s="109">
        <v>8.6591198634538138</v>
      </c>
      <c r="L200" s="107"/>
      <c r="M200" s="107"/>
      <c r="N200" s="107">
        <v>8.6591198634538138</v>
      </c>
    </row>
    <row r="201" spans="1:14" x14ac:dyDescent="0.15">
      <c r="A201" s="38">
        <f t="shared" si="21"/>
        <v>1847</v>
      </c>
      <c r="I201" s="107"/>
      <c r="J201" s="109">
        <v>10.50108434460698</v>
      </c>
      <c r="L201" s="107"/>
      <c r="M201" s="107"/>
      <c r="N201" s="107">
        <v>10.50108434460698</v>
      </c>
    </row>
    <row r="202" spans="1:14" x14ac:dyDescent="0.15">
      <c r="A202" s="38">
        <f t="shared" si="21"/>
        <v>1848</v>
      </c>
      <c r="I202" s="107"/>
      <c r="J202" s="109">
        <v>9.0083468078087474</v>
      </c>
      <c r="L202" s="107"/>
      <c r="M202" s="107"/>
      <c r="N202" s="107">
        <v>9.0083468078087474</v>
      </c>
    </row>
    <row r="203" spans="1:14" x14ac:dyDescent="0.15">
      <c r="A203" s="38">
        <f t="shared" si="21"/>
        <v>1849</v>
      </c>
      <c r="I203" s="107"/>
      <c r="J203" s="109">
        <v>6.2669101042382591</v>
      </c>
      <c r="L203" s="107"/>
      <c r="M203" s="107"/>
      <c r="N203" s="107">
        <v>6.2669101042382591</v>
      </c>
    </row>
    <row r="204" spans="1:14" x14ac:dyDescent="0.15">
      <c r="A204" s="38">
        <f t="shared" si="21"/>
        <v>1850</v>
      </c>
      <c r="I204" s="107"/>
      <c r="J204" s="109">
        <v>6.5271958271897326</v>
      </c>
      <c r="L204" s="107"/>
      <c r="M204" s="107"/>
      <c r="N204" s="107">
        <v>6.5271958271897326</v>
      </c>
    </row>
    <row r="205" spans="1:14" x14ac:dyDescent="0.15">
      <c r="A205" s="38">
        <f t="shared" si="21"/>
        <v>1851</v>
      </c>
      <c r="I205" s="107"/>
      <c r="J205" s="109">
        <v>8.0045700592982652</v>
      </c>
      <c r="L205" s="107"/>
      <c r="M205" s="107"/>
      <c r="N205" s="107">
        <v>8.0045700592982652</v>
      </c>
    </row>
    <row r="206" spans="1:14" x14ac:dyDescent="0.15">
      <c r="A206" s="38">
        <f t="shared" si="21"/>
        <v>1852</v>
      </c>
      <c r="I206" s="107"/>
      <c r="J206" s="109">
        <v>7.7308396782822486</v>
      </c>
      <c r="L206" s="107"/>
      <c r="M206" s="107"/>
      <c r="N206" s="107">
        <v>7.7308396782822486</v>
      </c>
    </row>
    <row r="207" spans="1:14" x14ac:dyDescent="0.15">
      <c r="A207" s="38">
        <f t="shared" si="21"/>
        <v>1853</v>
      </c>
      <c r="I207" s="107"/>
      <c r="J207" s="109">
        <v>8.6421986287813226</v>
      </c>
      <c r="L207" s="107"/>
      <c r="M207" s="107"/>
      <c r="N207" s="107">
        <v>8.6421986287813226</v>
      </c>
    </row>
    <row r="208" spans="1:14" x14ac:dyDescent="0.15">
      <c r="A208" s="38">
        <f t="shared" si="21"/>
        <v>1854</v>
      </c>
      <c r="I208" s="107"/>
      <c r="J208" s="109">
        <v>8.43017355409836</v>
      </c>
      <c r="L208" s="107"/>
      <c r="M208" s="107"/>
      <c r="N208" s="107">
        <v>8.43017355409836</v>
      </c>
    </row>
    <row r="209" spans="1:14" x14ac:dyDescent="0.15">
      <c r="A209" s="38">
        <f t="shared" si="21"/>
        <v>1855</v>
      </c>
      <c r="I209" s="107"/>
      <c r="J209" s="109">
        <v>9.3019686504751853</v>
      </c>
      <c r="L209" s="107"/>
      <c r="M209" s="107"/>
      <c r="N209" s="107">
        <v>9.3019686504751853</v>
      </c>
    </row>
    <row r="210" spans="1:14" x14ac:dyDescent="0.15">
      <c r="A210" s="38">
        <f t="shared" si="21"/>
        <v>1856</v>
      </c>
      <c r="I210" s="107"/>
      <c r="J210" s="109"/>
      <c r="L210" s="107"/>
      <c r="M210" s="107"/>
      <c r="N210" s="107"/>
    </row>
    <row r="211" spans="1:14" x14ac:dyDescent="0.15">
      <c r="A211" s="38">
        <f t="shared" si="21"/>
        <v>1857</v>
      </c>
      <c r="I211" s="107"/>
      <c r="J211" s="109">
        <v>11.274890017819505</v>
      </c>
      <c r="L211" s="107"/>
      <c r="M211" s="107"/>
      <c r="N211" s="107">
        <v>11.274890017819505</v>
      </c>
    </row>
    <row r="212" spans="1:14" x14ac:dyDescent="0.15">
      <c r="A212" s="38">
        <f t="shared" si="21"/>
        <v>1858</v>
      </c>
      <c r="I212" s="107"/>
      <c r="J212" s="109"/>
      <c r="L212" s="107"/>
      <c r="M212" s="107"/>
      <c r="N212" s="107"/>
    </row>
    <row r="213" spans="1:14" x14ac:dyDescent="0.15">
      <c r="A213" s="38">
        <f t="shared" si="21"/>
        <v>1859</v>
      </c>
      <c r="I213" s="107"/>
      <c r="J213" s="109"/>
      <c r="L213" s="107"/>
      <c r="M213" s="107"/>
      <c r="N213" s="107"/>
    </row>
    <row r="214" spans="1:14" x14ac:dyDescent="0.15">
      <c r="A214" s="38">
        <f t="shared" ref="A214:A264" si="24">A213+1</f>
        <v>1860</v>
      </c>
      <c r="I214" s="107"/>
      <c r="J214" s="109">
        <v>9.2591687062457844</v>
      </c>
      <c r="L214" s="107"/>
      <c r="M214" s="107"/>
      <c r="N214" s="107">
        <v>9.2591687062457844</v>
      </c>
    </row>
    <row r="215" spans="1:14" x14ac:dyDescent="0.15">
      <c r="A215" s="38">
        <f t="shared" si="24"/>
        <v>1861</v>
      </c>
      <c r="I215" s="107"/>
      <c r="J215" s="109"/>
      <c r="L215" s="107"/>
      <c r="M215" s="107"/>
      <c r="N215" s="107"/>
    </row>
    <row r="216" spans="1:14" x14ac:dyDescent="0.15">
      <c r="A216" s="38">
        <f t="shared" si="24"/>
        <v>1862</v>
      </c>
      <c r="I216" s="107"/>
      <c r="J216" s="109"/>
      <c r="L216" s="107"/>
      <c r="M216" s="107"/>
      <c r="N216" s="107"/>
    </row>
    <row r="217" spans="1:14" x14ac:dyDescent="0.15">
      <c r="A217" s="38">
        <f t="shared" si="24"/>
        <v>1863</v>
      </c>
      <c r="I217" s="107"/>
      <c r="J217" s="109">
        <v>8.7410990098432375</v>
      </c>
      <c r="L217" s="107"/>
      <c r="M217" s="107"/>
      <c r="N217" s="107">
        <v>8.7410990098432375</v>
      </c>
    </row>
    <row r="218" spans="1:14" x14ac:dyDescent="0.15">
      <c r="A218" s="38">
        <f t="shared" si="24"/>
        <v>1864</v>
      </c>
      <c r="I218" s="107"/>
      <c r="J218" s="109">
        <v>7.596938094735286</v>
      </c>
      <c r="L218" s="107"/>
      <c r="M218" s="107"/>
      <c r="N218" s="107">
        <v>7.596938094735286</v>
      </c>
    </row>
    <row r="219" spans="1:14" x14ac:dyDescent="0.15">
      <c r="A219" s="38">
        <f t="shared" si="24"/>
        <v>1865</v>
      </c>
      <c r="I219" s="107"/>
      <c r="J219" s="109">
        <v>7.5192251816546003</v>
      </c>
      <c r="L219" s="107"/>
      <c r="M219" s="107"/>
      <c r="N219" s="107">
        <v>7.5192251816546003</v>
      </c>
    </row>
    <row r="220" spans="1:14" x14ac:dyDescent="0.15">
      <c r="A220" s="38">
        <f t="shared" si="24"/>
        <v>1866</v>
      </c>
      <c r="I220" s="107"/>
      <c r="J220" s="109"/>
      <c r="L220" s="107"/>
      <c r="M220" s="107"/>
      <c r="N220" s="107"/>
    </row>
    <row r="221" spans="1:14" x14ac:dyDescent="0.15">
      <c r="A221" s="38">
        <f t="shared" si="24"/>
        <v>1867</v>
      </c>
      <c r="I221" s="107"/>
      <c r="J221" s="109">
        <v>8.0227523351419805</v>
      </c>
      <c r="L221" s="107"/>
      <c r="M221" s="107"/>
      <c r="N221" s="107">
        <v>8.0227523351419805</v>
      </c>
    </row>
    <row r="222" spans="1:14" x14ac:dyDescent="0.15">
      <c r="A222" s="38">
        <f t="shared" si="24"/>
        <v>1868</v>
      </c>
      <c r="I222" s="107"/>
      <c r="J222" s="109">
        <v>7.8546504602306646</v>
      </c>
      <c r="L222" s="107"/>
      <c r="M222" s="107"/>
      <c r="N222" s="107">
        <v>7.8546504602306646</v>
      </c>
    </row>
    <row r="223" spans="1:14" x14ac:dyDescent="0.15">
      <c r="A223" s="38">
        <f t="shared" si="24"/>
        <v>1869</v>
      </c>
      <c r="I223" s="107"/>
      <c r="J223" s="109">
        <v>7.8521421729292271</v>
      </c>
      <c r="L223" s="107"/>
      <c r="M223" s="107"/>
      <c r="N223" s="107">
        <v>7.8521421729292271</v>
      </c>
    </row>
    <row r="224" spans="1:14" x14ac:dyDescent="0.15">
      <c r="A224" s="38">
        <f t="shared" si="24"/>
        <v>1870</v>
      </c>
      <c r="I224" s="107"/>
      <c r="J224" s="109">
        <v>7.7175583340590679</v>
      </c>
      <c r="L224" s="107"/>
      <c r="M224" s="107"/>
      <c r="N224" s="107">
        <v>7.7175583340590679</v>
      </c>
    </row>
    <row r="225" spans="1:14" x14ac:dyDescent="0.15">
      <c r="A225" s="38">
        <f t="shared" si="24"/>
        <v>1871</v>
      </c>
      <c r="I225" s="107"/>
      <c r="J225" s="109">
        <v>7.785140212591986</v>
      </c>
      <c r="L225" s="107"/>
      <c r="M225" s="107"/>
      <c r="N225" s="107">
        <v>7.785140212591986</v>
      </c>
    </row>
    <row r="226" spans="1:14" x14ac:dyDescent="0.15">
      <c r="A226" s="38">
        <f t="shared" si="24"/>
        <v>1872</v>
      </c>
      <c r="I226" s="107"/>
      <c r="J226" s="109">
        <v>8.4917182535576696</v>
      </c>
      <c r="L226" s="107"/>
      <c r="M226" s="107"/>
      <c r="N226" s="107">
        <v>8.4917182535576696</v>
      </c>
    </row>
    <row r="227" spans="1:14" x14ac:dyDescent="0.15">
      <c r="A227" s="38">
        <f t="shared" si="24"/>
        <v>1873</v>
      </c>
      <c r="I227" s="107"/>
      <c r="J227" s="109">
        <v>8.5123155018847569</v>
      </c>
      <c r="L227" s="107"/>
      <c r="M227" s="107"/>
      <c r="N227" s="107">
        <v>8.5123155018847569</v>
      </c>
    </row>
    <row r="228" spans="1:14" x14ac:dyDescent="0.15">
      <c r="A228" s="38">
        <f t="shared" si="24"/>
        <v>1874</v>
      </c>
      <c r="I228" s="107"/>
      <c r="J228" s="109">
        <v>8.1626477013128991</v>
      </c>
      <c r="L228" s="107"/>
      <c r="M228" s="107"/>
      <c r="N228" s="107">
        <v>8.1626477013128991</v>
      </c>
    </row>
    <row r="229" spans="1:14" x14ac:dyDescent="0.15">
      <c r="A229" s="38">
        <f t="shared" si="24"/>
        <v>1875</v>
      </c>
      <c r="I229" s="107"/>
      <c r="J229" s="109">
        <v>7.9034072553729064</v>
      </c>
      <c r="L229" s="107"/>
      <c r="M229" s="107"/>
      <c r="N229" s="107">
        <v>7.9034072553729064</v>
      </c>
    </row>
    <row r="230" spans="1:14" x14ac:dyDescent="0.15">
      <c r="A230" s="38">
        <f t="shared" si="24"/>
        <v>1876</v>
      </c>
      <c r="I230" s="107"/>
      <c r="J230" s="109">
        <v>7.8176912604132394</v>
      </c>
      <c r="L230" s="107"/>
      <c r="M230" s="107"/>
      <c r="N230" s="107">
        <v>7.8176912604132394</v>
      </c>
    </row>
    <row r="231" spans="1:14" x14ac:dyDescent="0.15">
      <c r="A231" s="38">
        <f t="shared" si="24"/>
        <v>1877</v>
      </c>
      <c r="I231" s="107"/>
      <c r="J231" s="109">
        <v>7.7681857009255006</v>
      </c>
      <c r="L231" s="107"/>
      <c r="M231" s="107"/>
      <c r="N231" s="107">
        <v>7.7681857009255006</v>
      </c>
    </row>
    <row r="232" spans="1:14" x14ac:dyDescent="0.15">
      <c r="A232" s="38">
        <f t="shared" si="24"/>
        <v>1878</v>
      </c>
      <c r="I232" s="107"/>
      <c r="J232" s="109">
        <v>7.5761838199874001</v>
      </c>
      <c r="L232" s="107"/>
      <c r="M232" s="107"/>
      <c r="N232" s="107">
        <v>7.5761838199874001</v>
      </c>
    </row>
    <row r="233" spans="1:14" x14ac:dyDescent="0.15">
      <c r="A233" s="38">
        <f t="shared" si="24"/>
        <v>1879</v>
      </c>
      <c r="I233" s="107"/>
      <c r="J233" s="109">
        <v>6.7475762489410664</v>
      </c>
      <c r="L233" s="107"/>
      <c r="M233" s="107"/>
      <c r="N233" s="107">
        <v>6.7475762489410664</v>
      </c>
    </row>
    <row r="234" spans="1:14" x14ac:dyDescent="0.15">
      <c r="A234" s="38">
        <f t="shared" si="24"/>
        <v>1880</v>
      </c>
      <c r="I234" s="107"/>
      <c r="J234" s="109">
        <v>6.6779065266624364</v>
      </c>
      <c r="L234" s="107"/>
      <c r="M234" s="107"/>
      <c r="N234" s="107">
        <v>6.6779065266624364</v>
      </c>
    </row>
    <row r="235" spans="1:14" x14ac:dyDescent="0.15">
      <c r="A235" s="38">
        <f t="shared" si="24"/>
        <v>1881</v>
      </c>
      <c r="I235" s="107"/>
      <c r="J235" s="109">
        <v>6.1287401626287448</v>
      </c>
      <c r="L235" s="107"/>
      <c r="M235" s="107"/>
      <c r="N235" s="107">
        <v>6.1287401626287448</v>
      </c>
    </row>
    <row r="236" spans="1:14" x14ac:dyDescent="0.15">
      <c r="A236" s="38">
        <f t="shared" si="24"/>
        <v>1882</v>
      </c>
      <c r="I236" s="107"/>
      <c r="J236" s="109">
        <v>6.2031579110216422</v>
      </c>
      <c r="L236" s="107"/>
      <c r="M236" s="107"/>
      <c r="N236" s="107">
        <v>6.2031579110216422</v>
      </c>
    </row>
    <row r="237" spans="1:14" x14ac:dyDescent="0.15">
      <c r="A237" s="38">
        <f t="shared" si="24"/>
        <v>1883</v>
      </c>
      <c r="I237" s="107"/>
      <c r="J237" s="109">
        <v>6.6249063821528393</v>
      </c>
      <c r="L237" s="107"/>
      <c r="M237" s="107"/>
      <c r="N237" s="107">
        <v>6.6249063821528393</v>
      </c>
    </row>
    <row r="238" spans="1:14" x14ac:dyDescent="0.15">
      <c r="A238" s="38">
        <f t="shared" si="24"/>
        <v>1884</v>
      </c>
      <c r="I238" s="107"/>
      <c r="J238" s="109">
        <v>6.9750976813881467</v>
      </c>
      <c r="L238" s="107"/>
      <c r="M238" s="107"/>
      <c r="N238" s="107">
        <v>6.9750976813881467</v>
      </c>
    </row>
    <row r="239" spans="1:14" x14ac:dyDescent="0.15">
      <c r="A239" s="38">
        <f t="shared" si="24"/>
        <v>1885</v>
      </c>
      <c r="I239" s="107"/>
      <c r="J239" s="109">
        <v>6.526028078515731</v>
      </c>
      <c r="L239" s="107"/>
      <c r="M239" s="107"/>
      <c r="N239" s="107">
        <v>6.526028078515731</v>
      </c>
    </row>
    <row r="240" spans="1:14" x14ac:dyDescent="0.15">
      <c r="A240" s="38">
        <f t="shared" si="24"/>
        <v>1886</v>
      </c>
      <c r="I240" s="107"/>
      <c r="J240" s="109">
        <v>5.3815990239999731</v>
      </c>
      <c r="L240" s="107"/>
      <c r="M240" s="107"/>
      <c r="N240" s="107">
        <v>5.3815990239999731</v>
      </c>
    </row>
    <row r="241" spans="1:14" x14ac:dyDescent="0.15">
      <c r="A241" s="38">
        <f t="shared" si="24"/>
        <v>1887</v>
      </c>
      <c r="I241" s="107"/>
      <c r="J241" s="109">
        <v>4.5869839400677108</v>
      </c>
      <c r="L241" s="107"/>
      <c r="M241" s="107"/>
      <c r="N241" s="107">
        <v>4.5869839400677108</v>
      </c>
    </row>
    <row r="242" spans="1:14" x14ac:dyDescent="0.15">
      <c r="A242" s="38">
        <f t="shared" si="24"/>
        <v>1888</v>
      </c>
      <c r="I242" s="107"/>
      <c r="J242" s="109">
        <v>4.3299904076885163</v>
      </c>
      <c r="L242" s="107"/>
      <c r="M242" s="107"/>
      <c r="N242" s="107">
        <v>4.3299904076885163</v>
      </c>
    </row>
    <row r="243" spans="1:14" x14ac:dyDescent="0.15">
      <c r="A243" s="38">
        <f t="shared" si="24"/>
        <v>1889</v>
      </c>
      <c r="I243" s="107"/>
      <c r="J243" s="109">
        <v>4.2547006298774201</v>
      </c>
      <c r="L243" s="107"/>
      <c r="M243" s="107"/>
      <c r="N243" s="107">
        <v>4.2547006298774201</v>
      </c>
    </row>
    <row r="244" spans="1:14" x14ac:dyDescent="0.15">
      <c r="A244" s="38">
        <f t="shared" si="24"/>
        <v>1890</v>
      </c>
      <c r="I244" s="107"/>
      <c r="J244" s="109">
        <v>4.4151774062238838</v>
      </c>
      <c r="L244" s="107"/>
      <c r="M244" s="107"/>
      <c r="N244" s="107">
        <v>4.4151774062238838</v>
      </c>
    </row>
    <row r="245" spans="1:14" x14ac:dyDescent="0.15">
      <c r="A245" s="38">
        <f t="shared" si="24"/>
        <v>1891</v>
      </c>
      <c r="I245" s="107"/>
      <c r="J245" s="109">
        <v>4.8362228901268196</v>
      </c>
      <c r="L245" s="107"/>
      <c r="M245" s="107"/>
      <c r="N245" s="107">
        <v>4.8362228901268196</v>
      </c>
    </row>
    <row r="246" spans="1:14" x14ac:dyDescent="0.15">
      <c r="A246" s="38">
        <f t="shared" si="24"/>
        <v>1892</v>
      </c>
      <c r="I246" s="107"/>
      <c r="J246" s="109">
        <v>4.4078218208259861</v>
      </c>
      <c r="L246" s="107"/>
      <c r="M246" s="107"/>
      <c r="N246" s="107">
        <v>4.4078218208259861</v>
      </c>
    </row>
    <row r="247" spans="1:14" x14ac:dyDescent="0.15">
      <c r="A247" s="38">
        <f t="shared" si="24"/>
        <v>1893</v>
      </c>
      <c r="I247" s="107"/>
      <c r="J247" s="109">
        <v>4.1832262575459858</v>
      </c>
      <c r="L247" s="107"/>
      <c r="M247" s="107"/>
      <c r="N247" s="107">
        <v>4.1832262575459858</v>
      </c>
    </row>
    <row r="248" spans="1:14" x14ac:dyDescent="0.15">
      <c r="A248" s="38">
        <f t="shared" si="24"/>
        <v>1894</v>
      </c>
      <c r="I248" s="107"/>
      <c r="J248" s="109">
        <v>3.9327219893182268</v>
      </c>
      <c r="L248" s="107"/>
      <c r="M248" s="107"/>
      <c r="N248" s="107">
        <v>3.9327219893182268</v>
      </c>
    </row>
    <row r="249" spans="1:14" x14ac:dyDescent="0.15">
      <c r="A249" s="38">
        <f t="shared" si="24"/>
        <v>1895</v>
      </c>
      <c r="I249" s="107"/>
      <c r="J249" s="109">
        <v>3.8116616989968191</v>
      </c>
      <c r="L249" s="107"/>
      <c r="M249" s="107"/>
      <c r="N249" s="107">
        <v>3.8116616989968191</v>
      </c>
    </row>
    <row r="250" spans="1:14" x14ac:dyDescent="0.15">
      <c r="A250" s="38">
        <f t="shared" si="24"/>
        <v>1896</v>
      </c>
      <c r="I250" s="107"/>
      <c r="J250" s="109">
        <v>3.5305422051686994</v>
      </c>
      <c r="L250" s="107"/>
      <c r="M250" s="107"/>
      <c r="N250" s="107">
        <v>3.5305422051686994</v>
      </c>
    </row>
    <row r="251" spans="1:14" x14ac:dyDescent="0.15">
      <c r="A251" s="38">
        <f t="shared" si="24"/>
        <v>1897</v>
      </c>
      <c r="I251" s="107"/>
      <c r="J251" s="109">
        <v>8.6475434999999994</v>
      </c>
      <c r="L251" s="107"/>
      <c r="M251" s="107"/>
      <c r="N251" s="107">
        <v>8.6475434999999994</v>
      </c>
    </row>
    <row r="252" spans="1:14" x14ac:dyDescent="0.15">
      <c r="A252" s="38">
        <f t="shared" si="24"/>
        <v>1898</v>
      </c>
      <c r="I252" s="107"/>
      <c r="J252" s="109">
        <v>6.7258671666666672</v>
      </c>
      <c r="L252" s="107"/>
      <c r="M252" s="107"/>
      <c r="N252" s="107">
        <v>6.7258671666666672</v>
      </c>
    </row>
    <row r="253" spans="1:14" x14ac:dyDescent="0.15">
      <c r="A253" s="38">
        <f t="shared" si="24"/>
        <v>1899</v>
      </c>
      <c r="I253" s="107"/>
      <c r="J253" s="109">
        <v>7.6867053333333333</v>
      </c>
      <c r="L253" s="107"/>
      <c r="M253" s="107"/>
      <c r="N253" s="107">
        <v>7.6867053333333333</v>
      </c>
    </row>
    <row r="254" spans="1:14" x14ac:dyDescent="0.15">
      <c r="A254" s="38">
        <f t="shared" si="24"/>
        <v>1900</v>
      </c>
      <c r="I254" s="107"/>
      <c r="J254" s="109">
        <v>7.6867053333333333</v>
      </c>
      <c r="L254" s="107"/>
      <c r="M254" s="107"/>
      <c r="N254" s="107">
        <v>7.6867053333333333</v>
      </c>
    </row>
    <row r="255" spans="1:14" x14ac:dyDescent="0.15">
      <c r="A255" s="38">
        <f t="shared" si="24"/>
        <v>1901</v>
      </c>
      <c r="I255" s="107"/>
      <c r="J255" s="109">
        <v>8.6475434999999994</v>
      </c>
      <c r="L255" s="107"/>
      <c r="M255" s="107"/>
      <c r="N255" s="107">
        <v>8.6475434999999994</v>
      </c>
    </row>
    <row r="256" spans="1:14" x14ac:dyDescent="0.15">
      <c r="A256" s="38">
        <f t="shared" si="24"/>
        <v>1902</v>
      </c>
      <c r="I256" s="107"/>
      <c r="J256" s="109">
        <v>8.6475434999999994</v>
      </c>
      <c r="L256" s="107"/>
      <c r="M256" s="107"/>
      <c r="N256" s="107">
        <v>8.6475434999999994</v>
      </c>
    </row>
    <row r="257" spans="1:14" x14ac:dyDescent="0.15">
      <c r="A257" s="38">
        <f t="shared" si="24"/>
        <v>1903</v>
      </c>
      <c r="I257" s="107"/>
      <c r="J257" s="109">
        <v>8.6475434999999994</v>
      </c>
      <c r="L257" s="107"/>
      <c r="M257" s="107"/>
      <c r="N257" s="107">
        <v>8.6475434999999994</v>
      </c>
    </row>
    <row r="258" spans="1:14" x14ac:dyDescent="0.15">
      <c r="A258" s="38">
        <f t="shared" si="24"/>
        <v>1904</v>
      </c>
      <c r="I258" s="107"/>
      <c r="J258" s="109">
        <v>5.2846099166666667</v>
      </c>
      <c r="L258" s="107"/>
      <c r="M258" s="107"/>
      <c r="N258" s="107">
        <v>5.2846099166666667</v>
      </c>
    </row>
    <row r="259" spans="1:14" x14ac:dyDescent="0.15">
      <c r="A259" s="38">
        <f t="shared" si="24"/>
        <v>1905</v>
      </c>
      <c r="I259" s="107"/>
      <c r="J259" s="109">
        <v>6.7258671666666672</v>
      </c>
      <c r="L259" s="107"/>
      <c r="M259" s="107"/>
      <c r="N259" s="107">
        <v>6.7258671666666672</v>
      </c>
    </row>
    <row r="260" spans="1:14" x14ac:dyDescent="0.15">
      <c r="A260" s="38">
        <f t="shared" si="24"/>
        <v>1906</v>
      </c>
      <c r="I260" s="107"/>
      <c r="J260" s="109">
        <v>6.7258671666666672</v>
      </c>
      <c r="L260" s="107"/>
      <c r="M260" s="107"/>
      <c r="N260" s="107">
        <v>6.7258671666666672</v>
      </c>
    </row>
    <row r="261" spans="1:14" x14ac:dyDescent="0.15">
      <c r="A261" s="38">
        <f t="shared" si="24"/>
        <v>1907</v>
      </c>
      <c r="I261" s="107"/>
      <c r="J261" s="109">
        <v>6.7258671666666672</v>
      </c>
      <c r="L261" s="107"/>
      <c r="M261" s="107"/>
      <c r="N261" s="107">
        <v>6.7258671666666672</v>
      </c>
    </row>
    <row r="262" spans="1:14" x14ac:dyDescent="0.15">
      <c r="A262" s="38">
        <f t="shared" si="24"/>
        <v>1908</v>
      </c>
      <c r="I262" s="107"/>
      <c r="J262" s="109">
        <v>7.2062862499999998</v>
      </c>
      <c r="L262" s="107"/>
      <c r="M262" s="107"/>
      <c r="N262" s="107">
        <v>7.2062862499999998</v>
      </c>
    </row>
    <row r="263" spans="1:14" x14ac:dyDescent="0.15">
      <c r="A263" s="38">
        <f t="shared" si="24"/>
        <v>1909</v>
      </c>
      <c r="I263" s="107"/>
      <c r="J263" s="109">
        <v>7.6867053333333333</v>
      </c>
      <c r="L263" s="107"/>
      <c r="M263" s="107"/>
      <c r="N263" s="107">
        <v>7.6867053333333333</v>
      </c>
    </row>
    <row r="264" spans="1:14" x14ac:dyDescent="0.15">
      <c r="A264" s="38">
        <f t="shared" si="24"/>
        <v>1910</v>
      </c>
      <c r="I264" s="107"/>
      <c r="J264" s="109">
        <v>6.2454480833333337</v>
      </c>
      <c r="L264" s="107"/>
      <c r="M264" s="107"/>
      <c r="N264" s="107">
        <v>6.2454480833333337</v>
      </c>
    </row>
    <row r="265" spans="1:14" x14ac:dyDescent="0.15">
      <c r="A265" s="38">
        <v>1911</v>
      </c>
      <c r="I265" s="107"/>
      <c r="J265" s="109">
        <v>6.2454480833333337</v>
      </c>
      <c r="L265" s="107"/>
      <c r="M265" s="107"/>
      <c r="N265" s="107">
        <v>6.2454480833333337</v>
      </c>
    </row>
    <row r="266" spans="1:14" x14ac:dyDescent="0.15">
      <c r="A266" s="38">
        <v>1912</v>
      </c>
      <c r="I266" s="107"/>
      <c r="J266" s="109"/>
      <c r="L266" s="107"/>
      <c r="M266" s="107"/>
      <c r="N266" s="107"/>
    </row>
    <row r="267" spans="1:14" x14ac:dyDescent="0.15">
      <c r="A267" s="38">
        <v>1913</v>
      </c>
      <c r="I267" s="107"/>
      <c r="J267" s="109">
        <v>6.2454480833333337</v>
      </c>
      <c r="L267" s="107"/>
      <c r="M267" s="107"/>
      <c r="N267" s="107">
        <v>6.2454480833333337</v>
      </c>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67"/>
  <sheetViews>
    <sheetView zoomScale="85" zoomScaleNormal="85" zoomScalePageLayoutView="85" workbookViewId="0">
      <pane xSplit="1" ySplit="6" topLeftCell="J7" activePane="bottomRight" state="frozen"/>
      <selection pane="topRight" activeCell="B1" sqref="B1"/>
      <selection pane="bottomLeft" activeCell="A7" sqref="A7"/>
      <selection pane="bottomRight" activeCell="V4" sqref="V4"/>
    </sheetView>
  </sheetViews>
  <sheetFormatPr baseColWidth="10" defaultColWidth="8.83203125" defaultRowHeight="13" x14ac:dyDescent="0.15"/>
  <cols>
    <col min="1" max="1" width="8.83203125" style="38"/>
    <col min="2" max="12" width="8.83203125" style="29"/>
    <col min="13" max="13" width="8.83203125" style="48"/>
    <col min="15" max="15" width="8.83203125" style="24"/>
    <col min="18" max="19" width="8.83203125" style="96"/>
    <col min="20" max="20" width="8.83203125" style="24"/>
  </cols>
  <sheetData>
    <row r="1" spans="1:22" x14ac:dyDescent="0.15">
      <c r="B1" s="109"/>
      <c r="C1" s="109"/>
      <c r="D1" s="109"/>
      <c r="E1" s="109"/>
      <c r="F1" s="109"/>
      <c r="G1" s="109"/>
      <c r="H1" s="109"/>
      <c r="I1" s="109"/>
      <c r="J1" s="109"/>
      <c r="K1" s="45" t="s">
        <v>62</v>
      </c>
      <c r="L1" s="109"/>
      <c r="N1" s="107"/>
      <c r="P1" s="107"/>
      <c r="Q1" s="107"/>
      <c r="R1" s="96" t="s">
        <v>148</v>
      </c>
    </row>
    <row r="2" spans="1:22" x14ac:dyDescent="0.15">
      <c r="B2" s="109" t="s">
        <v>149</v>
      </c>
      <c r="C2" s="109" t="s">
        <v>150</v>
      </c>
      <c r="D2" s="109" t="s">
        <v>150</v>
      </c>
      <c r="E2" s="109" t="s">
        <v>150</v>
      </c>
      <c r="F2" s="109" t="s">
        <v>150</v>
      </c>
      <c r="G2" s="109" t="s">
        <v>151</v>
      </c>
      <c r="H2" s="109" t="s">
        <v>151</v>
      </c>
      <c r="I2" s="109" t="s">
        <v>152</v>
      </c>
      <c r="J2" s="109" t="s">
        <v>153</v>
      </c>
      <c r="K2" s="109" t="s">
        <v>154</v>
      </c>
      <c r="L2" s="109" t="s">
        <v>154</v>
      </c>
      <c r="N2" s="109" t="s">
        <v>155</v>
      </c>
      <c r="P2" s="107"/>
      <c r="Q2" s="107"/>
    </row>
    <row r="3" spans="1:22" x14ac:dyDescent="0.15">
      <c r="A3" s="38" t="s">
        <v>68</v>
      </c>
      <c r="B3" s="109" t="s">
        <v>72</v>
      </c>
      <c r="C3" s="109" t="s">
        <v>72</v>
      </c>
      <c r="D3" s="109" t="s">
        <v>72</v>
      </c>
      <c r="E3" s="109" t="s">
        <v>72</v>
      </c>
      <c r="F3" s="109" t="s">
        <v>72</v>
      </c>
      <c r="G3" s="109" t="s">
        <v>72</v>
      </c>
      <c r="H3" s="109" t="s">
        <v>72</v>
      </c>
      <c r="I3" s="109" t="s">
        <v>73</v>
      </c>
      <c r="J3" s="109" t="s">
        <v>73</v>
      </c>
      <c r="K3" s="109" t="s">
        <v>78</v>
      </c>
      <c r="L3" s="109" t="s">
        <v>95</v>
      </c>
      <c r="N3" s="109" t="s">
        <v>82</v>
      </c>
      <c r="O3" s="113" t="s">
        <v>156</v>
      </c>
      <c r="P3" s="109"/>
      <c r="Q3" s="109"/>
      <c r="R3" s="97" t="s">
        <v>142</v>
      </c>
      <c r="S3" s="97" t="s">
        <v>156</v>
      </c>
      <c r="T3" s="113" t="s">
        <v>156</v>
      </c>
    </row>
    <row r="4" spans="1:22" ht="14" x14ac:dyDescent="0.2">
      <c r="A4" s="31" t="s">
        <v>84</v>
      </c>
      <c r="B4" s="109" t="s">
        <v>85</v>
      </c>
      <c r="C4" s="109" t="s">
        <v>85</v>
      </c>
      <c r="D4" s="109" t="s">
        <v>85</v>
      </c>
      <c r="E4" s="109" t="s">
        <v>85</v>
      </c>
      <c r="F4" s="109" t="s">
        <v>85</v>
      </c>
      <c r="G4" s="109" t="s">
        <v>85</v>
      </c>
      <c r="H4" s="109" t="s">
        <v>85</v>
      </c>
      <c r="I4" s="109" t="s">
        <v>85</v>
      </c>
      <c r="J4" s="109" t="s">
        <v>85</v>
      </c>
      <c r="K4" s="95" t="s">
        <v>88</v>
      </c>
      <c r="L4" s="95" t="s">
        <v>88</v>
      </c>
      <c r="N4" s="107" t="s">
        <v>85</v>
      </c>
      <c r="O4" s="24" t="s">
        <v>55</v>
      </c>
      <c r="P4" s="107"/>
      <c r="Q4" s="107"/>
      <c r="R4" s="96" t="s">
        <v>55</v>
      </c>
      <c r="S4" s="96" t="s">
        <v>55</v>
      </c>
      <c r="T4" s="24" t="s">
        <v>55</v>
      </c>
      <c r="V4" s="31" t="s">
        <v>1031</v>
      </c>
    </row>
    <row r="5" spans="1:22" x14ac:dyDescent="0.15">
      <c r="A5" s="31" t="s">
        <v>91</v>
      </c>
      <c r="B5" s="109" t="s">
        <v>157</v>
      </c>
      <c r="C5" s="109" t="s">
        <v>157</v>
      </c>
      <c r="D5" s="109" t="s">
        <v>158</v>
      </c>
      <c r="E5" s="109" t="s">
        <v>159</v>
      </c>
      <c r="F5" s="109" t="s">
        <v>160</v>
      </c>
      <c r="G5" s="109" t="s">
        <v>159</v>
      </c>
      <c r="H5" s="109" t="s">
        <v>157</v>
      </c>
      <c r="I5" s="109" t="s">
        <v>157</v>
      </c>
      <c r="J5" s="109" t="s">
        <v>157</v>
      </c>
      <c r="K5" s="109" t="s">
        <v>161</v>
      </c>
      <c r="L5" s="109" t="s">
        <v>161</v>
      </c>
      <c r="N5" s="109" t="s">
        <v>53</v>
      </c>
      <c r="O5" s="113" t="s">
        <v>53</v>
      </c>
      <c r="P5" s="109"/>
      <c r="Q5" s="109"/>
      <c r="R5" s="97" t="s">
        <v>51</v>
      </c>
      <c r="S5" s="97" t="s">
        <v>53</v>
      </c>
      <c r="T5" s="113" t="s">
        <v>53</v>
      </c>
    </row>
    <row r="7" spans="1:22" x14ac:dyDescent="0.15">
      <c r="A7" s="38">
        <v>1653</v>
      </c>
      <c r="B7" s="109"/>
      <c r="C7" s="109"/>
      <c r="D7" s="109"/>
      <c r="E7" s="109"/>
      <c r="F7" s="109"/>
      <c r="G7" s="109"/>
      <c r="H7" s="109"/>
      <c r="I7" s="109"/>
      <c r="J7" s="109"/>
      <c r="K7" s="109"/>
      <c r="L7" s="109"/>
      <c r="N7" s="107"/>
      <c r="P7" s="107"/>
      <c r="Q7" s="107"/>
    </row>
    <row r="8" spans="1:22" x14ac:dyDescent="0.15">
      <c r="A8" s="38">
        <f t="shared" ref="A8:A52" si="0">A9-1</f>
        <v>1654</v>
      </c>
      <c r="B8" s="109"/>
      <c r="C8" s="109"/>
      <c r="D8" s="109"/>
      <c r="E8" s="109"/>
      <c r="F8" s="109"/>
      <c r="G8" s="109"/>
      <c r="H8" s="109"/>
      <c r="I8" s="109"/>
      <c r="J8" s="109"/>
      <c r="K8" s="109"/>
      <c r="L8" s="109"/>
      <c r="N8" s="107"/>
      <c r="P8" s="107"/>
      <c r="Q8" s="107"/>
    </row>
    <row r="9" spans="1:22" x14ac:dyDescent="0.15">
      <c r="A9" s="38">
        <f t="shared" si="0"/>
        <v>1655</v>
      </c>
      <c r="B9" s="109"/>
      <c r="C9" s="109"/>
      <c r="D9" s="109"/>
      <c r="E9" s="109"/>
      <c r="F9" s="109"/>
      <c r="G9" s="109"/>
      <c r="H9" s="109"/>
      <c r="I9" s="109"/>
      <c r="J9" s="109"/>
      <c r="K9" s="109"/>
      <c r="L9" s="109"/>
      <c r="N9" s="107"/>
      <c r="P9" s="107"/>
      <c r="Q9" s="107"/>
      <c r="R9" s="96">
        <v>10.453333333333333</v>
      </c>
      <c r="T9" s="98">
        <f>R9*0.0884-0.1258</f>
        <v>0.79827466666666669</v>
      </c>
    </row>
    <row r="10" spans="1:22" x14ac:dyDescent="0.15">
      <c r="A10" s="38">
        <f t="shared" si="0"/>
        <v>1656</v>
      </c>
      <c r="B10" s="109"/>
      <c r="C10" s="109"/>
      <c r="D10" s="109"/>
      <c r="E10" s="109"/>
      <c r="F10" s="109"/>
      <c r="G10" s="109"/>
      <c r="H10" s="109"/>
      <c r="I10" s="109"/>
      <c r="J10" s="109"/>
      <c r="K10" s="109"/>
      <c r="L10" s="109"/>
      <c r="N10" s="107"/>
      <c r="P10" s="107"/>
      <c r="Q10" s="107"/>
      <c r="R10" s="96">
        <v>8.6631999999999998</v>
      </c>
      <c r="T10" s="98">
        <f>R10*0.0884-0.1258</f>
        <v>0.64002687999999996</v>
      </c>
    </row>
    <row r="11" spans="1:22" x14ac:dyDescent="0.15">
      <c r="A11" s="38">
        <f t="shared" si="0"/>
        <v>1657</v>
      </c>
      <c r="B11" s="109"/>
      <c r="C11" s="109"/>
      <c r="D11" s="109">
        <v>0.25</v>
      </c>
      <c r="E11" s="109"/>
      <c r="F11" s="109"/>
      <c r="G11" s="109"/>
      <c r="H11" s="109"/>
      <c r="I11" s="109"/>
      <c r="J11" s="109"/>
      <c r="K11" s="109"/>
      <c r="L11" s="109"/>
      <c r="N11" s="107">
        <f>D11/1.2</f>
        <v>0.20833333333333334</v>
      </c>
      <c r="O11" s="24">
        <f>N11*7.84</f>
        <v>1.6333333333333333</v>
      </c>
      <c r="P11" s="107"/>
      <c r="Q11" s="107"/>
      <c r="S11" s="96">
        <v>1.6333333333333333</v>
      </c>
      <c r="T11" s="24">
        <v>1.6333333333333333</v>
      </c>
    </row>
    <row r="12" spans="1:22" x14ac:dyDescent="0.15">
      <c r="A12" s="38">
        <f t="shared" si="0"/>
        <v>1658</v>
      </c>
      <c r="B12" s="109"/>
      <c r="C12" s="109"/>
      <c r="D12" s="109"/>
      <c r="E12" s="109"/>
      <c r="F12" s="109">
        <v>16</v>
      </c>
      <c r="G12" s="109"/>
      <c r="H12" s="109"/>
      <c r="I12" s="109"/>
      <c r="J12" s="109"/>
      <c r="K12" s="109"/>
      <c r="L12" s="109"/>
      <c r="N12" s="91">
        <f>F12/153.6</f>
        <v>0.10416666666666667</v>
      </c>
      <c r="O12" s="24">
        <f>N12*7.84</f>
        <v>0.81666666666666665</v>
      </c>
      <c r="P12" s="91"/>
      <c r="Q12" s="91"/>
      <c r="R12" s="96">
        <v>16.307200000000002</v>
      </c>
      <c r="S12" s="96">
        <v>0.81666666666666665</v>
      </c>
      <c r="T12" s="24">
        <v>0.81666666666666665</v>
      </c>
    </row>
    <row r="13" spans="1:22" x14ac:dyDescent="0.15">
      <c r="A13" s="38">
        <f t="shared" si="0"/>
        <v>1659</v>
      </c>
      <c r="B13" s="109"/>
      <c r="C13" s="109"/>
      <c r="D13" s="109">
        <v>0.3</v>
      </c>
      <c r="E13" s="109"/>
      <c r="F13" s="109"/>
      <c r="G13" s="109"/>
      <c r="H13" s="109"/>
      <c r="I13" s="109"/>
      <c r="J13" s="109"/>
      <c r="K13" s="109"/>
      <c r="L13" s="109"/>
      <c r="N13" s="107">
        <f>D13/1.2</f>
        <v>0.25</v>
      </c>
      <c r="O13" s="24">
        <f>N13*7.84</f>
        <v>1.96</v>
      </c>
      <c r="P13" s="107"/>
      <c r="Q13" s="107"/>
      <c r="R13" s="96">
        <v>8.1536000000000008</v>
      </c>
      <c r="S13" s="96">
        <v>1.96</v>
      </c>
      <c r="T13" s="24">
        <v>1.96</v>
      </c>
    </row>
    <row r="14" spans="1:22" x14ac:dyDescent="0.15">
      <c r="A14" s="38">
        <f t="shared" si="0"/>
        <v>1660</v>
      </c>
      <c r="B14" s="109"/>
      <c r="C14" s="109"/>
      <c r="D14" s="109"/>
      <c r="E14" s="109"/>
      <c r="F14" s="109"/>
      <c r="G14" s="109"/>
      <c r="H14" s="109"/>
      <c r="I14" s="109"/>
      <c r="J14" s="109"/>
      <c r="K14" s="109"/>
      <c r="L14" s="109"/>
      <c r="N14" s="107"/>
      <c r="P14" s="107"/>
      <c r="Q14" s="107"/>
    </row>
    <row r="15" spans="1:22" x14ac:dyDescent="0.15">
      <c r="A15" s="38">
        <f t="shared" si="0"/>
        <v>1661</v>
      </c>
      <c r="B15" s="109"/>
      <c r="C15" s="109"/>
      <c r="D15" s="109"/>
      <c r="E15" s="109"/>
      <c r="F15" s="109"/>
      <c r="G15" s="109"/>
      <c r="H15" s="109"/>
      <c r="I15" s="109"/>
      <c r="J15" s="109"/>
      <c r="K15" s="109"/>
      <c r="L15" s="109"/>
      <c r="N15" s="107"/>
      <c r="P15" s="107"/>
      <c r="Q15" s="107"/>
    </row>
    <row r="16" spans="1:22" x14ac:dyDescent="0.15">
      <c r="A16" s="38">
        <f t="shared" si="0"/>
        <v>1662</v>
      </c>
      <c r="B16" s="109"/>
      <c r="C16" s="109"/>
      <c r="D16" s="109"/>
      <c r="E16" s="109"/>
      <c r="F16" s="109"/>
      <c r="G16" s="109"/>
      <c r="H16" s="109"/>
      <c r="I16" s="109"/>
      <c r="J16" s="109"/>
      <c r="K16" s="109"/>
      <c r="L16" s="109"/>
      <c r="N16" s="107"/>
      <c r="P16" s="107"/>
      <c r="Q16" s="107"/>
    </row>
    <row r="17" spans="1:20" x14ac:dyDescent="0.15">
      <c r="A17" s="38">
        <f t="shared" si="0"/>
        <v>1663</v>
      </c>
      <c r="B17" s="109"/>
      <c r="C17" s="109"/>
      <c r="D17" s="109"/>
      <c r="E17" s="109"/>
      <c r="F17" s="109"/>
      <c r="G17" s="109"/>
      <c r="H17" s="109"/>
      <c r="I17" s="109"/>
      <c r="J17" s="109"/>
      <c r="K17" s="109"/>
      <c r="L17" s="109"/>
      <c r="N17" s="107"/>
      <c r="P17" s="107"/>
      <c r="Q17" s="107"/>
    </row>
    <row r="18" spans="1:20" x14ac:dyDescent="0.15">
      <c r="A18" s="38">
        <f t="shared" si="0"/>
        <v>1664</v>
      </c>
      <c r="B18" s="109"/>
      <c r="C18" s="109"/>
      <c r="D18" s="109"/>
      <c r="E18" s="109"/>
      <c r="F18" s="109"/>
      <c r="G18" s="109"/>
      <c r="H18" s="109"/>
      <c r="I18" s="109"/>
      <c r="J18" s="109"/>
      <c r="K18" s="109"/>
      <c r="L18" s="109"/>
      <c r="N18" s="107"/>
      <c r="P18" s="107"/>
      <c r="Q18" s="107"/>
    </row>
    <row r="19" spans="1:20" x14ac:dyDescent="0.15">
      <c r="A19" s="38">
        <f t="shared" si="0"/>
        <v>1665</v>
      </c>
      <c r="B19" s="109"/>
      <c r="C19" s="109"/>
      <c r="D19" s="109"/>
      <c r="E19" s="109"/>
      <c r="F19" s="109"/>
      <c r="G19" s="109"/>
      <c r="H19" s="109"/>
      <c r="I19" s="109"/>
      <c r="J19" s="109"/>
      <c r="K19" s="109"/>
      <c r="L19" s="109"/>
      <c r="N19" s="107"/>
      <c r="P19" s="107"/>
      <c r="Q19" s="107"/>
      <c r="R19" s="96">
        <v>12.544</v>
      </c>
      <c r="T19" s="98">
        <f>R19*0.0884-0.1258</f>
        <v>0.98308960000000012</v>
      </c>
    </row>
    <row r="20" spans="1:20" x14ac:dyDescent="0.15">
      <c r="A20" s="38">
        <f t="shared" si="0"/>
        <v>1666</v>
      </c>
      <c r="B20" s="109"/>
      <c r="C20" s="109"/>
      <c r="D20" s="109"/>
      <c r="E20" s="109"/>
      <c r="F20" s="109"/>
      <c r="G20" s="109"/>
      <c r="H20" s="109"/>
      <c r="I20" s="109"/>
      <c r="J20" s="109"/>
      <c r="K20" s="109"/>
      <c r="L20" s="109"/>
      <c r="N20" s="107"/>
      <c r="P20" s="107"/>
      <c r="Q20" s="107"/>
      <c r="R20" s="96">
        <v>12.544</v>
      </c>
      <c r="T20" s="98">
        <f>R20*0.0884-0.1258</f>
        <v>0.98308960000000012</v>
      </c>
    </row>
    <row r="21" spans="1:20" x14ac:dyDescent="0.15">
      <c r="A21" s="38">
        <f t="shared" si="0"/>
        <v>1667</v>
      </c>
      <c r="B21" s="109"/>
      <c r="C21" s="109"/>
      <c r="D21" s="109"/>
      <c r="E21" s="109"/>
      <c r="F21" s="109"/>
      <c r="G21" s="109"/>
      <c r="H21" s="109"/>
      <c r="I21" s="109"/>
      <c r="J21" s="109"/>
      <c r="K21" s="109"/>
      <c r="L21" s="109"/>
      <c r="N21" s="107"/>
      <c r="P21" s="107"/>
      <c r="Q21" s="107"/>
    </row>
    <row r="22" spans="1:20" x14ac:dyDescent="0.15">
      <c r="A22" s="38">
        <f t="shared" si="0"/>
        <v>1668</v>
      </c>
      <c r="B22" s="109"/>
      <c r="C22" s="109"/>
      <c r="D22" s="109"/>
      <c r="E22" s="109"/>
      <c r="F22" s="109"/>
      <c r="G22" s="109"/>
      <c r="H22" s="109"/>
      <c r="I22" s="109"/>
      <c r="J22" s="109"/>
      <c r="K22" s="109"/>
      <c r="L22" s="109"/>
      <c r="N22" s="107"/>
      <c r="P22" s="107"/>
      <c r="Q22" s="107"/>
    </row>
    <row r="23" spans="1:20" x14ac:dyDescent="0.15">
      <c r="A23" s="38">
        <f t="shared" si="0"/>
        <v>1669</v>
      </c>
      <c r="B23" s="109"/>
      <c r="C23" s="109"/>
      <c r="D23" s="109"/>
      <c r="E23" s="109"/>
      <c r="F23" s="109"/>
      <c r="G23" s="109"/>
      <c r="H23" s="109"/>
      <c r="I23" s="109"/>
      <c r="J23" s="109"/>
      <c r="K23" s="109"/>
      <c r="L23" s="109"/>
      <c r="N23" s="107"/>
      <c r="P23" s="107"/>
      <c r="Q23" s="107"/>
      <c r="R23" s="96">
        <v>13.552622163638073</v>
      </c>
      <c r="T23" s="98">
        <f t="shared" ref="T23:T27" si="1">R23*0.0884-0.1258</f>
        <v>1.0722517992656058</v>
      </c>
    </row>
    <row r="24" spans="1:20" x14ac:dyDescent="0.15">
      <c r="A24" s="38">
        <f t="shared" si="0"/>
        <v>1670</v>
      </c>
      <c r="B24" s="109"/>
      <c r="C24" s="109"/>
      <c r="D24" s="109"/>
      <c r="E24" s="109"/>
      <c r="F24" s="109"/>
      <c r="G24" s="109"/>
      <c r="H24" s="109"/>
      <c r="I24" s="109"/>
      <c r="J24" s="109"/>
      <c r="K24" s="109"/>
      <c r="L24" s="109"/>
      <c r="N24" s="107"/>
      <c r="P24" s="107"/>
      <c r="Q24" s="107"/>
      <c r="R24" s="96">
        <v>15.870445344129555</v>
      </c>
      <c r="T24" s="98">
        <f t="shared" si="1"/>
        <v>1.2771473684210528</v>
      </c>
    </row>
    <row r="25" spans="1:20" x14ac:dyDescent="0.15">
      <c r="A25" s="38">
        <f t="shared" si="0"/>
        <v>1671</v>
      </c>
      <c r="B25" s="109"/>
      <c r="C25" s="109"/>
      <c r="D25" s="109"/>
      <c r="E25" s="109"/>
      <c r="F25" s="109"/>
      <c r="G25" s="109"/>
      <c r="H25" s="109"/>
      <c r="I25" s="109"/>
      <c r="J25" s="109"/>
      <c r="K25" s="109"/>
      <c r="L25" s="109"/>
      <c r="N25" s="107"/>
      <c r="P25" s="107"/>
      <c r="Q25" s="107"/>
      <c r="R25" s="96">
        <v>12.696356275303645</v>
      </c>
      <c r="T25" s="98">
        <f t="shared" si="1"/>
        <v>0.9965578947368422</v>
      </c>
    </row>
    <row r="26" spans="1:20" x14ac:dyDescent="0.15">
      <c r="A26" s="38">
        <f t="shared" si="0"/>
        <v>1672</v>
      </c>
      <c r="B26" s="109"/>
      <c r="C26" s="109"/>
      <c r="D26" s="109"/>
      <c r="E26" s="109"/>
      <c r="F26" s="109"/>
      <c r="G26" s="109"/>
      <c r="H26" s="109"/>
      <c r="I26" s="109"/>
      <c r="J26" s="109"/>
      <c r="K26" s="109"/>
      <c r="L26" s="109"/>
      <c r="N26" s="107"/>
      <c r="P26" s="107"/>
      <c r="Q26" s="107"/>
      <c r="R26" s="96">
        <v>15.870445344129555</v>
      </c>
      <c r="T26" s="98">
        <f t="shared" si="1"/>
        <v>1.2771473684210528</v>
      </c>
    </row>
    <row r="27" spans="1:20" x14ac:dyDescent="0.15">
      <c r="A27" s="38">
        <f t="shared" si="0"/>
        <v>1673</v>
      </c>
      <c r="B27" s="109"/>
      <c r="C27" s="109"/>
      <c r="D27" s="109"/>
      <c r="E27" s="109"/>
      <c r="F27" s="109"/>
      <c r="G27" s="109"/>
      <c r="H27" s="109"/>
      <c r="I27" s="109"/>
      <c r="J27" s="109"/>
      <c r="K27" s="109"/>
      <c r="L27" s="109"/>
      <c r="N27" s="107"/>
      <c r="P27" s="107"/>
      <c r="Q27" s="107"/>
      <c r="R27" s="96">
        <v>13.291497975708502</v>
      </c>
      <c r="T27" s="98">
        <f t="shared" si="1"/>
        <v>1.0491684210526318</v>
      </c>
    </row>
    <row r="28" spans="1:20" x14ac:dyDescent="0.15">
      <c r="A28" s="38">
        <f t="shared" si="0"/>
        <v>1674</v>
      </c>
      <c r="B28" s="109"/>
      <c r="C28" s="109"/>
      <c r="D28" s="109">
        <v>0.16250000000000001</v>
      </c>
      <c r="E28" s="109"/>
      <c r="F28" s="109"/>
      <c r="G28" s="109"/>
      <c r="H28" s="109">
        <v>3.25</v>
      </c>
      <c r="I28" s="109"/>
      <c r="J28" s="109"/>
      <c r="K28" s="109"/>
      <c r="L28" s="109"/>
      <c r="N28" s="107">
        <f>D28/1.2</f>
        <v>0.13541666666666669</v>
      </c>
      <c r="O28" s="24">
        <f>N28*7.84</f>
        <v>1.0616666666666668</v>
      </c>
      <c r="P28" s="107"/>
      <c r="Q28" s="107"/>
      <c r="R28" s="96">
        <v>12.696356275303645</v>
      </c>
      <c r="S28" s="96">
        <v>1.0616666666666668</v>
      </c>
      <c r="T28" s="24">
        <v>1.0616666666666668</v>
      </c>
    </row>
    <row r="29" spans="1:20" x14ac:dyDescent="0.15">
      <c r="A29" s="38">
        <f t="shared" si="0"/>
        <v>1675</v>
      </c>
      <c r="B29" s="109"/>
      <c r="C29" s="109"/>
      <c r="D29" s="109"/>
      <c r="E29" s="109"/>
      <c r="F29" s="109"/>
      <c r="G29" s="109"/>
      <c r="H29" s="109"/>
      <c r="I29" s="109"/>
      <c r="J29" s="109"/>
      <c r="K29" s="109"/>
      <c r="L29" s="109"/>
      <c r="N29" s="107"/>
      <c r="P29" s="107"/>
      <c r="Q29" s="107"/>
    </row>
    <row r="30" spans="1:20" x14ac:dyDescent="0.15">
      <c r="A30" s="38">
        <f t="shared" si="0"/>
        <v>1676</v>
      </c>
      <c r="B30" s="109"/>
      <c r="C30" s="109"/>
      <c r="D30" s="109">
        <v>0.16250000000000001</v>
      </c>
      <c r="E30" s="109"/>
      <c r="F30" s="109"/>
      <c r="G30" s="109"/>
      <c r="H30" s="109"/>
      <c r="I30" s="109"/>
      <c r="J30" s="109"/>
      <c r="K30" s="109"/>
      <c r="L30" s="109"/>
      <c r="N30" s="107">
        <f>D30/1.2</f>
        <v>0.13541666666666669</v>
      </c>
      <c r="O30" s="24">
        <f>N30*7.84</f>
        <v>1.0616666666666668</v>
      </c>
      <c r="P30" s="107"/>
      <c r="Q30" s="107"/>
      <c r="R30" s="96">
        <v>15.966365618187481</v>
      </c>
      <c r="S30" s="96">
        <v>1.0616666666666668</v>
      </c>
      <c r="T30" s="24">
        <v>1.0616666666666668</v>
      </c>
    </row>
    <row r="31" spans="1:20" x14ac:dyDescent="0.15">
      <c r="A31" s="38">
        <f t="shared" si="0"/>
        <v>1677</v>
      </c>
      <c r="B31" s="109"/>
      <c r="C31" s="109"/>
      <c r="D31" s="109"/>
      <c r="E31" s="109"/>
      <c r="F31" s="109"/>
      <c r="G31" s="109">
        <v>10</v>
      </c>
      <c r="H31" s="109"/>
      <c r="I31" s="109"/>
      <c r="J31" s="109"/>
      <c r="K31" s="109"/>
      <c r="L31" s="109"/>
      <c r="N31" s="91">
        <f>G31/153.6</f>
        <v>6.5104166666666671E-2</v>
      </c>
      <c r="O31" s="24">
        <f>N31*7.84</f>
        <v>0.51041666666666674</v>
      </c>
      <c r="P31" s="91"/>
      <c r="Q31" s="91"/>
      <c r="R31" s="96">
        <v>16.267206477732792</v>
      </c>
      <c r="S31" s="96">
        <v>0.51041666666666674</v>
      </c>
      <c r="T31" s="24">
        <v>0.51041666666666674</v>
      </c>
    </row>
    <row r="32" spans="1:20" x14ac:dyDescent="0.15">
      <c r="A32" s="38">
        <f t="shared" si="0"/>
        <v>1678</v>
      </c>
      <c r="B32" s="109"/>
      <c r="C32" s="109"/>
      <c r="D32" s="109"/>
      <c r="E32" s="109"/>
      <c r="F32" s="109">
        <v>30</v>
      </c>
      <c r="G32" s="109"/>
      <c r="H32" s="109"/>
      <c r="I32" s="109"/>
      <c r="J32" s="109"/>
      <c r="K32" s="109"/>
      <c r="L32" s="109"/>
      <c r="N32" s="91">
        <f>F32/153.6</f>
        <v>0.1953125</v>
      </c>
      <c r="O32" s="24">
        <f>N32*7.84</f>
        <v>1.53125</v>
      </c>
      <c r="P32" s="91"/>
      <c r="Q32" s="91"/>
      <c r="R32" s="96">
        <v>7.84</v>
      </c>
      <c r="S32" s="96">
        <v>1.53125</v>
      </c>
      <c r="T32" s="24">
        <v>1.53125</v>
      </c>
    </row>
    <row r="33" spans="1:20" x14ac:dyDescent="0.15">
      <c r="A33" s="38">
        <f t="shared" si="0"/>
        <v>1679</v>
      </c>
      <c r="B33" s="109"/>
      <c r="C33" s="109"/>
      <c r="D33" s="109"/>
      <c r="E33" s="109"/>
      <c r="F33" s="109"/>
      <c r="G33" s="109"/>
      <c r="H33" s="109"/>
      <c r="I33" s="109"/>
      <c r="J33" s="109"/>
      <c r="K33" s="109"/>
      <c r="L33" s="109"/>
      <c r="N33" s="107"/>
      <c r="P33" s="107"/>
      <c r="Q33" s="107"/>
    </row>
    <row r="34" spans="1:20" x14ac:dyDescent="0.15">
      <c r="A34" s="38">
        <f t="shared" si="0"/>
        <v>1680</v>
      </c>
      <c r="B34" s="109"/>
      <c r="C34" s="109"/>
      <c r="D34" s="109"/>
      <c r="E34" s="109"/>
      <c r="F34" s="109"/>
      <c r="G34" s="109"/>
      <c r="H34" s="109"/>
      <c r="I34" s="109"/>
      <c r="J34" s="109"/>
      <c r="K34" s="109"/>
      <c r="L34" s="109"/>
      <c r="N34" s="107"/>
      <c r="P34" s="107"/>
      <c r="Q34" s="107"/>
    </row>
    <row r="35" spans="1:20" x14ac:dyDescent="0.15">
      <c r="A35" s="38">
        <f t="shared" si="0"/>
        <v>1681</v>
      </c>
      <c r="B35" s="109"/>
      <c r="C35" s="109"/>
      <c r="D35" s="109">
        <v>0.18391990291262136</v>
      </c>
      <c r="E35" s="109"/>
      <c r="F35" s="109"/>
      <c r="G35" s="109"/>
      <c r="H35" s="109"/>
      <c r="I35" s="109"/>
      <c r="J35" s="109"/>
      <c r="K35" s="109"/>
      <c r="L35" s="109"/>
      <c r="N35" s="107">
        <f>D35/1.2</f>
        <v>0.1532665857605178</v>
      </c>
      <c r="O35" s="24">
        <f>N35*7.69</f>
        <v>1.1786200444983819</v>
      </c>
      <c r="P35" s="107"/>
      <c r="Q35" s="107"/>
      <c r="R35" s="96">
        <v>8.7563259109311762</v>
      </c>
      <c r="S35" s="96">
        <v>1.1786200444983819</v>
      </c>
      <c r="T35" s="24">
        <v>1.1786200444983819</v>
      </c>
    </row>
    <row r="36" spans="1:20" x14ac:dyDescent="0.15">
      <c r="A36" s="38">
        <f t="shared" si="0"/>
        <v>1682</v>
      </c>
      <c r="B36" s="109"/>
      <c r="C36" s="109"/>
      <c r="D36" s="109"/>
      <c r="E36" s="109"/>
      <c r="F36" s="109"/>
      <c r="G36" s="109"/>
      <c r="H36" s="109"/>
      <c r="I36" s="109"/>
      <c r="J36" s="109"/>
      <c r="K36" s="109"/>
      <c r="L36" s="109"/>
      <c r="N36" s="107"/>
      <c r="P36" s="107"/>
      <c r="Q36" s="107"/>
      <c r="R36" s="96">
        <v>8.3185096153846168</v>
      </c>
      <c r="T36" s="98"/>
    </row>
    <row r="37" spans="1:20" x14ac:dyDescent="0.15">
      <c r="A37" s="38">
        <f t="shared" si="0"/>
        <v>1683</v>
      </c>
      <c r="B37" s="109"/>
      <c r="C37" s="109"/>
      <c r="D37" s="109">
        <v>0.18391990291262136</v>
      </c>
      <c r="E37" s="109"/>
      <c r="F37" s="109"/>
      <c r="G37" s="109"/>
      <c r="H37" s="109"/>
      <c r="I37" s="109"/>
      <c r="J37" s="109"/>
      <c r="K37" s="109"/>
      <c r="L37" s="109"/>
      <c r="N37" s="107">
        <f t="shared" ref="N37:N38" si="2">D37/1.2</f>
        <v>0.1532665857605178</v>
      </c>
      <c r="O37" s="24">
        <f t="shared" ref="O37:O39" si="3">N37*7.69</f>
        <v>1.1786200444983819</v>
      </c>
      <c r="P37" s="107"/>
      <c r="Q37" s="107"/>
      <c r="R37" s="96">
        <v>8.3185096153846168</v>
      </c>
      <c r="S37" s="96">
        <v>1.1786200444983819</v>
      </c>
      <c r="T37" s="24">
        <v>1.1786200444983819</v>
      </c>
    </row>
    <row r="38" spans="1:20" x14ac:dyDescent="0.15">
      <c r="A38" s="38">
        <f t="shared" si="0"/>
        <v>1684</v>
      </c>
      <c r="B38" s="109"/>
      <c r="C38" s="109"/>
      <c r="D38" s="109">
        <v>0.18391990291262136</v>
      </c>
      <c r="E38" s="109"/>
      <c r="F38" s="109"/>
      <c r="G38" s="109"/>
      <c r="H38" s="109"/>
      <c r="I38" s="109"/>
      <c r="J38" s="109"/>
      <c r="K38" s="109"/>
      <c r="L38" s="109"/>
      <c r="N38" s="107">
        <f t="shared" si="2"/>
        <v>0.1532665857605178</v>
      </c>
      <c r="O38" s="24">
        <f t="shared" si="3"/>
        <v>1.1786200444983819</v>
      </c>
      <c r="P38" s="107"/>
      <c r="Q38" s="107"/>
      <c r="R38" s="96">
        <v>10.313006072874495</v>
      </c>
      <c r="S38" s="96">
        <v>1.1786200444983819</v>
      </c>
      <c r="T38" s="24">
        <v>1.1786200444983819</v>
      </c>
    </row>
    <row r="39" spans="1:20" x14ac:dyDescent="0.15">
      <c r="A39" s="38">
        <f t="shared" si="0"/>
        <v>1685</v>
      </c>
      <c r="B39" s="109"/>
      <c r="C39" s="109"/>
      <c r="D39" s="109">
        <v>0.3</v>
      </c>
      <c r="E39" s="109">
        <v>10</v>
      </c>
      <c r="F39" s="109"/>
      <c r="G39" s="109"/>
      <c r="H39" s="109"/>
      <c r="I39" s="109"/>
      <c r="J39" s="109"/>
      <c r="K39" s="109"/>
      <c r="L39" s="109"/>
      <c r="N39" s="91">
        <f>(E39/(153.6/2)+D39/1.2)/2</f>
        <v>0.19010416666666669</v>
      </c>
      <c r="O39" s="24">
        <f t="shared" si="3"/>
        <v>1.4619010416666669</v>
      </c>
      <c r="P39" s="91"/>
      <c r="Q39" s="91"/>
      <c r="R39" s="96">
        <v>13.021934786060175</v>
      </c>
      <c r="S39" s="96">
        <v>1.4619010416666669</v>
      </c>
      <c r="T39" s="24">
        <v>1.4619010416666669</v>
      </c>
    </row>
    <row r="40" spans="1:20" x14ac:dyDescent="0.15">
      <c r="A40" s="38">
        <f t="shared" si="0"/>
        <v>1686</v>
      </c>
      <c r="B40" s="109"/>
      <c r="C40" s="109"/>
      <c r="D40" s="109">
        <v>7.8125E-2</v>
      </c>
      <c r="E40" s="109"/>
      <c r="F40" s="109"/>
      <c r="G40" s="109"/>
      <c r="H40" s="109"/>
      <c r="I40" s="109"/>
      <c r="J40" s="109"/>
      <c r="K40" s="109"/>
      <c r="L40" s="109"/>
      <c r="N40" s="107">
        <f>D40/1.2</f>
        <v>6.5104166666666671E-2</v>
      </c>
      <c r="O40" s="24">
        <f>N40*7.69</f>
        <v>0.50065104166666674</v>
      </c>
      <c r="P40" s="107"/>
      <c r="Q40" s="107"/>
      <c r="R40" s="96">
        <v>13.143610039220649</v>
      </c>
      <c r="S40" s="96">
        <v>0.50065104166666674</v>
      </c>
      <c r="T40" s="24">
        <v>0.50065104166666674</v>
      </c>
    </row>
    <row r="41" spans="1:20" x14ac:dyDescent="0.15">
      <c r="A41" s="38">
        <f t="shared" si="0"/>
        <v>1687</v>
      </c>
      <c r="B41" s="109"/>
      <c r="C41" s="109"/>
      <c r="D41" s="109"/>
      <c r="E41" s="109"/>
      <c r="F41" s="109"/>
      <c r="G41" s="109"/>
      <c r="H41" s="109"/>
      <c r="I41" s="109"/>
      <c r="J41" s="109"/>
      <c r="K41" s="109"/>
      <c r="L41" s="109"/>
      <c r="N41" s="107"/>
      <c r="P41" s="107"/>
      <c r="Q41" s="107"/>
    </row>
    <row r="42" spans="1:20" x14ac:dyDescent="0.15">
      <c r="A42" s="38">
        <f t="shared" si="0"/>
        <v>1688</v>
      </c>
      <c r="B42" s="109"/>
      <c r="C42" s="109"/>
      <c r="D42" s="109">
        <v>7.8125E-2</v>
      </c>
      <c r="E42" s="109"/>
      <c r="F42" s="109"/>
      <c r="G42" s="109"/>
      <c r="H42" s="109"/>
      <c r="I42" s="109"/>
      <c r="J42" s="109"/>
      <c r="K42" s="109"/>
      <c r="L42" s="109"/>
      <c r="N42" s="107">
        <f t="shared" ref="N42:N45" si="4">D42/1.2</f>
        <v>6.5104166666666671E-2</v>
      </c>
      <c r="O42" s="24">
        <f t="shared" ref="O42:O45" si="5">N42*7.69</f>
        <v>0.50065104166666674</v>
      </c>
      <c r="P42" s="107"/>
      <c r="Q42" s="107"/>
      <c r="S42" s="96">
        <v>0.50065104166666674</v>
      </c>
      <c r="T42" s="24">
        <v>0.50065104166666674</v>
      </c>
    </row>
    <row r="43" spans="1:20" x14ac:dyDescent="0.15">
      <c r="A43" s="38">
        <f t="shared" si="0"/>
        <v>1689</v>
      </c>
      <c r="B43" s="109"/>
      <c r="C43" s="109"/>
      <c r="D43" s="109">
        <v>7.5000000000000011E-2</v>
      </c>
      <c r="E43" s="109"/>
      <c r="F43" s="109"/>
      <c r="G43" s="109"/>
      <c r="H43" s="109"/>
      <c r="I43" s="109"/>
      <c r="J43" s="109"/>
      <c r="K43" s="109"/>
      <c r="L43" s="109"/>
      <c r="N43" s="107">
        <f t="shared" si="4"/>
        <v>6.2500000000000014E-2</v>
      </c>
      <c r="O43" s="24">
        <f t="shared" si="5"/>
        <v>0.48062500000000014</v>
      </c>
      <c r="P43" s="107"/>
      <c r="Q43" s="107"/>
      <c r="R43" s="96">
        <v>14.010121457489879</v>
      </c>
      <c r="S43" s="96">
        <v>0.48062500000000014</v>
      </c>
      <c r="T43" s="24">
        <v>0.48062500000000014</v>
      </c>
    </row>
    <row r="44" spans="1:20" x14ac:dyDescent="0.15">
      <c r="A44" s="38">
        <f t="shared" si="0"/>
        <v>1690</v>
      </c>
      <c r="B44" s="109"/>
      <c r="C44" s="109"/>
      <c r="D44" s="109">
        <v>7.8125E-2</v>
      </c>
      <c r="E44" s="109"/>
      <c r="F44" s="109"/>
      <c r="G44" s="109"/>
      <c r="H44" s="109"/>
      <c r="I44" s="109"/>
      <c r="J44" s="109"/>
      <c r="K44" s="109"/>
      <c r="L44" s="109"/>
      <c r="N44" s="107">
        <f t="shared" si="4"/>
        <v>6.5104166666666671E-2</v>
      </c>
      <c r="O44" s="24">
        <f t="shared" si="5"/>
        <v>0.50065104166666674</v>
      </c>
      <c r="P44" s="107"/>
      <c r="Q44" s="107"/>
      <c r="R44" s="96">
        <v>14.01012145748988</v>
      </c>
      <c r="S44" s="96">
        <v>0.50065104166666674</v>
      </c>
      <c r="T44" s="24">
        <v>0.50065104166666674</v>
      </c>
    </row>
    <row r="45" spans="1:20" x14ac:dyDescent="0.15">
      <c r="A45" s="38">
        <f t="shared" si="0"/>
        <v>1691</v>
      </c>
      <c r="B45" s="109"/>
      <c r="C45" s="109"/>
      <c r="D45" s="109">
        <v>7.8125E-2</v>
      </c>
      <c r="E45" s="109"/>
      <c r="F45" s="109"/>
      <c r="G45" s="109"/>
      <c r="H45" s="109"/>
      <c r="I45" s="109"/>
      <c r="J45" s="109"/>
      <c r="K45" s="109"/>
      <c r="L45" s="109"/>
      <c r="N45" s="107">
        <f t="shared" si="4"/>
        <v>6.5104166666666671E-2</v>
      </c>
      <c r="O45" s="24">
        <f t="shared" si="5"/>
        <v>0.50065104166666674</v>
      </c>
      <c r="P45" s="107"/>
      <c r="Q45" s="107"/>
      <c r="S45" s="96">
        <v>0.50065104166666674</v>
      </c>
      <c r="T45" s="24">
        <v>0.50065104166666674</v>
      </c>
    </row>
    <row r="46" spans="1:20" x14ac:dyDescent="0.15">
      <c r="A46" s="38">
        <f t="shared" si="0"/>
        <v>1692</v>
      </c>
      <c r="B46" s="109"/>
      <c r="C46" s="109"/>
      <c r="D46" s="109"/>
      <c r="E46" s="109">
        <v>6.4</v>
      </c>
      <c r="F46" s="109"/>
      <c r="G46" s="109"/>
      <c r="H46" s="109"/>
      <c r="I46" s="109"/>
      <c r="J46" s="109"/>
      <c r="K46" s="109"/>
      <c r="L46" s="109"/>
      <c r="N46" s="91">
        <f>E46/(153.6/2)</f>
        <v>8.3333333333333343E-2</v>
      </c>
      <c r="O46" s="24">
        <f t="shared" ref="O46:O48" si="6">N46*7.69</f>
        <v>0.64083333333333348</v>
      </c>
      <c r="P46" s="91"/>
      <c r="Q46" s="91"/>
      <c r="R46" s="96">
        <v>7.0050607287449402</v>
      </c>
      <c r="S46" s="96">
        <v>0.64083333333333348</v>
      </c>
      <c r="T46" s="24">
        <v>0.64083333333333348</v>
      </c>
    </row>
    <row r="47" spans="1:20" x14ac:dyDescent="0.15">
      <c r="A47" s="38">
        <f t="shared" si="0"/>
        <v>1693</v>
      </c>
      <c r="B47" s="109"/>
      <c r="C47" s="109"/>
      <c r="D47" s="109"/>
      <c r="E47" s="109">
        <v>5</v>
      </c>
      <c r="F47" s="109"/>
      <c r="G47" s="109"/>
      <c r="H47" s="109"/>
      <c r="I47" s="109"/>
      <c r="J47" s="109"/>
      <c r="K47" s="109"/>
      <c r="L47" s="109"/>
      <c r="N47" s="91">
        <f t="shared" ref="N47:N48" si="7">E47/(153.6/2)</f>
        <v>6.5104166666666671E-2</v>
      </c>
      <c r="O47" s="24">
        <f t="shared" si="6"/>
        <v>0.50065104166666674</v>
      </c>
      <c r="P47" s="91"/>
      <c r="Q47" s="91"/>
      <c r="R47" s="96">
        <v>7.0050607287449402</v>
      </c>
      <c r="S47" s="96">
        <v>0.50065104166666674</v>
      </c>
      <c r="T47" s="24">
        <v>0.50065104166666674</v>
      </c>
    </row>
    <row r="48" spans="1:20" x14ac:dyDescent="0.15">
      <c r="A48" s="38">
        <f t="shared" si="0"/>
        <v>1694</v>
      </c>
      <c r="B48" s="109"/>
      <c r="C48" s="109"/>
      <c r="D48" s="109"/>
      <c r="E48" s="109">
        <v>9</v>
      </c>
      <c r="F48" s="109"/>
      <c r="G48" s="109"/>
      <c r="H48" s="109"/>
      <c r="I48" s="109"/>
      <c r="J48" s="109"/>
      <c r="K48" s="109"/>
      <c r="L48" s="109"/>
      <c r="N48" s="91">
        <f t="shared" si="7"/>
        <v>0.1171875</v>
      </c>
      <c r="O48" s="24">
        <f t="shared" si="6"/>
        <v>0.90117187500000007</v>
      </c>
      <c r="P48" s="91"/>
      <c r="Q48" s="91"/>
      <c r="S48" s="96">
        <v>0.90117187500000007</v>
      </c>
      <c r="T48" s="24">
        <v>0.90117187500000007</v>
      </c>
    </row>
    <row r="49" spans="1:20" x14ac:dyDescent="0.15">
      <c r="A49" s="38">
        <f t="shared" si="0"/>
        <v>1695</v>
      </c>
      <c r="B49" s="109"/>
      <c r="C49" s="109"/>
      <c r="D49" s="109"/>
      <c r="E49" s="109"/>
      <c r="F49" s="109">
        <v>25</v>
      </c>
      <c r="G49" s="109"/>
      <c r="H49" s="109"/>
      <c r="I49" s="109"/>
      <c r="J49" s="109"/>
      <c r="K49" s="109"/>
      <c r="L49" s="109"/>
      <c r="N49" s="91">
        <f>F49/153.6</f>
        <v>0.16276041666666669</v>
      </c>
      <c r="O49" s="24">
        <f>N49*7.69</f>
        <v>1.251627604166667</v>
      </c>
      <c r="P49" s="91"/>
      <c r="Q49" s="91"/>
      <c r="S49" s="96">
        <v>1.251627604166667</v>
      </c>
      <c r="T49" s="24">
        <v>1.251627604166667</v>
      </c>
    </row>
    <row r="50" spans="1:20" x14ac:dyDescent="0.15">
      <c r="A50" s="38">
        <f t="shared" si="0"/>
        <v>1696</v>
      </c>
      <c r="B50" s="109"/>
      <c r="C50" s="109"/>
      <c r="D50" s="109"/>
      <c r="E50" s="109"/>
      <c r="F50" s="109">
        <v>12</v>
      </c>
      <c r="G50" s="109"/>
      <c r="H50" s="109"/>
      <c r="I50" s="109"/>
      <c r="J50" s="109"/>
      <c r="K50" s="109"/>
      <c r="L50" s="109"/>
      <c r="N50" s="91">
        <f>F50/153.6</f>
        <v>7.8125E-2</v>
      </c>
      <c r="O50" s="24">
        <f>N50*7.69</f>
        <v>0.60078125000000004</v>
      </c>
      <c r="P50" s="91"/>
      <c r="Q50" s="91"/>
      <c r="S50" s="96">
        <v>0.60078125000000004</v>
      </c>
      <c r="T50" s="24">
        <v>0.60078125000000004</v>
      </c>
    </row>
    <row r="51" spans="1:20" x14ac:dyDescent="0.15">
      <c r="A51" s="38">
        <f t="shared" si="0"/>
        <v>1697</v>
      </c>
      <c r="B51" s="109"/>
      <c r="C51" s="109"/>
      <c r="D51" s="109">
        <v>0.1</v>
      </c>
      <c r="E51" s="109"/>
      <c r="F51" s="109"/>
      <c r="G51" s="109"/>
      <c r="H51" s="109"/>
      <c r="I51" s="109"/>
      <c r="J51" s="109"/>
      <c r="K51" s="109"/>
      <c r="L51" s="109"/>
      <c r="N51" s="107">
        <f t="shared" ref="N51:N58" si="8">D51/1.2</f>
        <v>8.3333333333333343E-2</v>
      </c>
      <c r="O51" s="24">
        <f t="shared" ref="O51:O60" si="9">N51*7.69</f>
        <v>0.64083333333333348</v>
      </c>
      <c r="P51" s="107"/>
      <c r="Q51" s="107"/>
      <c r="R51" s="96">
        <v>7.7834008097165999</v>
      </c>
      <c r="S51" s="96">
        <v>0.64083333333333348</v>
      </c>
      <c r="T51" s="24">
        <v>0.64083333333333348</v>
      </c>
    </row>
    <row r="52" spans="1:20" x14ac:dyDescent="0.15">
      <c r="A52" s="38">
        <f t="shared" si="0"/>
        <v>1698</v>
      </c>
      <c r="B52" s="109"/>
      <c r="C52" s="109"/>
      <c r="D52" s="109">
        <v>0.1</v>
      </c>
      <c r="E52" s="109"/>
      <c r="F52" s="109"/>
      <c r="G52" s="109"/>
      <c r="H52" s="109"/>
      <c r="I52" s="109"/>
      <c r="J52" s="109"/>
      <c r="K52" s="109"/>
      <c r="L52" s="109"/>
      <c r="N52" s="107">
        <f t="shared" si="8"/>
        <v>8.3333333333333343E-2</v>
      </c>
      <c r="O52" s="24">
        <f t="shared" si="9"/>
        <v>0.64083333333333348</v>
      </c>
      <c r="P52" s="107"/>
      <c r="Q52" s="107"/>
      <c r="R52" s="96">
        <v>9.3400809716599191</v>
      </c>
      <c r="S52" s="96">
        <v>0.64083333333333348</v>
      </c>
      <c r="T52" s="24">
        <v>0.64083333333333348</v>
      </c>
    </row>
    <row r="53" spans="1:20" x14ac:dyDescent="0.15">
      <c r="A53" s="38">
        <f>A54-1</f>
        <v>1699</v>
      </c>
      <c r="B53" s="109"/>
      <c r="C53" s="109"/>
      <c r="D53" s="109">
        <v>0.1</v>
      </c>
      <c r="E53" s="109"/>
      <c r="F53" s="109"/>
      <c r="G53" s="109"/>
      <c r="H53" s="109"/>
      <c r="I53" s="109"/>
      <c r="J53" s="109"/>
      <c r="K53" s="109"/>
      <c r="L53" s="109"/>
      <c r="N53" s="107">
        <f t="shared" si="8"/>
        <v>8.3333333333333343E-2</v>
      </c>
      <c r="O53" s="24">
        <f t="shared" si="9"/>
        <v>0.64083333333333348</v>
      </c>
      <c r="P53" s="107"/>
      <c r="Q53" s="107"/>
      <c r="R53" s="96">
        <v>9.3400809716599191</v>
      </c>
      <c r="S53" s="96">
        <v>0.64083333333333348</v>
      </c>
      <c r="T53" s="24">
        <v>0.64083333333333348</v>
      </c>
    </row>
    <row r="54" spans="1:20" x14ac:dyDescent="0.15">
      <c r="A54" s="38">
        <v>1700</v>
      </c>
      <c r="B54" s="109"/>
      <c r="C54" s="109"/>
      <c r="D54" s="109">
        <v>8.7499999999999994E-2</v>
      </c>
      <c r="E54" s="109"/>
      <c r="F54" s="109"/>
      <c r="G54" s="109"/>
      <c r="H54" s="109"/>
      <c r="I54" s="109"/>
      <c r="J54" s="109"/>
      <c r="K54" s="109"/>
      <c r="L54" s="109"/>
      <c r="N54" s="107">
        <f t="shared" si="8"/>
        <v>7.2916666666666671E-2</v>
      </c>
      <c r="O54" s="24">
        <f t="shared" si="9"/>
        <v>0.56072916666666672</v>
      </c>
      <c r="P54" s="107"/>
      <c r="Q54" s="107"/>
      <c r="R54" s="96">
        <v>7.3942307692307701</v>
      </c>
      <c r="S54" s="96">
        <v>0.56072916666666672</v>
      </c>
      <c r="T54" s="24">
        <v>0.56072916666666672</v>
      </c>
    </row>
    <row r="55" spans="1:20" x14ac:dyDescent="0.15">
      <c r="A55" s="38">
        <v>1701</v>
      </c>
      <c r="B55" s="109"/>
      <c r="C55" s="109"/>
      <c r="D55" s="109">
        <v>0.30624999999999997</v>
      </c>
      <c r="E55" s="109"/>
      <c r="F55" s="109"/>
      <c r="G55" s="109"/>
      <c r="H55" s="109"/>
      <c r="I55" s="109"/>
      <c r="J55" s="109"/>
      <c r="K55" s="109"/>
      <c r="L55" s="109"/>
      <c r="N55" s="107">
        <f t="shared" si="8"/>
        <v>0.25520833333333331</v>
      </c>
      <c r="O55" s="24">
        <f t="shared" si="9"/>
        <v>1.9625520833333332</v>
      </c>
      <c r="P55" s="107"/>
      <c r="Q55" s="107"/>
      <c r="R55" s="96">
        <v>8.8730769230769244</v>
      </c>
      <c r="S55" s="96">
        <v>1.9625520833333332</v>
      </c>
      <c r="T55" s="24">
        <v>1.9625520833333332</v>
      </c>
    </row>
    <row r="56" spans="1:20" x14ac:dyDescent="0.15">
      <c r="A56" s="38">
        <v>1702</v>
      </c>
      <c r="B56" s="109"/>
      <c r="C56" s="109"/>
      <c r="D56" s="109">
        <v>0.1</v>
      </c>
      <c r="E56" s="109"/>
      <c r="F56" s="109"/>
      <c r="G56" s="109"/>
      <c r="H56" s="109"/>
      <c r="I56" s="109"/>
      <c r="J56" s="109"/>
      <c r="K56" s="109"/>
      <c r="L56" s="109"/>
      <c r="N56" s="107">
        <f t="shared" si="8"/>
        <v>8.3333333333333343E-2</v>
      </c>
      <c r="O56" s="24">
        <f t="shared" si="9"/>
        <v>0.64083333333333348</v>
      </c>
      <c r="P56" s="107"/>
      <c r="Q56" s="107"/>
      <c r="R56" s="96">
        <v>7.0050607287449402</v>
      </c>
      <c r="S56" s="96">
        <v>0.64083333333333348</v>
      </c>
      <c r="T56" s="24">
        <v>0.64083333333333348</v>
      </c>
    </row>
    <row r="57" spans="1:20" x14ac:dyDescent="0.15">
      <c r="A57" s="38">
        <v>1703</v>
      </c>
      <c r="B57" s="109"/>
      <c r="C57" s="109"/>
      <c r="D57" s="109">
        <v>9.9999999999999992E-2</v>
      </c>
      <c r="E57" s="109"/>
      <c r="F57" s="109"/>
      <c r="G57" s="109"/>
      <c r="H57" s="109"/>
      <c r="I57" s="109"/>
      <c r="J57" s="109"/>
      <c r="K57" s="109"/>
      <c r="L57" s="109"/>
      <c r="N57" s="107">
        <f t="shared" si="8"/>
        <v>8.3333333333333329E-2</v>
      </c>
      <c r="O57" s="24">
        <f t="shared" si="9"/>
        <v>0.64083333333333337</v>
      </c>
      <c r="P57" s="107"/>
      <c r="Q57" s="107"/>
      <c r="R57" s="96">
        <v>9.4639078027235932</v>
      </c>
      <c r="S57" s="96">
        <v>0.64083333333333337</v>
      </c>
      <c r="T57" s="24">
        <v>0.64083333333333337</v>
      </c>
    </row>
    <row r="58" spans="1:20" x14ac:dyDescent="0.15">
      <c r="A58" s="38">
        <v>1704</v>
      </c>
      <c r="B58" s="109"/>
      <c r="C58" s="109"/>
      <c r="D58" s="109">
        <v>0.1</v>
      </c>
      <c r="E58" s="109"/>
      <c r="F58" s="109"/>
      <c r="G58" s="109"/>
      <c r="H58" s="109"/>
      <c r="I58" s="109"/>
      <c r="J58" s="109"/>
      <c r="K58" s="109"/>
      <c r="L58" s="109"/>
      <c r="N58" s="107">
        <f t="shared" si="8"/>
        <v>8.3333333333333343E-2</v>
      </c>
      <c r="O58" s="24">
        <f t="shared" si="9"/>
        <v>0.64083333333333348</v>
      </c>
      <c r="P58" s="107"/>
      <c r="Q58" s="107"/>
      <c r="S58" s="96">
        <v>0.64083333333333348</v>
      </c>
      <c r="T58" s="24">
        <v>0.64083333333333348</v>
      </c>
    </row>
    <row r="59" spans="1:20" x14ac:dyDescent="0.15">
      <c r="A59" s="38">
        <v>1705</v>
      </c>
      <c r="B59" s="109"/>
      <c r="C59" s="109"/>
      <c r="D59" s="109"/>
      <c r="E59" s="109"/>
      <c r="F59" s="109"/>
      <c r="G59" s="109"/>
      <c r="H59" s="109">
        <v>9.9999999999999992E-2</v>
      </c>
      <c r="I59" s="109"/>
      <c r="J59" s="109"/>
      <c r="K59" s="109"/>
      <c r="L59" s="109"/>
      <c r="N59" s="107">
        <f>H59/1.2</f>
        <v>8.3333333333333329E-2</v>
      </c>
      <c r="O59" s="24">
        <f t="shared" si="9"/>
        <v>0.64083333333333337</v>
      </c>
      <c r="P59" s="107"/>
      <c r="Q59" s="107"/>
      <c r="S59" s="96">
        <v>0.64083333333333337</v>
      </c>
      <c r="T59" s="24">
        <v>0.64083333333333337</v>
      </c>
    </row>
    <row r="60" spans="1:20" x14ac:dyDescent="0.15">
      <c r="A60" s="38">
        <v>1706</v>
      </c>
      <c r="B60" s="109"/>
      <c r="C60" s="109"/>
      <c r="D60" s="109"/>
      <c r="E60" s="109"/>
      <c r="F60" s="109"/>
      <c r="G60" s="109"/>
      <c r="H60" s="109">
        <v>9.9999999999999992E-2</v>
      </c>
      <c r="I60" s="109"/>
      <c r="J60" s="109"/>
      <c r="K60" s="109"/>
      <c r="L60" s="109"/>
      <c r="N60" s="107">
        <f>H60/1.2</f>
        <v>8.3333333333333329E-2</v>
      </c>
      <c r="O60" s="24">
        <f t="shared" si="9"/>
        <v>0.64083333333333337</v>
      </c>
      <c r="P60" s="107"/>
      <c r="Q60" s="107"/>
      <c r="S60" s="96">
        <v>0.64083333333333337</v>
      </c>
      <c r="T60" s="24">
        <v>0.64083333333333337</v>
      </c>
    </row>
    <row r="61" spans="1:20" x14ac:dyDescent="0.15">
      <c r="A61" s="38">
        <v>1707</v>
      </c>
      <c r="B61" s="109"/>
      <c r="C61" s="109"/>
      <c r="D61" s="109"/>
      <c r="E61" s="109"/>
      <c r="F61" s="109"/>
      <c r="G61" s="109"/>
      <c r="H61" s="109"/>
      <c r="I61" s="109"/>
      <c r="J61" s="109"/>
      <c r="K61" s="109"/>
      <c r="L61" s="109"/>
      <c r="N61" s="107"/>
      <c r="P61" s="107"/>
      <c r="Q61" s="107"/>
    </row>
    <row r="62" spans="1:20" x14ac:dyDescent="0.15">
      <c r="A62" s="38">
        <v>1708</v>
      </c>
      <c r="B62" s="109"/>
      <c r="C62" s="109"/>
      <c r="D62" s="109"/>
      <c r="E62" s="109"/>
      <c r="F62" s="109"/>
      <c r="G62" s="109"/>
      <c r="H62" s="109">
        <v>0.2</v>
      </c>
      <c r="I62" s="109"/>
      <c r="J62" s="109"/>
      <c r="K62" s="109"/>
      <c r="L62" s="109"/>
      <c r="N62" s="107">
        <f>H62/1.2</f>
        <v>0.16666666666666669</v>
      </c>
      <c r="O62" s="24">
        <f>N62*7.69</f>
        <v>1.281666666666667</v>
      </c>
      <c r="P62" s="107"/>
      <c r="Q62" s="107"/>
      <c r="R62" s="96">
        <v>8.8536184210526301</v>
      </c>
      <c r="S62" s="96">
        <v>1.281666666666667</v>
      </c>
      <c r="T62" s="24">
        <v>1.281666666666667</v>
      </c>
    </row>
    <row r="63" spans="1:20" x14ac:dyDescent="0.15">
      <c r="A63" s="38">
        <v>1709</v>
      </c>
      <c r="B63" s="109"/>
      <c r="C63" s="109"/>
      <c r="D63" s="109"/>
      <c r="E63" s="109"/>
      <c r="F63" s="109"/>
      <c r="G63" s="109"/>
      <c r="H63" s="109"/>
      <c r="I63" s="109"/>
      <c r="J63" s="109"/>
      <c r="K63" s="109"/>
      <c r="L63" s="109"/>
      <c r="N63" s="107"/>
      <c r="P63" s="107"/>
      <c r="Q63" s="107"/>
    </row>
    <row r="64" spans="1:20" x14ac:dyDescent="0.15">
      <c r="A64" s="38">
        <v>1710</v>
      </c>
      <c r="B64" s="109"/>
      <c r="C64" s="109"/>
      <c r="D64" s="109"/>
      <c r="E64" s="109"/>
      <c r="F64" s="109"/>
      <c r="G64" s="109"/>
      <c r="H64" s="109"/>
      <c r="I64" s="109"/>
      <c r="J64" s="109"/>
      <c r="K64" s="109"/>
      <c r="L64" s="109"/>
      <c r="N64" s="107"/>
      <c r="P64" s="107"/>
      <c r="Q64" s="107"/>
    </row>
    <row r="65" spans="1:20" x14ac:dyDescent="0.15">
      <c r="A65" s="38">
        <v>1711</v>
      </c>
      <c r="B65" s="109"/>
      <c r="C65" s="109"/>
      <c r="D65" s="109"/>
      <c r="E65" s="109"/>
      <c r="F65" s="109"/>
      <c r="G65" s="109"/>
      <c r="H65" s="109">
        <v>9.9999999999999992E-2</v>
      </c>
      <c r="I65" s="109"/>
      <c r="J65" s="109"/>
      <c r="K65" s="109"/>
      <c r="L65" s="109"/>
      <c r="N65" s="107">
        <f t="shared" ref="N65:N69" si="10">H65/1.2</f>
        <v>8.3333333333333329E-2</v>
      </c>
      <c r="O65" s="24">
        <f t="shared" ref="O65:O69" si="11">N65*7.69</f>
        <v>0.64083333333333337</v>
      </c>
      <c r="P65" s="107"/>
      <c r="Q65" s="107"/>
      <c r="S65" s="96">
        <v>0.64083333333333337</v>
      </c>
      <c r="T65" s="24">
        <v>0.64083333333333337</v>
      </c>
    </row>
    <row r="66" spans="1:20" x14ac:dyDescent="0.15">
      <c r="A66" s="38">
        <v>1712</v>
      </c>
      <c r="B66" s="109"/>
      <c r="C66" s="109"/>
      <c r="D66" s="109"/>
      <c r="E66" s="109"/>
      <c r="F66" s="109"/>
      <c r="G66" s="109"/>
      <c r="H66" s="109">
        <v>9.9999999999999992E-2</v>
      </c>
      <c r="I66" s="109"/>
      <c r="J66" s="109"/>
      <c r="K66" s="109"/>
      <c r="L66" s="109"/>
      <c r="N66" s="107">
        <f t="shared" si="10"/>
        <v>8.3333333333333329E-2</v>
      </c>
      <c r="O66" s="24">
        <f t="shared" si="11"/>
        <v>0.64083333333333337</v>
      </c>
      <c r="P66" s="107"/>
      <c r="Q66" s="107"/>
      <c r="S66" s="96">
        <v>0.64083333333333337</v>
      </c>
      <c r="T66" s="24">
        <v>0.64083333333333337</v>
      </c>
    </row>
    <row r="67" spans="1:20" x14ac:dyDescent="0.15">
      <c r="A67" s="38">
        <v>1713</v>
      </c>
      <c r="B67" s="109"/>
      <c r="C67" s="109"/>
      <c r="D67" s="109"/>
      <c r="E67" s="109"/>
      <c r="F67" s="109"/>
      <c r="G67" s="109"/>
      <c r="H67" s="109">
        <v>9.9999999999999992E-2</v>
      </c>
      <c r="I67" s="109"/>
      <c r="J67" s="109"/>
      <c r="K67" s="109"/>
      <c r="L67" s="109"/>
      <c r="N67" s="107">
        <f t="shared" si="10"/>
        <v>8.3333333333333329E-2</v>
      </c>
      <c r="O67" s="24">
        <f t="shared" si="11"/>
        <v>0.64083333333333337</v>
      </c>
      <c r="P67" s="107"/>
      <c r="Q67" s="107"/>
      <c r="S67" s="96">
        <v>0.64083333333333337</v>
      </c>
      <c r="T67" s="24">
        <v>0.64083333333333337</v>
      </c>
    </row>
    <row r="68" spans="1:20" x14ac:dyDescent="0.15">
      <c r="A68" s="38">
        <v>1714</v>
      </c>
      <c r="B68" s="109"/>
      <c r="C68" s="109"/>
      <c r="D68" s="109"/>
      <c r="E68" s="109"/>
      <c r="F68" s="109"/>
      <c r="G68" s="109"/>
      <c r="H68" s="109">
        <v>9.9999999999999992E-2</v>
      </c>
      <c r="I68" s="109"/>
      <c r="J68" s="109"/>
      <c r="K68" s="109"/>
      <c r="L68" s="109"/>
      <c r="N68" s="107">
        <f t="shared" si="10"/>
        <v>8.3333333333333329E-2</v>
      </c>
      <c r="O68" s="24">
        <f t="shared" si="11"/>
        <v>0.64083333333333337</v>
      </c>
      <c r="P68" s="107"/>
      <c r="Q68" s="107"/>
      <c r="S68" s="96">
        <v>0.64083333333333337</v>
      </c>
      <c r="T68" s="24">
        <v>0.64083333333333337</v>
      </c>
    </row>
    <row r="69" spans="1:20" x14ac:dyDescent="0.15">
      <c r="A69" s="38">
        <v>1715</v>
      </c>
      <c r="B69" s="109"/>
      <c r="C69" s="109"/>
      <c r="D69" s="109"/>
      <c r="E69" s="109"/>
      <c r="F69" s="109"/>
      <c r="G69" s="109"/>
      <c r="H69" s="109">
        <v>9.9999999999999992E-2</v>
      </c>
      <c r="I69" s="109"/>
      <c r="J69" s="109"/>
      <c r="K69" s="109"/>
      <c r="L69" s="109"/>
      <c r="N69" s="107">
        <f t="shared" si="10"/>
        <v>8.3333333333333329E-2</v>
      </c>
      <c r="O69" s="24">
        <f t="shared" si="11"/>
        <v>0.64083333333333337</v>
      </c>
      <c r="P69" s="107"/>
      <c r="Q69" s="107"/>
      <c r="S69" s="96">
        <v>0.64083333333333337</v>
      </c>
      <c r="T69" s="24">
        <v>0.64083333333333337</v>
      </c>
    </row>
    <row r="70" spans="1:20" x14ac:dyDescent="0.15">
      <c r="A70" s="38">
        <v>1716</v>
      </c>
      <c r="B70" s="109"/>
      <c r="C70" s="109"/>
      <c r="D70" s="109"/>
      <c r="E70" s="109"/>
      <c r="F70" s="109"/>
      <c r="G70" s="109"/>
      <c r="H70" s="109"/>
      <c r="I70" s="109"/>
      <c r="J70" s="109"/>
      <c r="K70" s="109"/>
      <c r="L70" s="109"/>
      <c r="N70" s="107"/>
      <c r="P70" s="107"/>
      <c r="Q70" s="107"/>
      <c r="R70" s="96">
        <v>12.553513591671488</v>
      </c>
      <c r="T70" s="98"/>
    </row>
    <row r="71" spans="1:20" x14ac:dyDescent="0.15">
      <c r="A71" s="38">
        <v>1717</v>
      </c>
      <c r="B71" s="109"/>
      <c r="C71" s="109"/>
      <c r="D71" s="109"/>
      <c r="E71" s="109"/>
      <c r="F71" s="109"/>
      <c r="G71" s="109"/>
      <c r="H71" s="109">
        <v>0.1</v>
      </c>
      <c r="I71" s="109"/>
      <c r="J71" s="109"/>
      <c r="K71" s="109"/>
      <c r="L71" s="109"/>
      <c r="N71" s="107">
        <f>H71/1.2</f>
        <v>8.3333333333333343E-2</v>
      </c>
      <c r="O71" s="24">
        <f>N71*7.69</f>
        <v>0.64083333333333348</v>
      </c>
      <c r="P71" s="107"/>
      <c r="Q71" s="107"/>
      <c r="R71" s="96">
        <v>11.383223684210526</v>
      </c>
      <c r="S71" s="96">
        <v>0.64083333333333348</v>
      </c>
      <c r="T71" s="24">
        <v>0.64083333333333348</v>
      </c>
    </row>
    <row r="72" spans="1:20" x14ac:dyDescent="0.15">
      <c r="A72" s="38">
        <v>1718</v>
      </c>
      <c r="B72" s="109"/>
      <c r="C72" s="109"/>
      <c r="D72" s="109"/>
      <c r="E72" s="109"/>
      <c r="F72" s="109"/>
      <c r="G72" s="109"/>
      <c r="H72" s="109"/>
      <c r="I72" s="109"/>
      <c r="J72" s="109"/>
      <c r="K72" s="109"/>
      <c r="L72" s="109"/>
      <c r="N72" s="107"/>
      <c r="P72" s="107"/>
      <c r="Q72" s="107"/>
    </row>
    <row r="73" spans="1:20" x14ac:dyDescent="0.15">
      <c r="A73" s="38">
        <v>1719</v>
      </c>
      <c r="B73" s="109"/>
      <c r="C73" s="109"/>
      <c r="D73" s="109"/>
      <c r="E73" s="109"/>
      <c r="F73" s="109"/>
      <c r="G73" s="109"/>
      <c r="H73" s="109"/>
      <c r="I73" s="109"/>
      <c r="J73" s="109"/>
      <c r="K73" s="109"/>
      <c r="L73" s="109"/>
      <c r="N73" s="107"/>
      <c r="P73" s="107"/>
      <c r="Q73" s="107"/>
    </row>
    <row r="74" spans="1:20" x14ac:dyDescent="0.15">
      <c r="A74" s="38">
        <v>1720</v>
      </c>
      <c r="B74" s="109"/>
      <c r="C74" s="109"/>
      <c r="D74" s="109"/>
      <c r="E74" s="109"/>
      <c r="F74" s="109"/>
      <c r="G74" s="109"/>
      <c r="H74" s="109">
        <v>0.1</v>
      </c>
      <c r="I74" s="109"/>
      <c r="J74" s="109"/>
      <c r="K74" s="109"/>
      <c r="L74" s="109"/>
      <c r="N74" s="107">
        <f t="shared" ref="N74:N76" si="12">H74/1.2</f>
        <v>8.3333333333333343E-2</v>
      </c>
      <c r="O74" s="24">
        <f t="shared" ref="O74:O76" si="13">N74*7.69</f>
        <v>0.64083333333333348</v>
      </c>
      <c r="P74" s="107"/>
      <c r="Q74" s="107"/>
      <c r="R74" s="96">
        <v>10.313006072874495</v>
      </c>
      <c r="S74" s="96">
        <v>0.64083333333333348</v>
      </c>
      <c r="T74" s="24">
        <v>0.64083333333333348</v>
      </c>
    </row>
    <row r="75" spans="1:20" x14ac:dyDescent="0.15">
      <c r="A75" s="38">
        <v>1721</v>
      </c>
      <c r="B75" s="109"/>
      <c r="C75" s="109"/>
      <c r="D75" s="109"/>
      <c r="E75" s="109"/>
      <c r="F75" s="109"/>
      <c r="G75" s="109"/>
      <c r="H75" s="109">
        <v>0.1</v>
      </c>
      <c r="I75" s="109"/>
      <c r="J75" s="109"/>
      <c r="K75" s="109"/>
      <c r="L75" s="109"/>
      <c r="N75" s="107">
        <f t="shared" si="12"/>
        <v>8.3333333333333343E-2</v>
      </c>
      <c r="O75" s="24">
        <f t="shared" si="13"/>
        <v>0.64083333333333348</v>
      </c>
      <c r="P75" s="107"/>
      <c r="Q75" s="107"/>
      <c r="S75" s="96">
        <v>0.64083333333333348</v>
      </c>
      <c r="T75" s="24">
        <v>0.64083333333333348</v>
      </c>
    </row>
    <row r="76" spans="1:20" x14ac:dyDescent="0.15">
      <c r="A76" s="38">
        <v>1722</v>
      </c>
      <c r="B76" s="109"/>
      <c r="C76" s="109"/>
      <c r="D76" s="109"/>
      <c r="E76" s="109"/>
      <c r="F76" s="109"/>
      <c r="G76" s="109"/>
      <c r="H76" s="109">
        <v>9.9999999999999992E-2</v>
      </c>
      <c r="I76" s="109"/>
      <c r="J76" s="109"/>
      <c r="K76" s="109"/>
      <c r="L76" s="109"/>
      <c r="N76" s="107">
        <f t="shared" si="12"/>
        <v>8.3333333333333329E-2</v>
      </c>
      <c r="O76" s="24">
        <f t="shared" si="13"/>
        <v>0.64083333333333337</v>
      </c>
      <c r="P76" s="107"/>
      <c r="Q76" s="107"/>
      <c r="S76" s="96">
        <v>0.64083333333333337</v>
      </c>
      <c r="T76" s="24">
        <v>0.64083333333333337</v>
      </c>
    </row>
    <row r="77" spans="1:20" x14ac:dyDescent="0.15">
      <c r="A77" s="38">
        <v>1723</v>
      </c>
      <c r="B77" s="109"/>
      <c r="C77" s="109"/>
      <c r="D77" s="109"/>
      <c r="E77" s="109"/>
      <c r="F77" s="109"/>
      <c r="G77" s="109"/>
      <c r="H77" s="109"/>
      <c r="I77" s="109"/>
      <c r="J77" s="109"/>
      <c r="K77" s="109"/>
      <c r="L77" s="109"/>
      <c r="N77" s="107"/>
      <c r="P77" s="107"/>
      <c r="Q77" s="107"/>
    </row>
    <row r="78" spans="1:20" x14ac:dyDescent="0.15">
      <c r="A78" s="38">
        <v>1724</v>
      </c>
      <c r="B78" s="109">
        <v>0.17499999999999999</v>
      </c>
      <c r="C78" s="109"/>
      <c r="D78" s="109"/>
      <c r="E78" s="109"/>
      <c r="F78" s="109"/>
      <c r="G78" s="109"/>
      <c r="H78" s="109"/>
      <c r="I78" s="109"/>
      <c r="J78" s="109"/>
      <c r="K78" s="109"/>
      <c r="L78" s="109"/>
      <c r="N78" s="107">
        <f>B78/1.2*0.7</f>
        <v>0.10208333333333333</v>
      </c>
      <c r="O78" s="24">
        <f>N78*7.69</f>
        <v>0.78502083333333339</v>
      </c>
      <c r="P78" s="107"/>
      <c r="Q78" s="107"/>
      <c r="S78" s="96">
        <v>0.78502083333333339</v>
      </c>
      <c r="T78" s="24">
        <v>0.78502083333333339</v>
      </c>
    </row>
    <row r="79" spans="1:20" x14ac:dyDescent="0.15">
      <c r="A79" s="38">
        <v>1725</v>
      </c>
      <c r="B79" s="109"/>
      <c r="C79" s="109"/>
      <c r="D79" s="109"/>
      <c r="E79" s="109"/>
      <c r="F79" s="109"/>
      <c r="G79" s="109"/>
      <c r="H79" s="109"/>
      <c r="I79" s="109"/>
      <c r="J79" s="109"/>
      <c r="K79" s="109"/>
      <c r="L79" s="109"/>
      <c r="N79" s="107"/>
      <c r="P79" s="107"/>
      <c r="Q79" s="107"/>
    </row>
    <row r="80" spans="1:20" x14ac:dyDescent="0.15">
      <c r="A80" s="38">
        <v>1726</v>
      </c>
      <c r="B80" s="109"/>
      <c r="C80" s="109"/>
      <c r="D80" s="109"/>
      <c r="E80" s="109"/>
      <c r="F80" s="109"/>
      <c r="G80" s="109"/>
      <c r="H80" s="109"/>
      <c r="I80" s="109"/>
      <c r="J80" s="109"/>
      <c r="K80" s="109"/>
      <c r="L80" s="109"/>
      <c r="N80" s="107"/>
      <c r="P80" s="107"/>
      <c r="Q80" s="107"/>
    </row>
    <row r="81" spans="1:20" x14ac:dyDescent="0.15">
      <c r="A81" s="38">
        <v>1727</v>
      </c>
      <c r="B81" s="109"/>
      <c r="C81" s="109"/>
      <c r="D81" s="109"/>
      <c r="E81" s="109"/>
      <c r="F81" s="109"/>
      <c r="G81" s="109"/>
      <c r="H81" s="109"/>
      <c r="I81" s="109"/>
      <c r="J81" s="109"/>
      <c r="K81" s="109"/>
      <c r="L81" s="109"/>
      <c r="N81" s="107"/>
      <c r="P81" s="107"/>
      <c r="Q81" s="107"/>
    </row>
    <row r="82" spans="1:20" x14ac:dyDescent="0.15">
      <c r="A82" s="38">
        <v>1728</v>
      </c>
      <c r="B82" s="109"/>
      <c r="C82" s="109"/>
      <c r="D82" s="109"/>
      <c r="E82" s="109"/>
      <c r="F82" s="109"/>
      <c r="G82" s="109"/>
      <c r="H82" s="109"/>
      <c r="I82" s="109"/>
      <c r="J82" s="109"/>
      <c r="K82" s="109"/>
      <c r="L82" s="109"/>
      <c r="N82" s="107"/>
      <c r="P82" s="107"/>
      <c r="Q82" s="107"/>
    </row>
    <row r="83" spans="1:20" x14ac:dyDescent="0.15">
      <c r="A83" s="38">
        <v>1729</v>
      </c>
      <c r="B83" s="109"/>
      <c r="C83" s="109"/>
      <c r="D83" s="109"/>
      <c r="E83" s="109"/>
      <c r="F83" s="109"/>
      <c r="G83" s="109"/>
      <c r="H83" s="109">
        <v>9.9999999999999992E-2</v>
      </c>
      <c r="I83" s="109"/>
      <c r="J83" s="109"/>
      <c r="K83" s="109"/>
      <c r="L83" s="109"/>
      <c r="N83" s="107">
        <f>H83/1.2</f>
        <v>8.3333333333333329E-2</v>
      </c>
      <c r="O83" s="24">
        <f>N83*7.69</f>
        <v>0.64083333333333337</v>
      </c>
      <c r="P83" s="107"/>
      <c r="Q83" s="107"/>
      <c r="S83" s="96">
        <v>0.64083333333333337</v>
      </c>
      <c r="T83" s="24">
        <v>0.64083333333333337</v>
      </c>
    </row>
    <row r="84" spans="1:20" x14ac:dyDescent="0.15">
      <c r="A84" s="38">
        <v>1730</v>
      </c>
      <c r="B84" s="109"/>
      <c r="C84" s="109"/>
      <c r="D84" s="109"/>
      <c r="E84" s="109"/>
      <c r="F84" s="109"/>
      <c r="G84" s="109"/>
      <c r="H84" s="109"/>
      <c r="I84" s="109"/>
      <c r="J84" s="109"/>
      <c r="K84" s="109"/>
      <c r="L84" s="109"/>
      <c r="N84" s="107"/>
      <c r="P84" s="107"/>
      <c r="Q84" s="107"/>
    </row>
    <row r="85" spans="1:20" x14ac:dyDescent="0.15">
      <c r="A85" s="38">
        <v>1731</v>
      </c>
      <c r="B85" s="109"/>
      <c r="C85" s="109"/>
      <c r="D85" s="109"/>
      <c r="E85" s="109"/>
      <c r="F85" s="109"/>
      <c r="G85" s="109"/>
      <c r="H85" s="109"/>
      <c r="I85" s="109"/>
      <c r="J85" s="109"/>
      <c r="K85" s="109"/>
      <c r="L85" s="109"/>
      <c r="N85" s="107"/>
      <c r="P85" s="107"/>
      <c r="Q85" s="107"/>
    </row>
    <row r="86" spans="1:20" x14ac:dyDescent="0.15">
      <c r="A86" s="38">
        <v>1732</v>
      </c>
      <c r="B86" s="109"/>
      <c r="C86" s="109"/>
      <c r="D86" s="109"/>
      <c r="E86" s="109"/>
      <c r="F86" s="109"/>
      <c r="G86" s="109"/>
      <c r="H86" s="109">
        <v>9.9999999999999992E-2</v>
      </c>
      <c r="I86" s="109"/>
      <c r="J86" s="109"/>
      <c r="K86" s="109"/>
      <c r="L86" s="109"/>
      <c r="N86" s="107">
        <f t="shared" ref="N86:N96" si="14">H86/1.2</f>
        <v>8.3333333333333329E-2</v>
      </c>
      <c r="O86" s="24">
        <f t="shared" ref="O86:O91" si="15">N86*7.69</f>
        <v>0.64083333333333337</v>
      </c>
      <c r="P86" s="107"/>
      <c r="Q86" s="107"/>
      <c r="S86" s="96">
        <v>0.64083333333333337</v>
      </c>
      <c r="T86" s="24">
        <v>0.64083333333333337</v>
      </c>
    </row>
    <row r="87" spans="1:20" x14ac:dyDescent="0.15">
      <c r="A87" s="38">
        <v>1733</v>
      </c>
      <c r="B87" s="109"/>
      <c r="C87" s="109"/>
      <c r="D87" s="109"/>
      <c r="E87" s="109"/>
      <c r="F87" s="109"/>
      <c r="G87" s="109"/>
      <c r="H87" s="109">
        <v>9.9999999999999992E-2</v>
      </c>
      <c r="I87" s="109"/>
      <c r="J87" s="109"/>
      <c r="K87" s="109"/>
      <c r="L87" s="109"/>
      <c r="N87" s="107">
        <f t="shared" si="14"/>
        <v>8.3333333333333329E-2</v>
      </c>
      <c r="O87" s="24">
        <f t="shared" si="15"/>
        <v>0.64083333333333337</v>
      </c>
      <c r="P87" s="107"/>
      <c r="Q87" s="107"/>
      <c r="S87" s="96">
        <v>0.64083333333333337</v>
      </c>
      <c r="T87" s="24">
        <v>0.64083333333333337</v>
      </c>
    </row>
    <row r="88" spans="1:20" x14ac:dyDescent="0.15">
      <c r="A88" s="38">
        <v>1734</v>
      </c>
      <c r="B88" s="109"/>
      <c r="C88" s="109"/>
      <c r="D88" s="109"/>
      <c r="E88" s="109"/>
      <c r="F88" s="109"/>
      <c r="G88" s="109"/>
      <c r="H88" s="109">
        <v>9.9999999999999992E-2</v>
      </c>
      <c r="I88" s="109"/>
      <c r="J88" s="109"/>
      <c r="K88" s="109"/>
      <c r="L88" s="109"/>
      <c r="N88" s="107">
        <f t="shared" si="14"/>
        <v>8.3333333333333329E-2</v>
      </c>
      <c r="O88" s="24">
        <f t="shared" si="15"/>
        <v>0.64083333333333337</v>
      </c>
      <c r="P88" s="107"/>
      <c r="Q88" s="107"/>
      <c r="S88" s="96">
        <v>0.64083333333333337</v>
      </c>
      <c r="T88" s="24">
        <v>0.64083333333333337</v>
      </c>
    </row>
    <row r="89" spans="1:20" x14ac:dyDescent="0.15">
      <c r="A89" s="38">
        <v>1735</v>
      </c>
      <c r="B89" s="109"/>
      <c r="C89" s="109"/>
      <c r="D89" s="109"/>
      <c r="E89" s="109"/>
      <c r="F89" s="109"/>
      <c r="G89" s="109"/>
      <c r="H89" s="109">
        <v>9.9999999999999992E-2</v>
      </c>
      <c r="I89" s="109"/>
      <c r="J89" s="109"/>
      <c r="K89" s="109"/>
      <c r="L89" s="109"/>
      <c r="N89" s="107">
        <f t="shared" si="14"/>
        <v>8.3333333333333329E-2</v>
      </c>
      <c r="O89" s="24">
        <f t="shared" si="15"/>
        <v>0.64083333333333337</v>
      </c>
      <c r="P89" s="107"/>
      <c r="Q89" s="107"/>
      <c r="S89" s="96">
        <v>0.64083333333333337</v>
      </c>
      <c r="T89" s="24">
        <v>0.64083333333333337</v>
      </c>
    </row>
    <row r="90" spans="1:20" x14ac:dyDescent="0.15">
      <c r="A90" s="38">
        <v>1736</v>
      </c>
      <c r="B90" s="109">
        <v>0.14181818181818182</v>
      </c>
      <c r="C90" s="109"/>
      <c r="D90" s="109"/>
      <c r="E90" s="109"/>
      <c r="F90" s="109"/>
      <c r="G90" s="109"/>
      <c r="H90" s="109"/>
      <c r="I90" s="109"/>
      <c r="J90" s="109"/>
      <c r="K90" s="109"/>
      <c r="L90" s="109"/>
      <c r="N90" s="107">
        <f>B90/1.2*0.7</f>
        <v>8.2727272727272719E-2</v>
      </c>
      <c r="O90" s="24">
        <f t="shared" si="15"/>
        <v>0.63617272727272722</v>
      </c>
      <c r="P90" s="107"/>
      <c r="Q90" s="107"/>
      <c r="S90" s="96">
        <v>0.63617272727272722</v>
      </c>
      <c r="T90" s="24">
        <v>0.63617272727272722</v>
      </c>
    </row>
    <row r="91" spans="1:20" x14ac:dyDescent="0.15">
      <c r="A91" s="38">
        <v>1737</v>
      </c>
      <c r="B91" s="109"/>
      <c r="C91" s="109"/>
      <c r="D91" s="109"/>
      <c r="E91" s="109"/>
      <c r="F91" s="109"/>
      <c r="G91" s="109"/>
      <c r="H91" s="109">
        <v>9.9999999999999992E-2</v>
      </c>
      <c r="I91" s="109"/>
      <c r="J91" s="109"/>
      <c r="K91" s="109"/>
      <c r="L91" s="109"/>
      <c r="N91" s="107">
        <f t="shared" si="14"/>
        <v>8.3333333333333329E-2</v>
      </c>
      <c r="O91" s="24">
        <f t="shared" si="15"/>
        <v>0.64083333333333337</v>
      </c>
      <c r="P91" s="107"/>
      <c r="Q91" s="107"/>
      <c r="S91" s="96">
        <v>0.64083333333333337</v>
      </c>
      <c r="T91" s="24">
        <v>0.64083333333333337</v>
      </c>
    </row>
    <row r="92" spans="1:20" x14ac:dyDescent="0.15">
      <c r="A92" s="38">
        <v>1738</v>
      </c>
      <c r="B92" s="109"/>
      <c r="C92" s="109"/>
      <c r="D92" s="109"/>
      <c r="E92" s="109"/>
      <c r="F92" s="109"/>
      <c r="G92" s="109"/>
      <c r="H92" s="109"/>
      <c r="I92" s="109"/>
      <c r="J92" s="109"/>
      <c r="K92" s="109"/>
      <c r="L92" s="109"/>
      <c r="N92" s="107"/>
      <c r="P92" s="107"/>
      <c r="Q92" s="107"/>
    </row>
    <row r="93" spans="1:20" x14ac:dyDescent="0.15">
      <c r="A93" s="38">
        <v>1739</v>
      </c>
      <c r="B93" s="109"/>
      <c r="C93" s="109"/>
      <c r="D93" s="109"/>
      <c r="E93" s="109"/>
      <c r="F93" s="109"/>
      <c r="G93" s="109"/>
      <c r="H93" s="109">
        <v>9.9999999999999992E-2</v>
      </c>
      <c r="I93" s="109"/>
      <c r="J93" s="109"/>
      <c r="K93" s="109"/>
      <c r="L93" s="109"/>
      <c r="N93" s="107">
        <f t="shared" si="14"/>
        <v>8.3333333333333329E-2</v>
      </c>
      <c r="O93" s="24">
        <f>N93*7.69</f>
        <v>0.64083333333333337</v>
      </c>
      <c r="P93" s="107"/>
      <c r="Q93" s="107"/>
      <c r="S93" s="96">
        <v>0.64083333333333337</v>
      </c>
      <c r="T93" s="24">
        <v>0.64083333333333337</v>
      </c>
    </row>
    <row r="94" spans="1:20" x14ac:dyDescent="0.15">
      <c r="A94" s="38">
        <v>1740</v>
      </c>
      <c r="B94" s="109"/>
      <c r="C94" s="109"/>
      <c r="D94" s="109"/>
      <c r="E94" s="109"/>
      <c r="F94" s="109"/>
      <c r="G94" s="109"/>
      <c r="H94" s="109"/>
      <c r="I94" s="109"/>
      <c r="J94" s="109"/>
      <c r="K94" s="109"/>
      <c r="L94" s="109"/>
      <c r="N94" s="107"/>
      <c r="P94" s="107"/>
      <c r="Q94" s="107"/>
    </row>
    <row r="95" spans="1:20" x14ac:dyDescent="0.15">
      <c r="A95" s="38">
        <v>1741</v>
      </c>
      <c r="B95" s="109">
        <v>0.18137254901960784</v>
      </c>
      <c r="C95" s="109"/>
      <c r="D95" s="109"/>
      <c r="E95" s="109"/>
      <c r="F95" s="109"/>
      <c r="G95" s="109"/>
      <c r="H95" s="109"/>
      <c r="I95" s="109"/>
      <c r="J95" s="109"/>
      <c r="K95" s="109"/>
      <c r="L95" s="109"/>
      <c r="N95" s="107">
        <f>B95/1.2*0.7</f>
        <v>0.10580065359477123</v>
      </c>
      <c r="O95" s="24">
        <f>N95*7.69</f>
        <v>0.81360702614379077</v>
      </c>
      <c r="P95" s="107"/>
      <c r="Q95" s="107"/>
      <c r="R95" s="96">
        <v>9.5735829959514174</v>
      </c>
      <c r="S95" s="96">
        <v>0.81360702614379077</v>
      </c>
      <c r="T95" s="24">
        <v>0.81360702614379077</v>
      </c>
    </row>
    <row r="96" spans="1:20" x14ac:dyDescent="0.15">
      <c r="A96" s="38">
        <v>1742</v>
      </c>
      <c r="B96" s="109"/>
      <c r="C96" s="109"/>
      <c r="D96" s="109"/>
      <c r="E96" s="109"/>
      <c r="F96" s="109"/>
      <c r="G96" s="109"/>
      <c r="H96" s="109">
        <v>9.9999999999999992E-2</v>
      </c>
      <c r="I96" s="109"/>
      <c r="J96" s="109"/>
      <c r="K96" s="109"/>
      <c r="L96" s="109"/>
      <c r="N96" s="107">
        <f t="shared" si="14"/>
        <v>8.3333333333333329E-2</v>
      </c>
      <c r="O96" s="24">
        <f>N96*7.69</f>
        <v>0.64083333333333337</v>
      </c>
      <c r="P96" s="107"/>
      <c r="Q96" s="107"/>
      <c r="S96" s="96">
        <v>0.64083333333333337</v>
      </c>
      <c r="T96" s="24">
        <v>0.64083333333333337</v>
      </c>
    </row>
    <row r="97" spans="1:1" x14ac:dyDescent="0.15">
      <c r="A97" s="38">
        <v>1743</v>
      </c>
    </row>
    <row r="98" spans="1:1" x14ac:dyDescent="0.15">
      <c r="A98" s="38">
        <v>1744</v>
      </c>
    </row>
    <row r="99" spans="1:1" x14ac:dyDescent="0.15">
      <c r="A99" s="38">
        <v>1745</v>
      </c>
    </row>
    <row r="100" spans="1:1" x14ac:dyDescent="0.15">
      <c r="A100" s="38">
        <v>1746</v>
      </c>
    </row>
    <row r="101" spans="1:1" x14ac:dyDescent="0.15">
      <c r="A101" s="38">
        <v>1747</v>
      </c>
    </row>
    <row r="102" spans="1:1" x14ac:dyDescent="0.15">
      <c r="A102" s="38">
        <v>1748</v>
      </c>
    </row>
    <row r="103" spans="1:1" x14ac:dyDescent="0.15">
      <c r="A103" s="38">
        <v>1749</v>
      </c>
    </row>
    <row r="104" spans="1:1" x14ac:dyDescent="0.15">
      <c r="A104" s="38">
        <v>1750</v>
      </c>
    </row>
    <row r="105" spans="1:1" x14ac:dyDescent="0.15">
      <c r="A105" s="38">
        <v>1751</v>
      </c>
    </row>
    <row r="106" spans="1:1" x14ac:dyDescent="0.15">
      <c r="A106" s="38">
        <v>1752</v>
      </c>
    </row>
    <row r="107" spans="1:1" x14ac:dyDescent="0.15">
      <c r="A107" s="38">
        <f>A106+1</f>
        <v>1753</v>
      </c>
    </row>
    <row r="108" spans="1:1" x14ac:dyDescent="0.15">
      <c r="A108" s="38">
        <f t="shared" ref="A108:A147" si="16">A107+1</f>
        <v>1754</v>
      </c>
    </row>
    <row r="109" spans="1:1" x14ac:dyDescent="0.15">
      <c r="A109" s="38">
        <f t="shared" si="16"/>
        <v>1755</v>
      </c>
    </row>
    <row r="110" spans="1:1" x14ac:dyDescent="0.15">
      <c r="A110" s="38">
        <f t="shared" si="16"/>
        <v>1756</v>
      </c>
    </row>
    <row r="111" spans="1:1" x14ac:dyDescent="0.15">
      <c r="A111" s="38">
        <f t="shared" si="16"/>
        <v>1757</v>
      </c>
    </row>
    <row r="112" spans="1:1" x14ac:dyDescent="0.15">
      <c r="A112" s="38">
        <f t="shared" si="16"/>
        <v>1758</v>
      </c>
    </row>
    <row r="113" spans="1:20" x14ac:dyDescent="0.15">
      <c r="A113" s="38">
        <f t="shared" si="16"/>
        <v>1759</v>
      </c>
      <c r="B113" s="109">
        <v>0.36568181818181822</v>
      </c>
      <c r="C113" s="109"/>
      <c r="D113" s="109"/>
      <c r="E113" s="109"/>
      <c r="F113" s="109"/>
      <c r="G113" s="109"/>
      <c r="H113" s="109"/>
      <c r="I113" s="109"/>
      <c r="J113" s="109"/>
      <c r="K113" s="109"/>
      <c r="L113" s="109"/>
      <c r="N113" s="107">
        <f>B113/1.2*0.7</f>
        <v>0.21331439393939397</v>
      </c>
      <c r="O113" s="24">
        <f>N113*8.04</f>
        <v>1.7150477272727274</v>
      </c>
      <c r="P113" s="107"/>
      <c r="Q113" s="107"/>
      <c r="R113" s="96">
        <v>15.46153846153846</v>
      </c>
      <c r="S113" s="96">
        <v>1.7150477272727274</v>
      </c>
      <c r="T113" s="24">
        <v>1.7150477272727274</v>
      </c>
    </row>
    <row r="114" spans="1:20" x14ac:dyDescent="0.15">
      <c r="A114" s="38">
        <f t="shared" si="16"/>
        <v>1760</v>
      </c>
      <c r="B114" s="109"/>
      <c r="C114" s="109"/>
      <c r="D114" s="109"/>
      <c r="E114" s="109"/>
      <c r="F114" s="109"/>
      <c r="G114" s="109"/>
      <c r="H114" s="109"/>
      <c r="I114" s="109"/>
      <c r="J114" s="109"/>
      <c r="K114" s="109"/>
      <c r="L114" s="109"/>
      <c r="N114" s="107"/>
      <c r="P114" s="107"/>
      <c r="Q114" s="107"/>
    </row>
    <row r="115" spans="1:20" x14ac:dyDescent="0.15">
      <c r="A115" s="38">
        <f t="shared" si="16"/>
        <v>1761</v>
      </c>
      <c r="B115" s="109"/>
      <c r="C115" s="109"/>
      <c r="D115" s="109"/>
      <c r="E115" s="109"/>
      <c r="F115" s="109"/>
      <c r="G115" s="109"/>
      <c r="H115" s="109"/>
      <c r="I115" s="109"/>
      <c r="J115" s="109"/>
      <c r="K115" s="109"/>
      <c r="L115" s="109"/>
      <c r="N115" s="107"/>
      <c r="P115" s="107"/>
      <c r="Q115" s="107"/>
    </row>
    <row r="116" spans="1:20" x14ac:dyDescent="0.15">
      <c r="A116" s="38">
        <f t="shared" si="16"/>
        <v>1762</v>
      </c>
      <c r="B116" s="109"/>
      <c r="C116" s="109"/>
      <c r="D116" s="109"/>
      <c r="E116" s="109"/>
      <c r="F116" s="109"/>
      <c r="G116" s="109"/>
      <c r="H116" s="109"/>
      <c r="I116" s="109"/>
      <c r="J116" s="109"/>
      <c r="K116" s="109"/>
      <c r="L116" s="109"/>
      <c r="N116" s="107"/>
      <c r="P116" s="107"/>
      <c r="Q116" s="107"/>
    </row>
    <row r="117" spans="1:20" x14ac:dyDescent="0.15">
      <c r="A117" s="38">
        <f t="shared" si="16"/>
        <v>1763</v>
      </c>
      <c r="B117" s="109"/>
      <c r="C117" s="109"/>
      <c r="D117" s="109"/>
      <c r="E117" s="109"/>
      <c r="F117" s="109"/>
      <c r="G117" s="109"/>
      <c r="H117" s="109"/>
      <c r="I117" s="109"/>
      <c r="J117" s="109"/>
      <c r="K117" s="109"/>
      <c r="L117" s="109"/>
      <c r="N117" s="107"/>
      <c r="P117" s="107"/>
      <c r="Q117" s="107"/>
    </row>
    <row r="118" spans="1:20" x14ac:dyDescent="0.15">
      <c r="A118" s="38">
        <f t="shared" si="16"/>
        <v>1764</v>
      </c>
      <c r="B118" s="109"/>
      <c r="C118" s="109"/>
      <c r="D118" s="109"/>
      <c r="E118" s="109"/>
      <c r="F118" s="109"/>
      <c r="G118" s="109"/>
      <c r="H118" s="109"/>
      <c r="I118" s="109"/>
      <c r="J118" s="109"/>
      <c r="K118" s="109"/>
      <c r="L118" s="109"/>
      <c r="N118" s="107"/>
      <c r="P118" s="107"/>
      <c r="Q118" s="107"/>
      <c r="R118" s="96">
        <v>13.576315789473682</v>
      </c>
      <c r="T118" s="98">
        <f>R118*0.0884-0.1258</f>
        <v>1.0743463157894737</v>
      </c>
    </row>
    <row r="119" spans="1:20" x14ac:dyDescent="0.15">
      <c r="A119" s="38">
        <f t="shared" si="16"/>
        <v>1765</v>
      </c>
      <c r="B119" s="109"/>
      <c r="C119" s="109"/>
      <c r="D119" s="109"/>
      <c r="E119" s="109"/>
      <c r="F119" s="109"/>
      <c r="G119" s="109"/>
      <c r="H119" s="109"/>
      <c r="I119" s="109"/>
      <c r="J119" s="109"/>
      <c r="K119" s="109"/>
      <c r="L119" s="109"/>
      <c r="N119" s="107"/>
      <c r="P119" s="107"/>
      <c r="Q119" s="107"/>
    </row>
    <row r="120" spans="1:20" x14ac:dyDescent="0.15">
      <c r="A120" s="38">
        <f t="shared" si="16"/>
        <v>1766</v>
      </c>
      <c r="B120" s="109"/>
      <c r="C120" s="109"/>
      <c r="D120" s="109"/>
      <c r="E120" s="109"/>
      <c r="F120" s="109"/>
      <c r="G120" s="109"/>
      <c r="H120" s="109"/>
      <c r="I120" s="109"/>
      <c r="J120" s="109"/>
      <c r="K120" s="109"/>
      <c r="L120" s="109"/>
      <c r="N120" s="107"/>
      <c r="P120" s="107"/>
      <c r="Q120" s="107"/>
    </row>
    <row r="121" spans="1:20" x14ac:dyDescent="0.15">
      <c r="A121" s="38">
        <f t="shared" si="16"/>
        <v>1767</v>
      </c>
      <c r="B121" s="109"/>
      <c r="C121" s="109"/>
      <c r="D121" s="109"/>
      <c r="E121" s="109"/>
      <c r="F121" s="109"/>
      <c r="G121" s="109"/>
      <c r="H121" s="109"/>
      <c r="I121" s="109"/>
      <c r="J121" s="109"/>
      <c r="K121" s="109"/>
      <c r="L121" s="109"/>
      <c r="N121" s="107"/>
      <c r="P121" s="107"/>
      <c r="Q121" s="107"/>
    </row>
    <row r="122" spans="1:20" x14ac:dyDescent="0.15">
      <c r="A122" s="38">
        <f t="shared" si="16"/>
        <v>1768</v>
      </c>
      <c r="B122" s="109"/>
      <c r="C122" s="109"/>
      <c r="D122" s="109"/>
      <c r="E122" s="109"/>
      <c r="F122" s="109"/>
      <c r="G122" s="109"/>
      <c r="H122" s="109"/>
      <c r="I122" s="109"/>
      <c r="J122" s="109"/>
      <c r="K122" s="109"/>
      <c r="L122" s="109"/>
      <c r="N122" s="107"/>
      <c r="P122" s="107"/>
      <c r="Q122" s="107"/>
    </row>
    <row r="123" spans="1:20" x14ac:dyDescent="0.15">
      <c r="A123" s="38">
        <f t="shared" si="16"/>
        <v>1769</v>
      </c>
      <c r="B123" s="109"/>
      <c r="C123" s="109"/>
      <c r="D123" s="109"/>
      <c r="E123" s="109"/>
      <c r="F123" s="109"/>
      <c r="G123" s="109"/>
      <c r="H123" s="109">
        <v>0.21855670103092784</v>
      </c>
      <c r="I123" s="109"/>
      <c r="J123" s="109"/>
      <c r="K123" s="109"/>
      <c r="L123" s="109"/>
      <c r="N123" s="107">
        <f t="shared" ref="N123" si="17">H123/1.2</f>
        <v>0.18213058419243988</v>
      </c>
      <c r="O123" s="24">
        <f>N123*9.61</f>
        <v>1.7502749140893472</v>
      </c>
      <c r="P123" s="107"/>
      <c r="Q123" s="107"/>
      <c r="S123" s="96">
        <v>1.7502749140893472</v>
      </c>
      <c r="T123" s="24">
        <v>1.7502749140893472</v>
      </c>
    </row>
    <row r="124" spans="1:20" x14ac:dyDescent="0.15">
      <c r="A124" s="38">
        <f t="shared" si="16"/>
        <v>1770</v>
      </c>
      <c r="B124" s="109"/>
      <c r="C124" s="109"/>
      <c r="D124" s="109"/>
      <c r="E124" s="109"/>
      <c r="F124" s="109"/>
      <c r="G124" s="109"/>
      <c r="H124" s="109"/>
      <c r="I124" s="109"/>
      <c r="J124" s="109"/>
      <c r="K124" s="109"/>
      <c r="L124" s="109"/>
      <c r="N124" s="107"/>
      <c r="P124" s="107"/>
      <c r="Q124" s="107"/>
    </row>
    <row r="125" spans="1:20" x14ac:dyDescent="0.15">
      <c r="A125" s="38">
        <f t="shared" si="16"/>
        <v>1771</v>
      </c>
      <c r="B125" s="109"/>
      <c r="C125" s="109"/>
      <c r="D125" s="109"/>
      <c r="E125" s="109"/>
      <c r="F125" s="109"/>
      <c r="G125" s="109"/>
      <c r="H125" s="109"/>
      <c r="I125" s="109"/>
      <c r="J125" s="109"/>
      <c r="K125" s="109"/>
      <c r="L125" s="109"/>
      <c r="N125" s="107"/>
      <c r="P125" s="107"/>
      <c r="Q125" s="107"/>
    </row>
    <row r="126" spans="1:20" x14ac:dyDescent="0.15">
      <c r="A126" s="38">
        <f t="shared" si="16"/>
        <v>1772</v>
      </c>
      <c r="B126" s="109"/>
      <c r="C126" s="109"/>
      <c r="D126" s="109"/>
      <c r="E126" s="109"/>
      <c r="F126" s="109"/>
      <c r="G126" s="109"/>
      <c r="H126" s="109">
        <v>0.19999999999999998</v>
      </c>
      <c r="I126" s="109"/>
      <c r="J126" s="109"/>
      <c r="K126" s="109"/>
      <c r="L126" s="109"/>
      <c r="N126" s="107">
        <f t="shared" ref="N126" si="18">H126/1.2</f>
        <v>0.16666666666666666</v>
      </c>
      <c r="O126" s="24">
        <f>N126*9.61</f>
        <v>1.6016666666666666</v>
      </c>
      <c r="P126" s="107"/>
      <c r="Q126" s="107"/>
      <c r="R126" s="96">
        <v>15.022379667116509</v>
      </c>
      <c r="S126" s="96">
        <v>1.6016666666666666</v>
      </c>
      <c r="T126" s="24">
        <v>1.6016666666666666</v>
      </c>
    </row>
    <row r="127" spans="1:20" x14ac:dyDescent="0.15">
      <c r="A127" s="38">
        <f t="shared" si="16"/>
        <v>1773</v>
      </c>
      <c r="B127" s="109"/>
      <c r="C127" s="109"/>
      <c r="D127" s="109"/>
      <c r="E127" s="109"/>
      <c r="F127" s="109"/>
      <c r="G127" s="109"/>
      <c r="H127" s="109"/>
      <c r="I127" s="109"/>
      <c r="J127" s="109"/>
      <c r="K127" s="109"/>
      <c r="L127" s="109"/>
      <c r="N127" s="107"/>
      <c r="P127" s="107"/>
      <c r="Q127" s="107"/>
    </row>
    <row r="128" spans="1:20" x14ac:dyDescent="0.15">
      <c r="A128" s="38">
        <f t="shared" si="16"/>
        <v>1774</v>
      </c>
      <c r="B128" s="109"/>
      <c r="C128" s="109"/>
      <c r="D128" s="109"/>
      <c r="E128" s="109"/>
      <c r="F128" s="109"/>
      <c r="G128" s="109"/>
      <c r="H128" s="109"/>
      <c r="I128" s="109"/>
      <c r="J128" s="109"/>
      <c r="K128" s="109"/>
      <c r="L128" s="109"/>
      <c r="N128" s="107"/>
      <c r="P128" s="107"/>
      <c r="Q128" s="107"/>
    </row>
    <row r="129" spans="1:20" x14ac:dyDescent="0.15">
      <c r="A129" s="38">
        <f t="shared" si="16"/>
        <v>1775</v>
      </c>
      <c r="B129" s="109"/>
      <c r="C129" s="109"/>
      <c r="D129" s="109"/>
      <c r="E129" s="109"/>
      <c r="F129" s="109"/>
      <c r="G129" s="109"/>
      <c r="H129" s="109"/>
      <c r="I129" s="109"/>
      <c r="J129" s="109"/>
      <c r="K129" s="109"/>
      <c r="L129" s="109"/>
      <c r="N129" s="107"/>
      <c r="P129" s="107"/>
      <c r="Q129" s="107"/>
    </row>
    <row r="130" spans="1:20" x14ac:dyDescent="0.15">
      <c r="A130" s="38">
        <f t="shared" si="16"/>
        <v>1776</v>
      </c>
      <c r="B130" s="109"/>
      <c r="C130" s="109"/>
      <c r="D130" s="109"/>
      <c r="E130" s="109"/>
      <c r="F130" s="109"/>
      <c r="G130" s="109"/>
      <c r="H130" s="109"/>
      <c r="I130" s="109"/>
      <c r="J130" s="109"/>
      <c r="K130" s="109"/>
      <c r="L130" s="109"/>
      <c r="N130" s="107"/>
      <c r="P130" s="107"/>
      <c r="Q130" s="107"/>
    </row>
    <row r="131" spans="1:20" x14ac:dyDescent="0.15">
      <c r="A131" s="38">
        <f t="shared" si="16"/>
        <v>1777</v>
      </c>
      <c r="B131" s="109"/>
      <c r="C131" s="109"/>
      <c r="D131" s="109"/>
      <c r="E131" s="109"/>
      <c r="F131" s="109"/>
      <c r="G131" s="109"/>
      <c r="H131" s="109"/>
      <c r="I131" s="109"/>
      <c r="J131" s="109"/>
      <c r="K131" s="109"/>
      <c r="L131" s="109"/>
      <c r="N131" s="107"/>
      <c r="P131" s="107"/>
      <c r="Q131" s="107"/>
    </row>
    <row r="132" spans="1:20" x14ac:dyDescent="0.15">
      <c r="A132" s="38">
        <f t="shared" si="16"/>
        <v>1778</v>
      </c>
      <c r="B132" s="109"/>
      <c r="C132" s="109"/>
      <c r="D132" s="109"/>
      <c r="E132" s="109"/>
      <c r="F132" s="109"/>
      <c r="G132" s="109"/>
      <c r="H132" s="109"/>
      <c r="I132" s="109"/>
      <c r="J132" s="109"/>
      <c r="K132" s="109"/>
      <c r="L132" s="109"/>
      <c r="N132" s="107"/>
      <c r="P132" s="107"/>
      <c r="Q132" s="107"/>
    </row>
    <row r="133" spans="1:20" x14ac:dyDescent="0.15">
      <c r="A133" s="38">
        <f t="shared" si="16"/>
        <v>1779</v>
      </c>
      <c r="B133" s="109"/>
      <c r="C133" s="109"/>
      <c r="D133" s="109"/>
      <c r="E133" s="109"/>
      <c r="F133" s="109"/>
      <c r="G133" s="109"/>
      <c r="H133" s="109"/>
      <c r="I133" s="109"/>
      <c r="J133" s="109"/>
      <c r="K133" s="109"/>
      <c r="L133" s="109"/>
      <c r="N133" s="107"/>
      <c r="P133" s="107"/>
      <c r="Q133" s="107"/>
    </row>
    <row r="134" spans="1:20" x14ac:dyDescent="0.15">
      <c r="A134" s="38">
        <f t="shared" si="16"/>
        <v>1780</v>
      </c>
      <c r="B134" s="109"/>
      <c r="C134" s="109"/>
      <c r="D134" s="109"/>
      <c r="E134" s="109"/>
      <c r="F134" s="109"/>
      <c r="G134" s="109"/>
      <c r="H134" s="109"/>
      <c r="I134" s="109"/>
      <c r="J134" s="109"/>
      <c r="K134" s="109"/>
      <c r="L134" s="109"/>
      <c r="N134" s="107"/>
      <c r="P134" s="107"/>
      <c r="Q134" s="107"/>
    </row>
    <row r="135" spans="1:20" x14ac:dyDescent="0.15">
      <c r="A135" s="38">
        <f t="shared" si="16"/>
        <v>1781</v>
      </c>
      <c r="B135" s="109"/>
      <c r="C135" s="109"/>
      <c r="D135" s="109"/>
      <c r="E135" s="109"/>
      <c r="F135" s="109"/>
      <c r="G135" s="109"/>
      <c r="H135" s="109"/>
      <c r="I135" s="109"/>
      <c r="J135" s="109"/>
      <c r="K135" s="109"/>
      <c r="L135" s="109"/>
      <c r="N135" s="107"/>
      <c r="P135" s="107"/>
      <c r="Q135" s="107"/>
    </row>
    <row r="136" spans="1:20" x14ac:dyDescent="0.15">
      <c r="A136" s="38">
        <f t="shared" si="16"/>
        <v>1782</v>
      </c>
      <c r="B136" s="109"/>
      <c r="C136" s="109"/>
      <c r="D136" s="109"/>
      <c r="E136" s="109"/>
      <c r="F136" s="109"/>
      <c r="G136" s="109"/>
      <c r="H136" s="109"/>
      <c r="I136" s="109"/>
      <c r="J136" s="109"/>
      <c r="K136" s="109"/>
      <c r="L136" s="109"/>
      <c r="N136" s="107"/>
      <c r="P136" s="107"/>
      <c r="Q136" s="107"/>
    </row>
    <row r="137" spans="1:20" x14ac:dyDescent="0.15">
      <c r="A137" s="38">
        <f t="shared" si="16"/>
        <v>1783</v>
      </c>
      <c r="B137" s="109"/>
      <c r="C137" s="109"/>
      <c r="D137" s="109"/>
      <c r="E137" s="109"/>
      <c r="F137" s="109"/>
      <c r="G137" s="109"/>
      <c r="H137" s="109"/>
      <c r="I137" s="109"/>
      <c r="J137" s="109"/>
      <c r="K137" s="109"/>
      <c r="L137" s="109"/>
      <c r="N137" s="107"/>
      <c r="P137" s="107"/>
      <c r="Q137" s="107"/>
    </row>
    <row r="138" spans="1:20" x14ac:dyDescent="0.15">
      <c r="A138" s="38">
        <f t="shared" si="16"/>
        <v>1784</v>
      </c>
      <c r="B138" s="109"/>
      <c r="C138" s="109"/>
      <c r="D138" s="109"/>
      <c r="E138" s="109"/>
      <c r="F138" s="109"/>
      <c r="G138" s="109"/>
      <c r="H138" s="109"/>
      <c r="I138" s="109">
        <v>0.34084680734447798</v>
      </c>
      <c r="J138" s="109">
        <v>0.28327385325915816</v>
      </c>
      <c r="K138" s="109"/>
      <c r="L138" s="109"/>
      <c r="N138" s="107">
        <f>J138/1.2</f>
        <v>0.2360615443826318</v>
      </c>
      <c r="O138" s="24">
        <f>N138*9.61</f>
        <v>2.2685514415170913</v>
      </c>
      <c r="P138" s="107"/>
      <c r="Q138" s="107"/>
      <c r="R138" s="96">
        <v>12.680189537669012</v>
      </c>
      <c r="S138" s="96">
        <v>2.2685514415170913</v>
      </c>
      <c r="T138" s="24">
        <v>2.2685514415170913</v>
      </c>
    </row>
    <row r="139" spans="1:20" x14ac:dyDescent="0.15">
      <c r="A139" s="38">
        <f t="shared" si="16"/>
        <v>1785</v>
      </c>
      <c r="B139" s="109"/>
      <c r="C139" s="109"/>
      <c r="D139" s="109"/>
      <c r="E139" s="109"/>
      <c r="F139" s="109"/>
      <c r="G139" s="109"/>
      <c r="H139" s="109"/>
      <c r="I139" s="109">
        <v>0.56404958677685957</v>
      </c>
      <c r="J139" s="109">
        <v>0.39999999999999997</v>
      </c>
      <c r="K139" s="109"/>
      <c r="L139" s="109"/>
      <c r="N139" s="107">
        <f>J139/1.2</f>
        <v>0.33333333333333331</v>
      </c>
      <c r="O139" s="24">
        <f>N139*9.61</f>
        <v>3.2033333333333331</v>
      </c>
      <c r="P139" s="107"/>
      <c r="Q139" s="107"/>
      <c r="R139" s="96">
        <v>11.726102114260009</v>
      </c>
      <c r="S139" s="96">
        <v>3.2033333333333331</v>
      </c>
      <c r="T139" s="24">
        <v>3.2033333333333331</v>
      </c>
    </row>
    <row r="140" spans="1:20" x14ac:dyDescent="0.15">
      <c r="A140" s="38">
        <f t="shared" si="16"/>
        <v>1786</v>
      </c>
      <c r="B140" s="109"/>
      <c r="C140" s="109"/>
      <c r="D140" s="109"/>
      <c r="E140" s="109"/>
      <c r="F140" s="109"/>
      <c r="G140" s="109"/>
      <c r="H140" s="109"/>
      <c r="I140" s="109"/>
      <c r="J140" s="109"/>
      <c r="K140" s="109"/>
      <c r="L140" s="109"/>
      <c r="N140" s="107"/>
      <c r="P140" s="107"/>
      <c r="Q140" s="107"/>
    </row>
    <row r="141" spans="1:20" x14ac:dyDescent="0.15">
      <c r="A141" s="38">
        <f t="shared" si="16"/>
        <v>1787</v>
      </c>
      <c r="B141" s="109"/>
      <c r="C141" s="109"/>
      <c r="D141" s="109"/>
      <c r="E141" s="109"/>
      <c r="F141" s="109"/>
      <c r="G141" s="109"/>
      <c r="H141" s="109"/>
      <c r="I141" s="109"/>
      <c r="J141" s="109"/>
      <c r="K141" s="109"/>
      <c r="L141" s="109"/>
      <c r="N141" s="107"/>
      <c r="P141" s="107"/>
      <c r="Q141" s="107"/>
    </row>
    <row r="142" spans="1:20" x14ac:dyDescent="0.15">
      <c r="A142" s="38">
        <f t="shared" si="16"/>
        <v>1788</v>
      </c>
      <c r="B142" s="109"/>
      <c r="C142" s="109"/>
      <c r="D142" s="109"/>
      <c r="E142" s="109"/>
      <c r="F142" s="109"/>
      <c r="G142" s="109"/>
      <c r="H142" s="109"/>
      <c r="I142" s="109"/>
      <c r="J142" s="109"/>
      <c r="K142" s="109"/>
      <c r="L142" s="109"/>
      <c r="N142" s="107"/>
      <c r="P142" s="107"/>
      <c r="Q142" s="107"/>
      <c r="R142" s="96">
        <v>15.627597840755735</v>
      </c>
      <c r="T142" s="98">
        <f>R142*0.0884-0.1258</f>
        <v>1.2556796491228071</v>
      </c>
    </row>
    <row r="143" spans="1:20" x14ac:dyDescent="0.15">
      <c r="A143" s="38">
        <f t="shared" si="16"/>
        <v>1789</v>
      </c>
      <c r="B143" s="109"/>
      <c r="C143" s="109"/>
      <c r="D143" s="109"/>
      <c r="E143" s="109"/>
      <c r="F143" s="109"/>
      <c r="G143" s="109"/>
      <c r="H143" s="109"/>
      <c r="I143" s="109"/>
      <c r="J143" s="109"/>
      <c r="K143" s="109"/>
      <c r="L143" s="109"/>
      <c r="N143" s="107"/>
      <c r="P143" s="107"/>
      <c r="Q143" s="107"/>
    </row>
    <row r="144" spans="1:20" x14ac:dyDescent="0.15">
      <c r="A144" s="38">
        <f t="shared" si="16"/>
        <v>1790</v>
      </c>
      <c r="B144" s="109"/>
      <c r="C144" s="109"/>
      <c r="D144" s="109"/>
      <c r="E144" s="109"/>
      <c r="F144" s="109"/>
      <c r="G144" s="109"/>
      <c r="H144" s="109"/>
      <c r="I144" s="109"/>
      <c r="J144" s="109"/>
      <c r="K144" s="109"/>
      <c r="L144" s="109"/>
      <c r="N144" s="107"/>
      <c r="P144" s="107"/>
      <c r="Q144" s="107"/>
    </row>
    <row r="145" spans="1:20" x14ac:dyDescent="0.15">
      <c r="A145" s="38">
        <f t="shared" si="16"/>
        <v>1791</v>
      </c>
      <c r="B145" s="109"/>
      <c r="C145" s="109"/>
      <c r="D145" s="109"/>
      <c r="E145" s="109"/>
      <c r="F145" s="109"/>
      <c r="G145" s="109"/>
      <c r="H145" s="109"/>
      <c r="I145" s="109"/>
      <c r="J145" s="109"/>
      <c r="K145" s="109"/>
      <c r="L145" s="109"/>
      <c r="N145" s="107"/>
      <c r="P145" s="107"/>
      <c r="Q145" s="107"/>
    </row>
    <row r="146" spans="1:20" x14ac:dyDescent="0.15">
      <c r="A146" s="38">
        <f t="shared" si="16"/>
        <v>1792</v>
      </c>
      <c r="B146" s="109"/>
      <c r="C146" s="109"/>
      <c r="D146" s="109"/>
      <c r="E146" s="109"/>
      <c r="F146" s="109"/>
      <c r="G146" s="109"/>
      <c r="H146" s="109"/>
      <c r="I146" s="109"/>
      <c r="J146" s="109"/>
      <c r="K146" s="109"/>
      <c r="L146" s="109"/>
      <c r="N146" s="107"/>
      <c r="P146" s="107"/>
      <c r="Q146" s="107"/>
    </row>
    <row r="147" spans="1:20" x14ac:dyDescent="0.15">
      <c r="A147" s="38">
        <f t="shared" si="16"/>
        <v>1793</v>
      </c>
      <c r="B147" s="109"/>
      <c r="C147" s="109"/>
      <c r="D147" s="109"/>
      <c r="E147" s="109"/>
      <c r="F147" s="109"/>
      <c r="G147" s="109"/>
      <c r="H147" s="109"/>
      <c r="I147" s="109"/>
      <c r="J147" s="109"/>
      <c r="K147" s="109"/>
      <c r="L147" s="109"/>
      <c r="N147" s="107"/>
      <c r="P147" s="107"/>
      <c r="Q147" s="107"/>
      <c r="R147" s="96">
        <v>17.751265182186238</v>
      </c>
      <c r="T147" s="98">
        <f>R147*0.0884-0.1258</f>
        <v>1.4434118421052635</v>
      </c>
    </row>
    <row r="148" spans="1:20" x14ac:dyDescent="0.15">
      <c r="A148" s="38">
        <v>1794</v>
      </c>
      <c r="B148" s="109"/>
      <c r="C148" s="109"/>
      <c r="D148" s="109"/>
      <c r="E148" s="109"/>
      <c r="F148" s="109"/>
      <c r="G148" s="109"/>
      <c r="H148" s="109"/>
      <c r="I148" s="109"/>
      <c r="J148" s="109"/>
      <c r="K148" s="109"/>
      <c r="L148" s="109"/>
      <c r="N148" s="107"/>
      <c r="P148" s="107"/>
      <c r="Q148" s="107"/>
    </row>
    <row r="149" spans="1:20" x14ac:dyDescent="0.15">
      <c r="A149" s="38">
        <v>1795</v>
      </c>
      <c r="B149" s="109"/>
      <c r="C149" s="109"/>
      <c r="D149" s="109"/>
      <c r="E149" s="109"/>
      <c r="F149" s="109"/>
      <c r="G149" s="109"/>
      <c r="H149" s="109"/>
      <c r="I149" s="109"/>
      <c r="J149" s="109"/>
      <c r="K149" s="109"/>
      <c r="L149" s="109"/>
      <c r="N149" s="107"/>
      <c r="P149" s="107"/>
      <c r="Q149" s="107"/>
    </row>
    <row r="150" spans="1:20" x14ac:dyDescent="0.15">
      <c r="A150" s="38">
        <f t="shared" ref="A150:A213" si="19">A149+1</f>
        <v>1796</v>
      </c>
      <c r="B150" s="109"/>
      <c r="C150" s="109"/>
      <c r="D150" s="109"/>
      <c r="E150" s="109"/>
      <c r="F150" s="109"/>
      <c r="G150" s="109"/>
      <c r="H150" s="109"/>
      <c r="I150" s="109"/>
      <c r="J150" s="109"/>
      <c r="K150" s="109"/>
      <c r="L150" s="109"/>
      <c r="N150" s="107"/>
      <c r="P150" s="107"/>
      <c r="Q150" s="107"/>
    </row>
    <row r="151" spans="1:20" x14ac:dyDescent="0.15">
      <c r="A151" s="38">
        <f t="shared" si="19"/>
        <v>1797</v>
      </c>
      <c r="B151" s="109"/>
      <c r="C151" s="109"/>
      <c r="D151" s="109"/>
      <c r="E151" s="109"/>
      <c r="F151" s="109"/>
      <c r="G151" s="109"/>
      <c r="H151" s="109"/>
      <c r="I151" s="109"/>
      <c r="J151" s="109"/>
      <c r="K151" s="109"/>
      <c r="L151" s="109"/>
      <c r="N151" s="107"/>
      <c r="P151" s="107"/>
      <c r="Q151" s="107"/>
      <c r="R151" s="96">
        <v>6.3141700404858314</v>
      </c>
      <c r="T151" s="98">
        <f t="shared" ref="T151:T152" si="20">R151*0.0884-0.1258</f>
        <v>0.43237263157894756</v>
      </c>
    </row>
    <row r="152" spans="1:20" x14ac:dyDescent="0.15">
      <c r="A152" s="38">
        <f t="shared" si="19"/>
        <v>1798</v>
      </c>
      <c r="B152" s="109"/>
      <c r="C152" s="109"/>
      <c r="D152" s="109"/>
      <c r="E152" s="109"/>
      <c r="F152" s="109"/>
      <c r="G152" s="109"/>
      <c r="H152" s="109"/>
      <c r="I152" s="109"/>
      <c r="J152" s="109"/>
      <c r="K152" s="109"/>
      <c r="L152" s="109"/>
      <c r="N152" s="107"/>
      <c r="P152" s="107"/>
      <c r="Q152" s="107"/>
      <c r="R152" s="96">
        <v>11.275303643724698</v>
      </c>
      <c r="T152" s="98">
        <f t="shared" si="20"/>
        <v>0.87093684210526334</v>
      </c>
    </row>
    <row r="153" spans="1:20" x14ac:dyDescent="0.15">
      <c r="A153" s="38">
        <f t="shared" si="19"/>
        <v>1799</v>
      </c>
      <c r="B153" s="109"/>
      <c r="C153" s="109"/>
      <c r="D153" s="109"/>
      <c r="E153" s="109"/>
      <c r="F153" s="109"/>
      <c r="G153" s="109"/>
      <c r="H153" s="109"/>
      <c r="I153" s="109"/>
      <c r="J153" s="109"/>
      <c r="K153" s="109"/>
      <c r="L153" s="109"/>
      <c r="N153" s="107"/>
      <c r="P153" s="107"/>
      <c r="Q153" s="107"/>
    </row>
    <row r="154" spans="1:20" x14ac:dyDescent="0.15">
      <c r="A154" s="38">
        <f t="shared" si="19"/>
        <v>1800</v>
      </c>
      <c r="B154" s="109"/>
      <c r="C154" s="109"/>
      <c r="D154" s="109"/>
      <c r="E154" s="109"/>
      <c r="F154" s="109"/>
      <c r="G154" s="109"/>
      <c r="H154" s="109"/>
      <c r="I154" s="109"/>
      <c r="J154" s="109"/>
      <c r="K154" s="109"/>
      <c r="L154" s="109"/>
      <c r="N154" s="107"/>
      <c r="P154" s="107"/>
      <c r="Q154" s="107"/>
    </row>
    <row r="155" spans="1:20" x14ac:dyDescent="0.15">
      <c r="A155" s="38">
        <f t="shared" si="19"/>
        <v>1801</v>
      </c>
      <c r="B155" s="109"/>
      <c r="C155" s="109"/>
      <c r="D155" s="109"/>
      <c r="E155" s="109"/>
      <c r="F155" s="109"/>
      <c r="G155" s="109"/>
      <c r="H155" s="109"/>
      <c r="I155" s="109"/>
      <c r="J155" s="109"/>
      <c r="K155" s="109"/>
      <c r="L155" s="109"/>
      <c r="N155" s="107"/>
      <c r="P155" s="107"/>
      <c r="Q155" s="107"/>
    </row>
    <row r="156" spans="1:20" x14ac:dyDescent="0.15">
      <c r="A156" s="38">
        <f t="shared" si="19"/>
        <v>1802</v>
      </c>
      <c r="B156" s="109"/>
      <c r="C156" s="109"/>
      <c r="D156" s="109"/>
      <c r="E156" s="109"/>
      <c r="F156" s="109"/>
      <c r="G156" s="109"/>
      <c r="H156" s="109"/>
      <c r="I156" s="109"/>
      <c r="J156" s="109"/>
      <c r="K156" s="109"/>
      <c r="L156" s="109"/>
      <c r="N156" s="107"/>
      <c r="P156" s="107"/>
      <c r="Q156" s="107"/>
    </row>
    <row r="157" spans="1:20" x14ac:dyDescent="0.15">
      <c r="A157" s="38">
        <f t="shared" si="19"/>
        <v>1803</v>
      </c>
      <c r="B157" s="109"/>
      <c r="C157" s="109"/>
      <c r="D157" s="109"/>
      <c r="E157" s="109"/>
      <c r="F157" s="109"/>
      <c r="G157" s="109"/>
      <c r="H157" s="109"/>
      <c r="I157" s="109"/>
      <c r="J157" s="109"/>
      <c r="K157" s="109"/>
      <c r="L157" s="109"/>
      <c r="N157" s="107"/>
      <c r="P157" s="107"/>
      <c r="Q157" s="107"/>
    </row>
    <row r="158" spans="1:20" x14ac:dyDescent="0.15">
      <c r="A158" s="38">
        <f t="shared" si="19"/>
        <v>1804</v>
      </c>
      <c r="B158" s="109"/>
      <c r="C158" s="109"/>
      <c r="D158" s="109"/>
      <c r="E158" s="109"/>
      <c r="F158" s="109"/>
      <c r="G158" s="109"/>
      <c r="H158" s="109"/>
      <c r="I158" s="109"/>
      <c r="J158" s="109"/>
      <c r="K158" s="109"/>
      <c r="L158" s="109"/>
      <c r="N158" s="107"/>
      <c r="P158" s="107"/>
      <c r="Q158" s="107"/>
    </row>
    <row r="159" spans="1:20" x14ac:dyDescent="0.15">
      <c r="A159" s="38">
        <f t="shared" si="19"/>
        <v>1805</v>
      </c>
      <c r="B159" s="109"/>
      <c r="C159" s="109"/>
      <c r="D159" s="109"/>
      <c r="E159" s="109"/>
      <c r="F159" s="109"/>
      <c r="G159" s="109"/>
      <c r="H159" s="109"/>
      <c r="I159" s="109"/>
      <c r="J159" s="109"/>
      <c r="K159" s="109"/>
      <c r="L159" s="109"/>
      <c r="N159" s="107"/>
      <c r="P159" s="107"/>
      <c r="Q159" s="107"/>
    </row>
    <row r="160" spans="1:20" x14ac:dyDescent="0.15">
      <c r="A160" s="38">
        <f t="shared" si="19"/>
        <v>1806</v>
      </c>
      <c r="B160" s="109"/>
      <c r="C160" s="109"/>
      <c r="D160" s="109"/>
      <c r="E160" s="109"/>
      <c r="F160" s="109"/>
      <c r="G160" s="109"/>
      <c r="H160" s="109"/>
      <c r="I160" s="109"/>
      <c r="J160" s="109"/>
      <c r="K160" s="109"/>
      <c r="L160" s="109"/>
      <c r="N160" s="107"/>
      <c r="P160" s="107"/>
      <c r="Q160" s="107"/>
    </row>
    <row r="161" spans="1:20" x14ac:dyDescent="0.15">
      <c r="A161" s="38">
        <f t="shared" si="19"/>
        <v>1807</v>
      </c>
      <c r="B161" s="109"/>
      <c r="C161" s="109"/>
      <c r="D161" s="109"/>
      <c r="E161" s="109"/>
      <c r="F161" s="109"/>
      <c r="G161" s="109"/>
      <c r="H161" s="109"/>
      <c r="I161" s="109"/>
      <c r="J161" s="109"/>
      <c r="K161" s="109"/>
      <c r="L161" s="109"/>
      <c r="N161" s="107"/>
      <c r="P161" s="107"/>
      <c r="Q161" s="107"/>
    </row>
    <row r="162" spans="1:20" x14ac:dyDescent="0.15">
      <c r="A162" s="38">
        <f t="shared" si="19"/>
        <v>1808</v>
      </c>
      <c r="B162" s="109"/>
      <c r="C162" s="109"/>
      <c r="D162" s="109"/>
      <c r="E162" s="109"/>
      <c r="F162" s="109"/>
      <c r="G162" s="109"/>
      <c r="H162" s="109"/>
      <c r="I162" s="109"/>
      <c r="J162" s="109"/>
      <c r="K162" s="109"/>
      <c r="L162" s="109"/>
      <c r="N162" s="107"/>
      <c r="P162" s="107"/>
      <c r="Q162" s="107"/>
    </row>
    <row r="163" spans="1:20" x14ac:dyDescent="0.15">
      <c r="A163" s="38">
        <f t="shared" si="19"/>
        <v>1809</v>
      </c>
      <c r="B163" s="109"/>
      <c r="C163" s="109"/>
      <c r="D163" s="109"/>
      <c r="E163" s="109"/>
      <c r="F163" s="109"/>
      <c r="G163" s="109"/>
      <c r="H163" s="109"/>
      <c r="I163" s="109"/>
      <c r="J163" s="109"/>
      <c r="K163" s="109"/>
      <c r="L163" s="109"/>
      <c r="N163" s="107"/>
      <c r="P163" s="107"/>
      <c r="Q163" s="107"/>
    </row>
    <row r="164" spans="1:20" x14ac:dyDescent="0.15">
      <c r="A164" s="38">
        <f t="shared" si="19"/>
        <v>1810</v>
      </c>
      <c r="B164" s="109"/>
      <c r="C164" s="109"/>
      <c r="D164" s="109"/>
      <c r="E164" s="109"/>
      <c r="F164" s="109"/>
      <c r="G164" s="109"/>
      <c r="H164" s="109"/>
      <c r="I164" s="109"/>
      <c r="J164" s="109"/>
      <c r="K164" s="109"/>
      <c r="L164" s="109"/>
      <c r="N164" s="107"/>
      <c r="P164" s="107"/>
      <c r="Q164" s="107"/>
    </row>
    <row r="165" spans="1:20" x14ac:dyDescent="0.15">
      <c r="A165" s="38">
        <f t="shared" si="19"/>
        <v>1811</v>
      </c>
      <c r="B165" s="109"/>
      <c r="C165" s="109"/>
      <c r="D165" s="109"/>
      <c r="E165" s="109"/>
      <c r="F165" s="109"/>
      <c r="G165" s="109"/>
      <c r="H165" s="109"/>
      <c r="I165" s="109"/>
      <c r="J165" s="109"/>
      <c r="K165" s="109"/>
      <c r="L165" s="109"/>
      <c r="N165" s="107"/>
      <c r="P165" s="107"/>
      <c r="Q165" s="107"/>
      <c r="R165" s="96">
        <v>12.699175751666669</v>
      </c>
      <c r="T165" s="98">
        <f t="shared" ref="T165:T166" si="21">R165*0.0884-0.1258</f>
        <v>0.99680713644733354</v>
      </c>
    </row>
    <row r="166" spans="1:20" x14ac:dyDescent="0.15">
      <c r="A166" s="38">
        <f t="shared" si="19"/>
        <v>1812</v>
      </c>
      <c r="B166" s="109"/>
      <c r="C166" s="109"/>
      <c r="D166" s="109"/>
      <c r="E166" s="109"/>
      <c r="F166" s="109"/>
      <c r="G166" s="109"/>
      <c r="H166" s="109"/>
      <c r="I166" s="109"/>
      <c r="J166" s="109"/>
      <c r="K166" s="109"/>
      <c r="L166" s="109"/>
      <c r="N166" s="107"/>
      <c r="P166" s="107"/>
      <c r="Q166" s="107"/>
      <c r="R166" s="96">
        <v>10.785601323333335</v>
      </c>
      <c r="T166" s="98">
        <f t="shared" si="21"/>
        <v>0.82764715698266689</v>
      </c>
    </row>
    <row r="167" spans="1:20" x14ac:dyDescent="0.15">
      <c r="A167" s="38">
        <f t="shared" si="19"/>
        <v>1813</v>
      </c>
      <c r="B167" s="109"/>
      <c r="C167" s="109"/>
      <c r="D167" s="109"/>
      <c r="E167" s="109"/>
      <c r="F167" s="109"/>
      <c r="G167" s="109"/>
      <c r="H167" s="109"/>
      <c r="I167" s="109"/>
      <c r="J167" s="109"/>
      <c r="K167" s="109"/>
      <c r="L167" s="109"/>
      <c r="N167" s="107"/>
      <c r="P167" s="107"/>
      <c r="Q167" s="107"/>
    </row>
    <row r="168" spans="1:20" x14ac:dyDescent="0.15">
      <c r="A168" s="38">
        <f t="shared" si="19"/>
        <v>1814</v>
      </c>
      <c r="B168" s="109"/>
      <c r="C168" s="109"/>
      <c r="D168" s="109"/>
      <c r="E168" s="109"/>
      <c r="F168" s="109"/>
      <c r="G168" s="109"/>
      <c r="H168" s="109"/>
      <c r="I168" s="109"/>
      <c r="J168" s="109"/>
      <c r="K168" s="109"/>
      <c r="L168" s="109"/>
      <c r="N168" s="107"/>
      <c r="P168" s="107"/>
      <c r="Q168" s="107"/>
    </row>
    <row r="169" spans="1:20" x14ac:dyDescent="0.15">
      <c r="A169" s="38">
        <f t="shared" si="19"/>
        <v>1815</v>
      </c>
      <c r="B169" s="109"/>
      <c r="C169" s="109"/>
      <c r="D169" s="109"/>
      <c r="E169" s="109"/>
      <c r="F169" s="109"/>
      <c r="G169" s="109"/>
      <c r="H169" s="109"/>
      <c r="I169" s="109"/>
      <c r="J169" s="109"/>
      <c r="K169" s="109"/>
      <c r="L169" s="109"/>
      <c r="N169" s="107"/>
      <c r="P169" s="107"/>
      <c r="Q169" s="107"/>
    </row>
    <row r="170" spans="1:20" x14ac:dyDescent="0.15">
      <c r="A170" s="38">
        <f t="shared" si="19"/>
        <v>1816</v>
      </c>
      <c r="B170" s="109"/>
      <c r="C170" s="109"/>
      <c r="D170" s="109"/>
      <c r="E170" s="109"/>
      <c r="F170" s="109"/>
      <c r="G170" s="109"/>
      <c r="H170" s="109"/>
      <c r="I170" s="109"/>
      <c r="J170" s="109"/>
      <c r="K170" s="109"/>
      <c r="L170" s="109"/>
      <c r="N170" s="107"/>
      <c r="P170" s="107"/>
      <c r="Q170" s="107"/>
    </row>
    <row r="171" spans="1:20" x14ac:dyDescent="0.15">
      <c r="A171" s="38">
        <f t="shared" si="19"/>
        <v>1817</v>
      </c>
      <c r="B171" s="109"/>
      <c r="C171" s="109"/>
      <c r="D171" s="109"/>
      <c r="E171" s="109"/>
      <c r="F171" s="109"/>
      <c r="G171" s="109"/>
      <c r="H171" s="109"/>
      <c r="I171" s="109"/>
      <c r="J171" s="109"/>
      <c r="K171" s="109"/>
      <c r="L171" s="109"/>
      <c r="N171" s="107"/>
      <c r="P171" s="107"/>
      <c r="Q171" s="107"/>
    </row>
    <row r="172" spans="1:20" x14ac:dyDescent="0.15">
      <c r="A172" s="38">
        <f t="shared" si="19"/>
        <v>1818</v>
      </c>
      <c r="B172" s="109"/>
      <c r="C172" s="109"/>
      <c r="D172" s="109"/>
      <c r="E172" s="109"/>
      <c r="F172" s="109"/>
      <c r="G172" s="109"/>
      <c r="H172" s="109"/>
      <c r="I172" s="109"/>
      <c r="J172" s="109"/>
      <c r="K172" s="109"/>
      <c r="L172" s="109"/>
      <c r="N172" s="107"/>
      <c r="P172" s="107"/>
      <c r="Q172" s="107"/>
    </row>
    <row r="173" spans="1:20" x14ac:dyDescent="0.15">
      <c r="A173" s="38">
        <f t="shared" si="19"/>
        <v>1819</v>
      </c>
      <c r="B173" s="109"/>
      <c r="C173" s="109"/>
      <c r="D173" s="109"/>
      <c r="E173" s="109"/>
      <c r="F173" s="109"/>
      <c r="G173" s="109"/>
      <c r="H173" s="109"/>
      <c r="I173" s="109"/>
      <c r="J173" s="109"/>
      <c r="K173" s="109"/>
      <c r="L173" s="109"/>
      <c r="N173" s="107"/>
      <c r="P173" s="107"/>
      <c r="Q173" s="107"/>
    </row>
    <row r="174" spans="1:20" x14ac:dyDescent="0.15">
      <c r="A174" s="38">
        <f t="shared" si="19"/>
        <v>1820</v>
      </c>
      <c r="B174" s="109"/>
      <c r="C174" s="109"/>
      <c r="D174" s="109"/>
      <c r="E174" s="109"/>
      <c r="F174" s="109"/>
      <c r="G174" s="109"/>
      <c r="H174" s="109"/>
      <c r="I174" s="109"/>
      <c r="J174" s="109"/>
      <c r="K174" s="109"/>
      <c r="L174" s="109"/>
      <c r="N174" s="107"/>
      <c r="P174" s="107"/>
      <c r="Q174" s="107"/>
    </row>
    <row r="175" spans="1:20" x14ac:dyDescent="0.15">
      <c r="A175" s="38">
        <f t="shared" si="19"/>
        <v>1821</v>
      </c>
      <c r="B175" s="109"/>
      <c r="C175" s="109"/>
      <c r="D175" s="109"/>
      <c r="E175" s="109"/>
      <c r="F175" s="109"/>
      <c r="G175" s="109"/>
      <c r="H175" s="109"/>
      <c r="I175" s="109"/>
      <c r="J175" s="109"/>
      <c r="K175" s="109"/>
      <c r="L175" s="109"/>
      <c r="N175" s="107"/>
      <c r="P175" s="107"/>
      <c r="Q175" s="107"/>
    </row>
    <row r="176" spans="1:20" x14ac:dyDescent="0.15">
      <c r="A176" s="38">
        <f t="shared" si="19"/>
        <v>1822</v>
      </c>
      <c r="B176" s="109"/>
      <c r="C176" s="109"/>
      <c r="D176" s="109"/>
      <c r="E176" s="109"/>
      <c r="F176" s="109"/>
      <c r="G176" s="109"/>
      <c r="H176" s="109"/>
      <c r="I176" s="109"/>
      <c r="J176" s="109"/>
      <c r="K176" s="109"/>
      <c r="L176" s="109"/>
      <c r="N176" s="107"/>
      <c r="P176" s="107"/>
      <c r="Q176" s="107"/>
      <c r="R176" s="96">
        <v>11.530058</v>
      </c>
      <c r="T176" s="98">
        <f t="shared" ref="T176:T177" si="22">R176*0.0884-0.1258</f>
        <v>0.89345712720000015</v>
      </c>
    </row>
    <row r="177" spans="1:20" x14ac:dyDescent="0.15">
      <c r="A177" s="38">
        <f t="shared" si="19"/>
        <v>1823</v>
      </c>
      <c r="B177" s="109"/>
      <c r="C177" s="109"/>
      <c r="D177" s="109"/>
      <c r="E177" s="109"/>
      <c r="F177" s="109"/>
      <c r="G177" s="109"/>
      <c r="H177" s="109"/>
      <c r="I177" s="109"/>
      <c r="J177" s="109"/>
      <c r="K177" s="109"/>
      <c r="L177" s="109"/>
      <c r="N177" s="107"/>
      <c r="P177" s="107"/>
      <c r="Q177" s="107"/>
      <c r="R177" s="96">
        <v>4.8041908333333332</v>
      </c>
      <c r="T177" s="98">
        <f t="shared" si="22"/>
        <v>0.29889046966666666</v>
      </c>
    </row>
    <row r="178" spans="1:20" x14ac:dyDescent="0.15">
      <c r="A178" s="38">
        <f t="shared" si="19"/>
        <v>1824</v>
      </c>
      <c r="B178" s="109"/>
      <c r="C178" s="109"/>
      <c r="D178" s="109"/>
      <c r="E178" s="109"/>
      <c r="F178" s="109"/>
      <c r="G178" s="109"/>
      <c r="H178" s="109"/>
      <c r="I178" s="109"/>
      <c r="J178" s="109"/>
      <c r="K178" s="109"/>
      <c r="L178" s="109"/>
      <c r="N178" s="107"/>
      <c r="P178" s="107"/>
      <c r="Q178" s="107"/>
    </row>
    <row r="179" spans="1:20" x14ac:dyDescent="0.15">
      <c r="A179" s="38">
        <f t="shared" si="19"/>
        <v>1825</v>
      </c>
      <c r="B179" s="109"/>
      <c r="C179" s="109"/>
      <c r="D179" s="109"/>
      <c r="E179" s="109"/>
      <c r="F179" s="109"/>
      <c r="G179" s="109"/>
      <c r="H179" s="109"/>
      <c r="I179" s="109"/>
      <c r="J179" s="109"/>
      <c r="K179" s="109">
        <v>7.4863306058552181E-2</v>
      </c>
      <c r="L179" s="109"/>
      <c r="N179" s="107"/>
      <c r="O179" s="24">
        <f>K179*104.6/37.854</f>
        <v>0.20686590092789553</v>
      </c>
      <c r="P179" s="107"/>
      <c r="Q179" s="107"/>
      <c r="R179" s="96">
        <v>10.092232314880953</v>
      </c>
      <c r="S179" s="96">
        <v>0.20686590092789553</v>
      </c>
      <c r="T179" s="24">
        <v>0.20686590092789553</v>
      </c>
    </row>
    <row r="180" spans="1:20" x14ac:dyDescent="0.15">
      <c r="A180" s="38">
        <f t="shared" si="19"/>
        <v>1826</v>
      </c>
      <c r="B180" s="109"/>
      <c r="C180" s="109"/>
      <c r="D180" s="109"/>
      <c r="E180" s="109"/>
      <c r="F180" s="109"/>
      <c r="G180" s="109"/>
      <c r="H180" s="109"/>
      <c r="I180" s="109"/>
      <c r="J180" s="109"/>
      <c r="K180" s="109"/>
      <c r="L180" s="109"/>
      <c r="N180" s="107"/>
      <c r="P180" s="107"/>
      <c r="Q180" s="107"/>
    </row>
    <row r="181" spans="1:20" x14ac:dyDescent="0.15">
      <c r="A181" s="38">
        <f t="shared" si="19"/>
        <v>1827</v>
      </c>
      <c r="B181" s="109"/>
      <c r="C181" s="109"/>
      <c r="D181" s="109"/>
      <c r="E181" s="109"/>
      <c r="F181" s="109"/>
      <c r="G181" s="109"/>
      <c r="H181" s="109"/>
      <c r="I181" s="109"/>
      <c r="J181" s="109"/>
      <c r="K181" s="109">
        <v>8.813309896578507E-2</v>
      </c>
      <c r="L181" s="109"/>
      <c r="N181" s="107"/>
      <c r="O181" s="24">
        <f>K181*104.6/37.854</f>
        <v>0.24353363321765514</v>
      </c>
      <c r="P181" s="107"/>
      <c r="Q181" s="107"/>
      <c r="S181" s="96">
        <v>0.24353363321765514</v>
      </c>
      <c r="T181" s="24">
        <v>0.24353363321765514</v>
      </c>
    </row>
    <row r="182" spans="1:20" x14ac:dyDescent="0.15">
      <c r="A182" s="38">
        <f t="shared" si="19"/>
        <v>1828</v>
      </c>
      <c r="B182" s="109"/>
      <c r="C182" s="109"/>
      <c r="D182" s="109"/>
      <c r="E182" s="109"/>
      <c r="F182" s="109"/>
      <c r="G182" s="109"/>
      <c r="H182" s="109"/>
      <c r="I182" s="109"/>
      <c r="J182" s="109"/>
      <c r="K182" s="109"/>
      <c r="L182" s="109"/>
      <c r="N182" s="107"/>
      <c r="P182" s="107"/>
      <c r="Q182" s="107"/>
      <c r="R182" s="96">
        <v>7.3023700666666649</v>
      </c>
      <c r="T182" s="98">
        <f t="shared" ref="T182:T186" si="23">R182*0.0884-0.1258</f>
        <v>0.51972951389333322</v>
      </c>
    </row>
    <row r="183" spans="1:20" x14ac:dyDescent="0.15">
      <c r="A183" s="38">
        <f t="shared" si="19"/>
        <v>1829</v>
      </c>
      <c r="B183" s="109"/>
      <c r="C183" s="109"/>
      <c r="D183" s="109"/>
      <c r="E183" s="109"/>
      <c r="F183" s="109"/>
      <c r="G183" s="109"/>
      <c r="H183" s="109"/>
      <c r="I183" s="109"/>
      <c r="J183" s="109"/>
      <c r="K183" s="109"/>
      <c r="L183" s="109"/>
      <c r="N183" s="107"/>
      <c r="P183" s="107"/>
      <c r="Q183" s="107"/>
      <c r="R183" s="96">
        <v>7.5906215166666664</v>
      </c>
      <c r="T183" s="98">
        <f t="shared" si="23"/>
        <v>0.54521094207333332</v>
      </c>
    </row>
    <row r="184" spans="1:20" x14ac:dyDescent="0.15">
      <c r="A184" s="38">
        <f t="shared" si="19"/>
        <v>1830</v>
      </c>
      <c r="B184" s="109"/>
      <c r="C184" s="109"/>
      <c r="D184" s="109"/>
      <c r="E184" s="109"/>
      <c r="F184" s="109"/>
      <c r="G184" s="109"/>
      <c r="H184" s="109"/>
      <c r="I184" s="109"/>
      <c r="J184" s="109"/>
      <c r="K184" s="109"/>
      <c r="L184" s="109"/>
      <c r="N184" s="107"/>
      <c r="P184" s="107"/>
      <c r="Q184" s="107"/>
      <c r="R184" s="96">
        <v>8.3592920499999988</v>
      </c>
      <c r="T184" s="98">
        <f t="shared" si="23"/>
        <v>0.61316141721999995</v>
      </c>
    </row>
    <row r="185" spans="1:20" x14ac:dyDescent="0.15">
      <c r="A185" s="38">
        <f t="shared" si="19"/>
        <v>1831</v>
      </c>
      <c r="B185" s="109"/>
      <c r="C185" s="109"/>
      <c r="D185" s="109"/>
      <c r="E185" s="109"/>
      <c r="F185" s="109"/>
      <c r="G185" s="109"/>
      <c r="H185" s="109"/>
      <c r="I185" s="109"/>
      <c r="J185" s="109"/>
      <c r="K185" s="109"/>
      <c r="L185" s="109"/>
      <c r="N185" s="107"/>
      <c r="P185" s="107"/>
      <c r="Q185" s="107"/>
      <c r="R185" s="96">
        <v>6.5336995333333334</v>
      </c>
      <c r="T185" s="98">
        <f t="shared" si="23"/>
        <v>0.45177903874666669</v>
      </c>
    </row>
    <row r="186" spans="1:20" x14ac:dyDescent="0.15">
      <c r="A186" s="38">
        <f t="shared" si="19"/>
        <v>1832</v>
      </c>
      <c r="B186" s="109"/>
      <c r="C186" s="109"/>
      <c r="D186" s="109"/>
      <c r="E186" s="109"/>
      <c r="F186" s="109"/>
      <c r="G186" s="109"/>
      <c r="H186" s="109"/>
      <c r="I186" s="109"/>
      <c r="J186" s="109"/>
      <c r="K186" s="109"/>
      <c r="L186" s="109"/>
      <c r="N186" s="107"/>
      <c r="P186" s="107"/>
      <c r="Q186" s="107"/>
      <c r="R186" s="96">
        <v>6.4376157166666665</v>
      </c>
      <c r="T186" s="98">
        <f t="shared" si="23"/>
        <v>0.44328522935333337</v>
      </c>
    </row>
    <row r="187" spans="1:20" x14ac:dyDescent="0.15">
      <c r="A187" s="38">
        <f t="shared" si="19"/>
        <v>1833</v>
      </c>
      <c r="B187" s="109"/>
      <c r="C187" s="109"/>
      <c r="D187" s="109"/>
      <c r="E187" s="109"/>
      <c r="F187" s="109"/>
      <c r="G187" s="109"/>
      <c r="H187" s="109"/>
      <c r="I187" s="109"/>
      <c r="J187" s="109"/>
      <c r="K187" s="109"/>
      <c r="L187" s="109">
        <v>5.6594826176537924E-2</v>
      </c>
      <c r="N187" s="107"/>
      <c r="O187" s="24">
        <f>L187*104.6/37.854</f>
        <v>0.15638555550446101</v>
      </c>
      <c r="P187" s="107"/>
      <c r="Q187" s="107"/>
      <c r="R187" s="96">
        <v>6.1493642666666668</v>
      </c>
      <c r="S187" s="96">
        <v>0.15638555550446101</v>
      </c>
      <c r="T187" s="24">
        <v>0.15638555550446101</v>
      </c>
    </row>
    <row r="188" spans="1:20" x14ac:dyDescent="0.15">
      <c r="A188" s="38">
        <f t="shared" si="19"/>
        <v>1834</v>
      </c>
      <c r="B188" s="109"/>
      <c r="C188" s="109"/>
      <c r="D188" s="109"/>
      <c r="E188" s="109"/>
      <c r="F188" s="109"/>
      <c r="G188" s="109"/>
      <c r="H188" s="109"/>
      <c r="I188" s="109"/>
      <c r="J188" s="109"/>
      <c r="K188" s="109"/>
      <c r="L188" s="109"/>
      <c r="N188" s="107"/>
      <c r="P188" s="107"/>
      <c r="Q188" s="107"/>
      <c r="R188" s="96">
        <v>6.1493642666666668</v>
      </c>
      <c r="T188" s="98">
        <f t="shared" ref="T188:T189" si="24">R188*0.0884-0.1258</f>
        <v>0.41780380117333338</v>
      </c>
    </row>
    <row r="189" spans="1:20" x14ac:dyDescent="0.15">
      <c r="A189" s="38">
        <f t="shared" si="19"/>
        <v>1835</v>
      </c>
      <c r="B189" s="109"/>
      <c r="C189" s="109"/>
      <c r="D189" s="109"/>
      <c r="E189" s="109"/>
      <c r="F189" s="109"/>
      <c r="G189" s="109"/>
      <c r="H189" s="109"/>
      <c r="I189" s="109"/>
      <c r="J189" s="109"/>
      <c r="K189" s="109"/>
      <c r="L189" s="109"/>
      <c r="N189" s="107"/>
      <c r="P189" s="107"/>
      <c r="Q189" s="107"/>
      <c r="R189" s="96">
        <v>7.3984538833333335</v>
      </c>
      <c r="T189" s="98">
        <f t="shared" si="24"/>
        <v>0.52822332328666666</v>
      </c>
    </row>
    <row r="190" spans="1:20" x14ac:dyDescent="0.15">
      <c r="A190" s="38">
        <f t="shared" si="19"/>
        <v>1836</v>
      </c>
      <c r="B190" s="109"/>
      <c r="C190" s="109"/>
      <c r="D190" s="109"/>
      <c r="E190" s="109"/>
      <c r="F190" s="109"/>
      <c r="G190" s="109"/>
      <c r="H190" s="109"/>
      <c r="I190" s="109"/>
      <c r="J190" s="109"/>
      <c r="K190" s="109"/>
      <c r="L190" s="109">
        <v>0.10141633152649064</v>
      </c>
      <c r="N190" s="107"/>
      <c r="O190" s="24">
        <f t="shared" ref="O190:O204" si="25">L190*104.6/37.854</f>
        <v>0.28023850260661809</v>
      </c>
      <c r="P190" s="107"/>
      <c r="Q190" s="107"/>
      <c r="R190" s="96">
        <v>8.2632082333333337</v>
      </c>
      <c r="S190" s="96">
        <v>0.28023850260661809</v>
      </c>
      <c r="T190" s="24">
        <v>0.28023850260661809</v>
      </c>
    </row>
    <row r="191" spans="1:20" x14ac:dyDescent="0.15">
      <c r="A191" s="38">
        <f t="shared" si="19"/>
        <v>1837</v>
      </c>
      <c r="B191" s="109"/>
      <c r="C191" s="109"/>
      <c r="D191" s="109"/>
      <c r="E191" s="109"/>
      <c r="F191" s="109"/>
      <c r="G191" s="109"/>
      <c r="H191" s="109"/>
      <c r="I191" s="109"/>
      <c r="J191" s="109"/>
      <c r="K191" s="109"/>
      <c r="L191" s="109">
        <v>8.0465985057019268E-2</v>
      </c>
      <c r="N191" s="107"/>
      <c r="O191" s="24">
        <f t="shared" si="25"/>
        <v>0.22234749397591314</v>
      </c>
      <c r="P191" s="107"/>
      <c r="Q191" s="107"/>
      <c r="R191" s="96">
        <v>7.1102024333333329</v>
      </c>
      <c r="S191" s="96">
        <v>0.22234749397591314</v>
      </c>
      <c r="T191" s="24">
        <v>0.22234749397591314</v>
      </c>
    </row>
    <row r="192" spans="1:20" x14ac:dyDescent="0.15">
      <c r="A192" s="38">
        <f t="shared" si="19"/>
        <v>1838</v>
      </c>
      <c r="B192" s="109"/>
      <c r="C192" s="109"/>
      <c r="D192" s="109"/>
      <c r="E192" s="109"/>
      <c r="F192" s="109"/>
      <c r="G192" s="109"/>
      <c r="H192" s="109"/>
      <c r="I192" s="109"/>
      <c r="J192" s="109"/>
      <c r="K192" s="109"/>
      <c r="L192" s="109">
        <v>9.1305295271300935E-2</v>
      </c>
      <c r="N192" s="107"/>
      <c r="O192" s="24">
        <f t="shared" si="25"/>
        <v>0.25229919916991805</v>
      </c>
      <c r="P192" s="107"/>
      <c r="Q192" s="107"/>
      <c r="R192" s="96">
        <v>7.1498580020564741</v>
      </c>
      <c r="S192" s="96">
        <v>0.25229919916991805</v>
      </c>
      <c r="T192" s="24">
        <v>0.25229919916991805</v>
      </c>
    </row>
    <row r="193" spans="1:20" x14ac:dyDescent="0.15">
      <c r="A193" s="38">
        <f t="shared" si="19"/>
        <v>1839</v>
      </c>
      <c r="B193" s="109"/>
      <c r="C193" s="109"/>
      <c r="D193" s="109"/>
      <c r="E193" s="109"/>
      <c r="F193" s="109"/>
      <c r="G193" s="109"/>
      <c r="H193" s="109"/>
      <c r="I193" s="109"/>
      <c r="J193" s="109"/>
      <c r="K193" s="109"/>
      <c r="L193" s="109">
        <v>7.4531463323817798E-2</v>
      </c>
      <c r="N193" s="107"/>
      <c r="O193" s="24">
        <f t="shared" si="25"/>
        <v>0.20594893706533896</v>
      </c>
      <c r="P193" s="107"/>
      <c r="Q193" s="107"/>
      <c r="R193" s="96">
        <v>8.155861560226354</v>
      </c>
      <c r="S193" s="96">
        <v>0.20594893706533896</v>
      </c>
      <c r="T193" s="24">
        <v>0.20594893706533896</v>
      </c>
    </row>
    <row r="194" spans="1:20" x14ac:dyDescent="0.15">
      <c r="A194" s="38">
        <f t="shared" si="19"/>
        <v>1840</v>
      </c>
      <c r="B194" s="109"/>
      <c r="C194" s="109"/>
      <c r="D194" s="109"/>
      <c r="E194" s="109"/>
      <c r="F194" s="109"/>
      <c r="G194" s="109"/>
      <c r="H194" s="109"/>
      <c r="I194" s="109"/>
      <c r="J194" s="109"/>
      <c r="K194" s="109"/>
      <c r="L194" s="109">
        <v>6.0861759425493718E-2</v>
      </c>
      <c r="N194" s="107"/>
      <c r="O194" s="24">
        <f t="shared" si="25"/>
        <v>0.16817615142142556</v>
      </c>
      <c r="P194" s="107"/>
      <c r="Q194" s="107"/>
      <c r="R194" s="96">
        <v>7.7075967431908863</v>
      </c>
      <c r="S194" s="96">
        <v>0.16817615142142556</v>
      </c>
      <c r="T194" s="24">
        <v>0.16817615142142556</v>
      </c>
    </row>
    <row r="195" spans="1:20" x14ac:dyDescent="0.15">
      <c r="A195" s="38">
        <f t="shared" si="19"/>
        <v>1841</v>
      </c>
      <c r="B195" s="109"/>
      <c r="C195" s="109"/>
      <c r="D195" s="109"/>
      <c r="E195" s="109"/>
      <c r="F195" s="109"/>
      <c r="G195" s="109"/>
      <c r="H195" s="109"/>
      <c r="I195" s="109"/>
      <c r="J195" s="109"/>
      <c r="K195" s="109"/>
      <c r="L195" s="109">
        <v>5.2371541501976288E-2</v>
      </c>
      <c r="N195" s="107"/>
      <c r="O195" s="24">
        <f t="shared" si="25"/>
        <v>0.14471557143516456</v>
      </c>
      <c r="P195" s="107"/>
      <c r="Q195" s="107"/>
      <c r="R195" s="96">
        <v>7.7398054892806085</v>
      </c>
      <c r="S195" s="96">
        <v>0.14471557143516456</v>
      </c>
      <c r="T195" s="24">
        <v>0.14471557143516456</v>
      </c>
    </row>
    <row r="196" spans="1:20" x14ac:dyDescent="0.15">
      <c r="A196" s="38">
        <f t="shared" si="19"/>
        <v>1842</v>
      </c>
      <c r="B196" s="109"/>
      <c r="C196" s="109"/>
      <c r="D196" s="109"/>
      <c r="E196" s="109"/>
      <c r="F196" s="109"/>
      <c r="G196" s="109"/>
      <c r="H196" s="109"/>
      <c r="I196" s="109"/>
      <c r="J196" s="109"/>
      <c r="K196" s="109"/>
      <c r="L196" s="109">
        <v>7.9970772103596655E-2</v>
      </c>
      <c r="N196" s="107"/>
      <c r="O196" s="24">
        <f t="shared" si="25"/>
        <v>0.22097909763925105</v>
      </c>
      <c r="P196" s="107"/>
      <c r="Q196" s="107"/>
      <c r="R196" s="96">
        <v>6.9154829612689044</v>
      </c>
      <c r="S196" s="96">
        <v>0.22097909763925105</v>
      </c>
      <c r="T196" s="24">
        <v>0.22097909763925105</v>
      </c>
    </row>
    <row r="197" spans="1:20" x14ac:dyDescent="0.15">
      <c r="A197" s="38">
        <f t="shared" si="19"/>
        <v>1843</v>
      </c>
      <c r="B197" s="109"/>
      <c r="C197" s="109"/>
      <c r="D197" s="109"/>
      <c r="E197" s="109"/>
      <c r="F197" s="109"/>
      <c r="G197" s="109"/>
      <c r="H197" s="109"/>
      <c r="I197" s="109"/>
      <c r="J197" s="109"/>
      <c r="K197" s="109"/>
      <c r="L197" s="109">
        <v>8.1721680965537294E-2</v>
      </c>
      <c r="N197" s="107"/>
      <c r="O197" s="24">
        <f t="shared" si="25"/>
        <v>0.22581729352235433</v>
      </c>
      <c r="P197" s="107"/>
      <c r="Q197" s="107"/>
      <c r="R197" s="96">
        <v>7.4575335764140265</v>
      </c>
      <c r="S197" s="96">
        <v>0.22581729352235433</v>
      </c>
      <c r="T197" s="24">
        <v>0.22581729352235433</v>
      </c>
    </row>
    <row r="198" spans="1:20" x14ac:dyDescent="0.15">
      <c r="A198" s="38">
        <f t="shared" si="19"/>
        <v>1844</v>
      </c>
      <c r="B198" s="109"/>
      <c r="C198" s="109"/>
      <c r="D198" s="109"/>
      <c r="E198" s="109"/>
      <c r="F198" s="109"/>
      <c r="G198" s="109"/>
      <c r="H198" s="109"/>
      <c r="I198" s="109"/>
      <c r="J198" s="109"/>
      <c r="K198" s="109"/>
      <c r="L198" s="109">
        <v>0.11011699931176876</v>
      </c>
      <c r="N198" s="107"/>
      <c r="O198" s="24">
        <f t="shared" si="25"/>
        <v>0.3042806078092411</v>
      </c>
      <c r="P198" s="107"/>
      <c r="Q198" s="107"/>
      <c r="R198" s="96">
        <v>7.344533127211772</v>
      </c>
      <c r="S198" s="96">
        <v>0.3042806078092411</v>
      </c>
      <c r="T198" s="24">
        <v>0.3042806078092411</v>
      </c>
    </row>
    <row r="199" spans="1:20" x14ac:dyDescent="0.15">
      <c r="A199" s="38">
        <f t="shared" si="19"/>
        <v>1845</v>
      </c>
      <c r="B199" s="109"/>
      <c r="C199" s="109"/>
      <c r="D199" s="109"/>
      <c r="E199" s="109"/>
      <c r="F199" s="109"/>
      <c r="G199" s="109"/>
      <c r="H199" s="109"/>
      <c r="I199" s="109"/>
      <c r="J199" s="109"/>
      <c r="K199" s="109"/>
      <c r="L199" s="109">
        <v>0.11538461538461539</v>
      </c>
      <c r="N199" s="107"/>
      <c r="O199" s="24">
        <f t="shared" si="25"/>
        <v>0.31883633880780815</v>
      </c>
      <c r="P199" s="107"/>
      <c r="Q199" s="107"/>
      <c r="R199" s="96">
        <v>6.7170582755019153</v>
      </c>
      <c r="S199" s="96">
        <v>0.31883633880780815</v>
      </c>
      <c r="T199" s="24">
        <v>0.31883633880780815</v>
      </c>
    </row>
    <row r="200" spans="1:20" x14ac:dyDescent="0.15">
      <c r="A200" s="38">
        <f t="shared" si="19"/>
        <v>1846</v>
      </c>
      <c r="B200" s="109"/>
      <c r="C200" s="109"/>
      <c r="D200" s="109"/>
      <c r="E200" s="109"/>
      <c r="F200" s="109"/>
      <c r="G200" s="109"/>
      <c r="H200" s="109"/>
      <c r="I200" s="109"/>
      <c r="J200" s="109"/>
      <c r="K200" s="109"/>
      <c r="L200" s="109">
        <v>5.9782608695652176E-2</v>
      </c>
      <c r="N200" s="107"/>
      <c r="O200" s="24">
        <f t="shared" si="25"/>
        <v>0.1651941900344803</v>
      </c>
      <c r="P200" s="107"/>
      <c r="Q200" s="107"/>
      <c r="R200" s="96">
        <v>8.6591198634538138</v>
      </c>
      <c r="S200" s="96">
        <v>0.1651941900344803</v>
      </c>
      <c r="T200" s="24">
        <v>0.1651941900344803</v>
      </c>
    </row>
    <row r="201" spans="1:20" x14ac:dyDescent="0.15">
      <c r="A201" s="38">
        <f t="shared" si="19"/>
        <v>1847</v>
      </c>
      <c r="B201" s="109"/>
      <c r="C201" s="109"/>
      <c r="D201" s="109"/>
      <c r="E201" s="109"/>
      <c r="F201" s="109"/>
      <c r="G201" s="109"/>
      <c r="H201" s="109"/>
      <c r="I201" s="109"/>
      <c r="J201" s="109"/>
      <c r="K201" s="109"/>
      <c r="L201" s="109">
        <v>6.7690160502442434E-2</v>
      </c>
      <c r="N201" s="107"/>
      <c r="O201" s="24">
        <f t="shared" si="25"/>
        <v>0.18704471888190094</v>
      </c>
      <c r="P201" s="107"/>
      <c r="Q201" s="107"/>
      <c r="R201" s="96">
        <v>10.50108434460698</v>
      </c>
      <c r="S201" s="96">
        <v>0.18704471888190094</v>
      </c>
      <c r="T201" s="24">
        <v>0.18704471888190094</v>
      </c>
    </row>
    <row r="202" spans="1:20" x14ac:dyDescent="0.15">
      <c r="A202" s="38">
        <f t="shared" si="19"/>
        <v>1848</v>
      </c>
      <c r="B202" s="109"/>
      <c r="C202" s="109"/>
      <c r="D202" s="109"/>
      <c r="E202" s="109"/>
      <c r="F202" s="109"/>
      <c r="G202" s="109"/>
      <c r="H202" s="109"/>
      <c r="I202" s="109"/>
      <c r="J202" s="109"/>
      <c r="K202" s="109"/>
      <c r="L202" s="109">
        <v>7.8034682080924858E-2</v>
      </c>
      <c r="N202" s="107"/>
      <c r="O202" s="24">
        <f t="shared" si="25"/>
        <v>0.21562920023418239</v>
      </c>
      <c r="P202" s="107"/>
      <c r="Q202" s="107"/>
      <c r="R202" s="96">
        <v>9.0083468078087474</v>
      </c>
      <c r="S202" s="96">
        <v>0.21562920023418239</v>
      </c>
      <c r="T202" s="24">
        <v>0.21562920023418239</v>
      </c>
    </row>
    <row r="203" spans="1:20" x14ac:dyDescent="0.15">
      <c r="A203" s="38">
        <f t="shared" si="19"/>
        <v>1849</v>
      </c>
      <c r="B203" s="109"/>
      <c r="C203" s="109"/>
      <c r="D203" s="109"/>
      <c r="E203" s="109"/>
      <c r="F203" s="109"/>
      <c r="G203" s="109"/>
      <c r="H203" s="109"/>
      <c r="I203" s="109"/>
      <c r="J203" s="109"/>
      <c r="K203" s="109"/>
      <c r="L203" s="109">
        <v>0.10606522401706797</v>
      </c>
      <c r="N203" s="107"/>
      <c r="O203" s="24">
        <f t="shared" si="25"/>
        <v>0.2930845467370769</v>
      </c>
      <c r="P203" s="107"/>
      <c r="Q203" s="107"/>
      <c r="R203" s="96">
        <v>6.2669101042382591</v>
      </c>
      <c r="S203" s="96">
        <v>0.2930845467370769</v>
      </c>
      <c r="T203" s="24">
        <v>0.2930845467370769</v>
      </c>
    </row>
    <row r="204" spans="1:20" x14ac:dyDescent="0.15">
      <c r="A204" s="38">
        <f t="shared" si="19"/>
        <v>1850</v>
      </c>
      <c r="B204" s="109"/>
      <c r="C204" s="109"/>
      <c r="D204" s="109"/>
      <c r="E204" s="109"/>
      <c r="F204" s="109"/>
      <c r="G204" s="109"/>
      <c r="H204" s="109"/>
      <c r="I204" s="109"/>
      <c r="J204" s="109"/>
      <c r="K204" s="109"/>
      <c r="L204" s="109">
        <v>6.0782681099084093E-2</v>
      </c>
      <c r="N204" s="107"/>
      <c r="O204" s="24">
        <f t="shared" si="25"/>
        <v>0.16795763837280595</v>
      </c>
      <c r="P204" s="107"/>
      <c r="Q204" s="107"/>
      <c r="R204" s="96">
        <v>6.5271958271897326</v>
      </c>
      <c r="S204" s="96">
        <v>0.16795763837280595</v>
      </c>
      <c r="T204" s="24">
        <v>0.16795763837280595</v>
      </c>
    </row>
    <row r="205" spans="1:20" x14ac:dyDescent="0.15">
      <c r="A205" s="38">
        <f t="shared" si="19"/>
        <v>1851</v>
      </c>
      <c r="B205" s="109"/>
      <c r="C205" s="109"/>
      <c r="D205" s="109"/>
      <c r="E205" s="109"/>
      <c r="F205" s="109"/>
      <c r="G205" s="109"/>
      <c r="H205" s="109"/>
      <c r="I205" s="109"/>
      <c r="J205" s="109"/>
      <c r="K205" s="109"/>
      <c r="L205" s="109"/>
      <c r="N205" s="107"/>
      <c r="P205" s="107"/>
      <c r="Q205" s="107"/>
      <c r="R205" s="96">
        <v>8.0045700592982652</v>
      </c>
      <c r="T205" s="98">
        <f>R205*0.0884-0.1258</f>
        <v>0.58180399324196663</v>
      </c>
    </row>
    <row r="206" spans="1:20" x14ac:dyDescent="0.15">
      <c r="A206" s="38">
        <f t="shared" si="19"/>
        <v>1852</v>
      </c>
      <c r="B206" s="109"/>
      <c r="C206" s="109"/>
      <c r="D206" s="109"/>
      <c r="E206" s="109"/>
      <c r="F206" s="109"/>
      <c r="G206" s="109"/>
      <c r="H206" s="109"/>
      <c r="I206" s="109"/>
      <c r="J206" s="109"/>
      <c r="K206" s="109"/>
      <c r="L206" s="109">
        <v>0.13873849485652409</v>
      </c>
      <c r="N206" s="107"/>
      <c r="O206" s="24">
        <f t="shared" ref="O206:O207" si="26">L206*104.6/37.854</f>
        <v>0.38336890584858718</v>
      </c>
      <c r="P206" s="107"/>
      <c r="Q206" s="107"/>
      <c r="R206" s="96">
        <v>7.7308396782822486</v>
      </c>
      <c r="S206" s="96">
        <v>0.38336890584858718</v>
      </c>
      <c r="T206" s="24">
        <v>0.38336890584858718</v>
      </c>
    </row>
    <row r="207" spans="1:20" x14ac:dyDescent="0.15">
      <c r="A207" s="38">
        <f t="shared" si="19"/>
        <v>1853</v>
      </c>
      <c r="B207" s="109"/>
      <c r="C207" s="109"/>
      <c r="D207" s="109"/>
      <c r="E207" s="109"/>
      <c r="F207" s="109"/>
      <c r="G207" s="109"/>
      <c r="H207" s="109"/>
      <c r="I207" s="109"/>
      <c r="J207" s="109"/>
      <c r="K207" s="109"/>
      <c r="L207" s="109">
        <v>0.1063912704598597</v>
      </c>
      <c r="N207" s="107"/>
      <c r="O207" s="24">
        <f t="shared" si="26"/>
        <v>0.29398549400595247</v>
      </c>
      <c r="P207" s="107"/>
      <c r="Q207" s="107"/>
      <c r="R207" s="96">
        <v>8.6421986287813226</v>
      </c>
      <c r="S207" s="96">
        <v>0.29398549400595247</v>
      </c>
      <c r="T207" s="24">
        <v>0.29398549400595247</v>
      </c>
    </row>
    <row r="208" spans="1:20" x14ac:dyDescent="0.15">
      <c r="A208" s="38">
        <f t="shared" si="19"/>
        <v>1854</v>
      </c>
      <c r="B208" s="109"/>
      <c r="C208" s="109"/>
      <c r="D208" s="109"/>
      <c r="E208" s="109"/>
      <c r="F208" s="109"/>
      <c r="G208" s="109"/>
      <c r="H208" s="109"/>
      <c r="I208" s="109"/>
      <c r="J208" s="109"/>
      <c r="K208" s="109"/>
      <c r="L208" s="109"/>
      <c r="N208" s="107"/>
      <c r="P208" s="107"/>
      <c r="Q208" s="107"/>
      <c r="R208" s="96">
        <v>8.43017355409836</v>
      </c>
      <c r="T208" s="98">
        <f t="shared" ref="T208:T209" si="27">R208*0.0884-0.1258</f>
        <v>0.619427342182295</v>
      </c>
    </row>
    <row r="209" spans="1:20" x14ac:dyDescent="0.15">
      <c r="A209" s="38">
        <f t="shared" si="19"/>
        <v>1855</v>
      </c>
      <c r="B209" s="109"/>
      <c r="C209" s="109"/>
      <c r="D209" s="109"/>
      <c r="E209" s="109"/>
      <c r="F209" s="109"/>
      <c r="G209" s="109"/>
      <c r="H209" s="109"/>
      <c r="I209" s="109"/>
      <c r="J209" s="109"/>
      <c r="K209" s="109"/>
      <c r="L209" s="109"/>
      <c r="N209" s="107"/>
      <c r="P209" s="107"/>
      <c r="Q209" s="107"/>
      <c r="R209" s="96">
        <v>9.3019686504751853</v>
      </c>
      <c r="T209" s="98">
        <f t="shared" si="27"/>
        <v>0.69649402870200638</v>
      </c>
    </row>
    <row r="210" spans="1:20" x14ac:dyDescent="0.15">
      <c r="A210" s="38">
        <f t="shared" si="19"/>
        <v>1856</v>
      </c>
      <c r="B210" s="109"/>
      <c r="C210" s="109"/>
      <c r="D210" s="109"/>
      <c r="E210" s="109"/>
      <c r="F210" s="109"/>
      <c r="G210" s="109"/>
      <c r="H210" s="109"/>
      <c r="I210" s="109"/>
      <c r="J210" s="109"/>
      <c r="K210" s="109"/>
      <c r="L210" s="109"/>
      <c r="N210" s="107"/>
      <c r="P210" s="107"/>
      <c r="Q210" s="107"/>
    </row>
    <row r="211" spans="1:20" x14ac:dyDescent="0.15">
      <c r="A211" s="38">
        <f t="shared" si="19"/>
        <v>1857</v>
      </c>
      <c r="B211" s="109"/>
      <c r="C211" s="109"/>
      <c r="D211" s="109"/>
      <c r="E211" s="109"/>
      <c r="F211" s="109"/>
      <c r="G211" s="109"/>
      <c r="H211" s="109"/>
      <c r="I211" s="109"/>
      <c r="J211" s="109"/>
      <c r="K211" s="109"/>
      <c r="L211" s="109">
        <v>0.11912034208918754</v>
      </c>
      <c r="N211" s="107"/>
      <c r="O211" s="24">
        <f>L211*104.6/37.854</f>
        <v>0.32915907916016846</v>
      </c>
      <c r="P211" s="107"/>
      <c r="Q211" s="107"/>
      <c r="R211" s="96">
        <v>11.274890017819505</v>
      </c>
      <c r="S211" s="96">
        <v>0.32915907916016846</v>
      </c>
      <c r="T211" s="24">
        <v>0.32915907916016846</v>
      </c>
    </row>
    <row r="212" spans="1:20" x14ac:dyDescent="0.15">
      <c r="A212" s="38">
        <f t="shared" si="19"/>
        <v>1858</v>
      </c>
      <c r="B212" s="109"/>
      <c r="C212" s="109"/>
      <c r="D212" s="109"/>
      <c r="E212" s="109"/>
      <c r="F212" s="109"/>
      <c r="G212" s="109"/>
      <c r="H212" s="109"/>
      <c r="I212" s="109"/>
      <c r="J212" s="109"/>
      <c r="K212" s="109"/>
      <c r="L212" s="109"/>
      <c r="N212" s="107"/>
      <c r="P212" s="107"/>
      <c r="Q212" s="107"/>
    </row>
    <row r="213" spans="1:20" x14ac:dyDescent="0.15">
      <c r="A213" s="38">
        <f t="shared" si="19"/>
        <v>1859</v>
      </c>
      <c r="B213" s="109"/>
      <c r="C213" s="109"/>
      <c r="D213" s="109"/>
      <c r="E213" s="109"/>
      <c r="F213" s="109"/>
      <c r="G213" s="109"/>
      <c r="H213" s="109"/>
      <c r="I213" s="109"/>
      <c r="J213" s="109"/>
      <c r="K213" s="109"/>
      <c r="L213" s="109"/>
      <c r="N213" s="107"/>
      <c r="P213" s="107"/>
      <c r="Q213" s="107"/>
    </row>
    <row r="214" spans="1:20" x14ac:dyDescent="0.15">
      <c r="A214" s="38">
        <f t="shared" ref="A214:A264" si="28">A213+1</f>
        <v>1860</v>
      </c>
      <c r="B214" s="109"/>
      <c r="C214" s="109"/>
      <c r="D214" s="109"/>
      <c r="E214" s="109"/>
      <c r="F214" s="109"/>
      <c r="G214" s="109"/>
      <c r="H214" s="109"/>
      <c r="I214" s="109"/>
      <c r="J214" s="109"/>
      <c r="K214" s="109"/>
      <c r="L214" s="109"/>
      <c r="N214" s="107"/>
      <c r="P214" s="107"/>
      <c r="Q214" s="107"/>
      <c r="R214" s="96">
        <v>9.2591687062457844</v>
      </c>
      <c r="T214" s="98">
        <f>R214*0.0884-0.1258</f>
        <v>0.69271051363212732</v>
      </c>
    </row>
    <row r="215" spans="1:20" x14ac:dyDescent="0.15">
      <c r="A215" s="38">
        <f t="shared" si="28"/>
        <v>1861</v>
      </c>
      <c r="B215" s="109"/>
      <c r="C215" s="109"/>
      <c r="D215" s="109"/>
      <c r="E215" s="109"/>
      <c r="F215" s="109"/>
      <c r="G215" s="109"/>
      <c r="H215" s="109"/>
      <c r="I215" s="109"/>
      <c r="J215" s="109"/>
      <c r="K215" s="109"/>
      <c r="L215" s="109"/>
      <c r="N215" s="107"/>
      <c r="P215" s="107"/>
      <c r="Q215" s="107"/>
    </row>
    <row r="216" spans="1:20" x14ac:dyDescent="0.15">
      <c r="A216" s="38">
        <f t="shared" si="28"/>
        <v>1862</v>
      </c>
      <c r="B216" s="109"/>
      <c r="C216" s="109"/>
      <c r="D216" s="109"/>
      <c r="E216" s="109"/>
      <c r="F216" s="109"/>
      <c r="G216" s="109"/>
      <c r="H216" s="109"/>
      <c r="I216" s="109"/>
      <c r="J216" s="109"/>
      <c r="K216" s="109"/>
      <c r="L216" s="109"/>
      <c r="N216" s="107"/>
      <c r="P216" s="107"/>
      <c r="Q216" s="107"/>
    </row>
    <row r="217" spans="1:20" x14ac:dyDescent="0.15">
      <c r="A217" s="38">
        <f t="shared" si="28"/>
        <v>1863</v>
      </c>
      <c r="B217" s="109"/>
      <c r="C217" s="109"/>
      <c r="D217" s="109"/>
      <c r="E217" s="109"/>
      <c r="F217" s="109"/>
      <c r="G217" s="109"/>
      <c r="H217" s="109"/>
      <c r="I217" s="109"/>
      <c r="J217" s="109"/>
      <c r="K217" s="109"/>
      <c r="L217" s="109"/>
      <c r="N217" s="107"/>
      <c r="P217" s="107"/>
      <c r="Q217" s="107"/>
      <c r="R217" s="96">
        <v>8.7410990098432375</v>
      </c>
      <c r="T217" s="98">
        <f t="shared" ref="T217:T219" si="29">R217*0.0884-0.1258</f>
        <v>0.64691315247014225</v>
      </c>
    </row>
    <row r="218" spans="1:20" x14ac:dyDescent="0.15">
      <c r="A218" s="38">
        <f t="shared" si="28"/>
        <v>1864</v>
      </c>
      <c r="B218" s="109"/>
      <c r="C218" s="109"/>
      <c r="D218" s="109"/>
      <c r="E218" s="109"/>
      <c r="F218" s="109"/>
      <c r="G218" s="109"/>
      <c r="H218" s="109"/>
      <c r="I218" s="109"/>
      <c r="J218" s="109"/>
      <c r="K218" s="109"/>
      <c r="L218" s="109"/>
      <c r="N218" s="107"/>
      <c r="P218" s="107"/>
      <c r="Q218" s="107"/>
      <c r="R218" s="96">
        <v>7.596938094735286</v>
      </c>
      <c r="T218" s="98">
        <f t="shared" si="29"/>
        <v>0.54576932757459928</v>
      </c>
    </row>
    <row r="219" spans="1:20" x14ac:dyDescent="0.15">
      <c r="A219" s="38">
        <f t="shared" si="28"/>
        <v>1865</v>
      </c>
      <c r="B219" s="109"/>
      <c r="C219" s="109"/>
      <c r="D219" s="109"/>
      <c r="E219" s="109"/>
      <c r="F219" s="109"/>
      <c r="G219" s="109"/>
      <c r="H219" s="109"/>
      <c r="I219" s="109"/>
      <c r="J219" s="109"/>
      <c r="K219" s="109"/>
      <c r="L219" s="109"/>
      <c r="N219" s="107"/>
      <c r="P219" s="107"/>
      <c r="Q219" s="107"/>
      <c r="R219" s="96">
        <v>7.5192251816546003</v>
      </c>
      <c r="T219" s="98">
        <f t="shared" si="29"/>
        <v>0.53889950605826664</v>
      </c>
    </row>
    <row r="220" spans="1:20" x14ac:dyDescent="0.15">
      <c r="A220" s="38">
        <f t="shared" si="28"/>
        <v>1866</v>
      </c>
      <c r="B220" s="109"/>
      <c r="C220" s="109"/>
      <c r="D220" s="109"/>
      <c r="E220" s="109"/>
      <c r="F220" s="109"/>
      <c r="G220" s="109"/>
      <c r="H220" s="109"/>
      <c r="I220" s="109"/>
      <c r="J220" s="109"/>
      <c r="K220" s="109"/>
      <c r="L220" s="109"/>
      <c r="N220" s="107"/>
      <c r="P220" s="107"/>
      <c r="Q220" s="107"/>
    </row>
    <row r="221" spans="1:20" x14ac:dyDescent="0.15">
      <c r="A221" s="38">
        <f t="shared" si="28"/>
        <v>1867</v>
      </c>
      <c r="B221" s="109"/>
      <c r="C221" s="109"/>
      <c r="D221" s="109"/>
      <c r="E221" s="109"/>
      <c r="F221" s="109"/>
      <c r="G221" s="109"/>
      <c r="H221" s="109"/>
      <c r="I221" s="109"/>
      <c r="J221" s="109"/>
      <c r="K221" s="109"/>
      <c r="L221" s="109"/>
      <c r="N221" s="107"/>
      <c r="P221" s="107"/>
      <c r="Q221" s="107"/>
      <c r="R221" s="96">
        <v>8.0227523351419805</v>
      </c>
      <c r="T221" s="98">
        <f t="shared" ref="T221:T264" si="30">R221*0.0884-0.1258</f>
        <v>0.58341130642655115</v>
      </c>
    </row>
    <row r="222" spans="1:20" x14ac:dyDescent="0.15">
      <c r="A222" s="38">
        <f t="shared" si="28"/>
        <v>1868</v>
      </c>
      <c r="B222" s="109"/>
      <c r="C222" s="109"/>
      <c r="D222" s="109"/>
      <c r="E222" s="109"/>
      <c r="F222" s="109"/>
      <c r="G222" s="109"/>
      <c r="H222" s="109"/>
      <c r="I222" s="109"/>
      <c r="J222" s="109"/>
      <c r="K222" s="109"/>
      <c r="L222" s="109"/>
      <c r="N222" s="107"/>
      <c r="P222" s="107"/>
      <c r="Q222" s="107"/>
      <c r="R222" s="96">
        <v>7.8546504602306646</v>
      </c>
      <c r="T222" s="98">
        <f t="shared" si="30"/>
        <v>0.56855110068439074</v>
      </c>
    </row>
    <row r="223" spans="1:20" x14ac:dyDescent="0.15">
      <c r="A223" s="38">
        <f t="shared" si="28"/>
        <v>1869</v>
      </c>
      <c r="B223" s="109"/>
      <c r="C223" s="109"/>
      <c r="D223" s="109"/>
      <c r="E223" s="109"/>
      <c r="F223" s="109"/>
      <c r="G223" s="109"/>
      <c r="H223" s="109"/>
      <c r="I223" s="109"/>
      <c r="J223" s="109"/>
      <c r="K223" s="109"/>
      <c r="L223" s="109"/>
      <c r="N223" s="107"/>
      <c r="P223" s="107"/>
      <c r="Q223" s="107"/>
      <c r="R223" s="96">
        <v>7.8521421729292271</v>
      </c>
      <c r="T223" s="98">
        <f t="shared" si="30"/>
        <v>0.56832936808694368</v>
      </c>
    </row>
    <row r="224" spans="1:20" x14ac:dyDescent="0.15">
      <c r="A224" s="38">
        <f t="shared" si="28"/>
        <v>1870</v>
      </c>
      <c r="B224" s="109"/>
      <c r="C224" s="109"/>
      <c r="D224" s="109"/>
      <c r="E224" s="109"/>
      <c r="F224" s="109"/>
      <c r="G224" s="109"/>
      <c r="H224" s="109"/>
      <c r="I224" s="109"/>
      <c r="J224" s="109"/>
      <c r="K224" s="109"/>
      <c r="L224" s="109"/>
      <c r="N224" s="107"/>
      <c r="P224" s="107"/>
      <c r="Q224" s="107"/>
      <c r="R224" s="96">
        <v>7.7175583340590679</v>
      </c>
      <c r="T224" s="98">
        <f t="shared" si="30"/>
        <v>0.55643215673082158</v>
      </c>
    </row>
    <row r="225" spans="1:20" x14ac:dyDescent="0.15">
      <c r="A225" s="38">
        <f t="shared" si="28"/>
        <v>1871</v>
      </c>
      <c r="B225" s="109"/>
      <c r="C225" s="109"/>
      <c r="D225" s="109"/>
      <c r="E225" s="109"/>
      <c r="F225" s="109"/>
      <c r="G225" s="109"/>
      <c r="H225" s="109"/>
      <c r="I225" s="109"/>
      <c r="J225" s="109"/>
      <c r="K225" s="109"/>
      <c r="L225" s="109"/>
      <c r="N225" s="107"/>
      <c r="P225" s="107"/>
      <c r="Q225" s="107"/>
      <c r="R225" s="96">
        <v>7.785140212591986</v>
      </c>
      <c r="T225" s="98">
        <f t="shared" si="30"/>
        <v>0.56240639479313159</v>
      </c>
    </row>
    <row r="226" spans="1:20" x14ac:dyDescent="0.15">
      <c r="A226" s="38">
        <f t="shared" si="28"/>
        <v>1872</v>
      </c>
      <c r="B226" s="109"/>
      <c r="C226" s="109"/>
      <c r="D226" s="109"/>
      <c r="E226" s="109"/>
      <c r="F226" s="109"/>
      <c r="G226" s="109"/>
      <c r="H226" s="109"/>
      <c r="I226" s="109"/>
      <c r="J226" s="109"/>
      <c r="K226" s="109"/>
      <c r="L226" s="109"/>
      <c r="N226" s="107"/>
      <c r="P226" s="107"/>
      <c r="Q226" s="107"/>
      <c r="R226" s="96">
        <v>8.4917182535576696</v>
      </c>
      <c r="T226" s="98">
        <f t="shared" si="30"/>
        <v>0.62486789361449802</v>
      </c>
    </row>
    <row r="227" spans="1:20" x14ac:dyDescent="0.15">
      <c r="A227" s="38">
        <f t="shared" si="28"/>
        <v>1873</v>
      </c>
      <c r="B227" s="109"/>
      <c r="C227" s="109"/>
      <c r="D227" s="109"/>
      <c r="E227" s="109"/>
      <c r="F227" s="109"/>
      <c r="G227" s="109"/>
      <c r="H227" s="109"/>
      <c r="I227" s="109"/>
      <c r="J227" s="109"/>
      <c r="K227" s="109"/>
      <c r="L227" s="109"/>
      <c r="N227" s="107"/>
      <c r="P227" s="107"/>
      <c r="Q227" s="107"/>
      <c r="R227" s="96">
        <v>8.5123155018847569</v>
      </c>
      <c r="T227" s="98">
        <f t="shared" si="30"/>
        <v>0.62668869036661257</v>
      </c>
    </row>
    <row r="228" spans="1:20" x14ac:dyDescent="0.15">
      <c r="A228" s="38">
        <f t="shared" si="28"/>
        <v>1874</v>
      </c>
      <c r="B228" s="109"/>
      <c r="C228" s="109"/>
      <c r="D228" s="109"/>
      <c r="E228" s="109"/>
      <c r="F228" s="109"/>
      <c r="G228" s="109"/>
      <c r="H228" s="109"/>
      <c r="I228" s="109"/>
      <c r="J228" s="109"/>
      <c r="K228" s="109"/>
      <c r="L228" s="109"/>
      <c r="N228" s="107"/>
      <c r="P228" s="107"/>
      <c r="Q228" s="107"/>
      <c r="R228" s="96">
        <v>8.1626477013128991</v>
      </c>
      <c r="T228" s="98">
        <f t="shared" si="30"/>
        <v>0.59577805679606033</v>
      </c>
    </row>
    <row r="229" spans="1:20" x14ac:dyDescent="0.15">
      <c r="A229" s="38">
        <f t="shared" si="28"/>
        <v>1875</v>
      </c>
      <c r="B229" s="109"/>
      <c r="C229" s="109"/>
      <c r="D229" s="109"/>
      <c r="E229" s="109"/>
      <c r="F229" s="109"/>
      <c r="G229" s="109"/>
      <c r="H229" s="109"/>
      <c r="I229" s="109"/>
      <c r="J229" s="109"/>
      <c r="K229" s="109"/>
      <c r="L229" s="109"/>
      <c r="N229" s="107"/>
      <c r="P229" s="107"/>
      <c r="Q229" s="107"/>
      <c r="R229" s="96">
        <v>7.9034072553729064</v>
      </c>
      <c r="T229" s="98">
        <f t="shared" si="30"/>
        <v>0.57286120137496499</v>
      </c>
    </row>
    <row r="230" spans="1:20" x14ac:dyDescent="0.15">
      <c r="A230" s="38">
        <f t="shared" si="28"/>
        <v>1876</v>
      </c>
      <c r="B230" s="109"/>
      <c r="C230" s="109"/>
      <c r="D230" s="109"/>
      <c r="E230" s="109"/>
      <c r="F230" s="109"/>
      <c r="G230" s="109"/>
      <c r="H230" s="109"/>
      <c r="I230" s="109"/>
      <c r="J230" s="109"/>
      <c r="K230" s="109"/>
      <c r="L230" s="109"/>
      <c r="N230" s="107"/>
      <c r="P230" s="107"/>
      <c r="Q230" s="107"/>
      <c r="R230" s="96">
        <v>7.8176912604132394</v>
      </c>
      <c r="T230" s="98">
        <f t="shared" si="30"/>
        <v>0.56528390742053036</v>
      </c>
    </row>
    <row r="231" spans="1:20" x14ac:dyDescent="0.15">
      <c r="A231" s="38">
        <f t="shared" si="28"/>
        <v>1877</v>
      </c>
      <c r="B231" s="109"/>
      <c r="C231" s="109"/>
      <c r="D231" s="109"/>
      <c r="E231" s="109"/>
      <c r="F231" s="109"/>
      <c r="G231" s="109"/>
      <c r="H231" s="109"/>
      <c r="I231" s="109"/>
      <c r="J231" s="109"/>
      <c r="K231" s="109"/>
      <c r="L231" s="109"/>
      <c r="N231" s="107"/>
      <c r="P231" s="107"/>
      <c r="Q231" s="107"/>
      <c r="R231" s="96">
        <v>7.7681857009255006</v>
      </c>
      <c r="T231" s="98">
        <f t="shared" si="30"/>
        <v>0.56090761596181427</v>
      </c>
    </row>
    <row r="232" spans="1:20" x14ac:dyDescent="0.15">
      <c r="A232" s="38">
        <f t="shared" si="28"/>
        <v>1878</v>
      </c>
      <c r="B232" s="109"/>
      <c r="C232" s="109"/>
      <c r="D232" s="109"/>
      <c r="E232" s="109"/>
      <c r="F232" s="109"/>
      <c r="G232" s="109"/>
      <c r="H232" s="109"/>
      <c r="I232" s="109"/>
      <c r="J232" s="109"/>
      <c r="K232" s="109"/>
      <c r="L232" s="109"/>
      <c r="N232" s="107"/>
      <c r="P232" s="107"/>
      <c r="Q232" s="107"/>
      <c r="R232" s="96">
        <v>7.5761838199874001</v>
      </c>
      <c r="T232" s="98">
        <f t="shared" si="30"/>
        <v>0.54393464968688621</v>
      </c>
    </row>
    <row r="233" spans="1:20" x14ac:dyDescent="0.15">
      <c r="A233" s="38">
        <f t="shared" si="28"/>
        <v>1879</v>
      </c>
      <c r="B233" s="109"/>
      <c r="C233" s="109"/>
      <c r="D233" s="109"/>
      <c r="E233" s="109"/>
      <c r="F233" s="109"/>
      <c r="G233" s="109"/>
      <c r="H233" s="109"/>
      <c r="I233" s="109"/>
      <c r="J233" s="109"/>
      <c r="K233" s="109"/>
      <c r="L233" s="109"/>
      <c r="N233" s="107"/>
      <c r="P233" s="107"/>
      <c r="Q233" s="107"/>
      <c r="R233" s="96">
        <v>6.7475762489410664</v>
      </c>
      <c r="T233" s="98">
        <f t="shared" si="30"/>
        <v>0.47068574040639033</v>
      </c>
    </row>
    <row r="234" spans="1:20" x14ac:dyDescent="0.15">
      <c r="A234" s="38">
        <f t="shared" si="28"/>
        <v>1880</v>
      </c>
      <c r="B234" s="109"/>
      <c r="C234" s="109"/>
      <c r="D234" s="109"/>
      <c r="E234" s="109"/>
      <c r="F234" s="109"/>
      <c r="G234" s="109"/>
      <c r="H234" s="109"/>
      <c r="I234" s="109"/>
      <c r="J234" s="109"/>
      <c r="K234" s="109"/>
      <c r="L234" s="109"/>
      <c r="N234" s="107"/>
      <c r="P234" s="107"/>
      <c r="Q234" s="107"/>
      <c r="R234" s="96">
        <v>6.6779065266624364</v>
      </c>
      <c r="T234" s="98">
        <f t="shared" si="30"/>
        <v>0.46452693695695935</v>
      </c>
    </row>
    <row r="235" spans="1:20" x14ac:dyDescent="0.15">
      <c r="A235" s="38">
        <f t="shared" si="28"/>
        <v>1881</v>
      </c>
      <c r="B235" s="109"/>
      <c r="C235" s="109"/>
      <c r="D235" s="109"/>
      <c r="E235" s="109"/>
      <c r="F235" s="109"/>
      <c r="G235" s="109"/>
      <c r="H235" s="109"/>
      <c r="I235" s="109"/>
      <c r="J235" s="109"/>
      <c r="K235" s="109"/>
      <c r="L235" s="109"/>
      <c r="N235" s="107"/>
      <c r="P235" s="107"/>
      <c r="Q235" s="107"/>
      <c r="R235" s="96">
        <v>6.1287401626287448</v>
      </c>
      <c r="T235" s="98">
        <f t="shared" si="30"/>
        <v>0.415980630376381</v>
      </c>
    </row>
    <row r="236" spans="1:20" x14ac:dyDescent="0.15">
      <c r="A236" s="38">
        <f t="shared" si="28"/>
        <v>1882</v>
      </c>
      <c r="B236" s="109"/>
      <c r="C236" s="109"/>
      <c r="D236" s="109"/>
      <c r="E236" s="109"/>
      <c r="F236" s="109"/>
      <c r="G236" s="109"/>
      <c r="H236" s="109"/>
      <c r="I236" s="109"/>
      <c r="J236" s="109"/>
      <c r="K236" s="109"/>
      <c r="L236" s="109"/>
      <c r="N236" s="107"/>
      <c r="P236" s="107"/>
      <c r="Q236" s="107"/>
      <c r="R236" s="96">
        <v>6.2031579110216422</v>
      </c>
      <c r="T236" s="98">
        <f t="shared" si="30"/>
        <v>0.42255915933431321</v>
      </c>
    </row>
    <row r="237" spans="1:20" x14ac:dyDescent="0.15">
      <c r="A237" s="38">
        <f t="shared" si="28"/>
        <v>1883</v>
      </c>
      <c r="B237" s="109"/>
      <c r="C237" s="109"/>
      <c r="D237" s="109"/>
      <c r="E237" s="109"/>
      <c r="F237" s="109"/>
      <c r="G237" s="109"/>
      <c r="H237" s="109"/>
      <c r="I237" s="109"/>
      <c r="J237" s="109"/>
      <c r="K237" s="109"/>
      <c r="L237" s="109"/>
      <c r="N237" s="107"/>
      <c r="P237" s="107"/>
      <c r="Q237" s="107"/>
      <c r="R237" s="96">
        <v>6.6249063821528393</v>
      </c>
      <c r="T237" s="98">
        <f t="shared" si="30"/>
        <v>0.45984172418231106</v>
      </c>
    </row>
    <row r="238" spans="1:20" x14ac:dyDescent="0.15">
      <c r="A238" s="38">
        <f t="shared" si="28"/>
        <v>1884</v>
      </c>
      <c r="B238" s="109"/>
      <c r="C238" s="109"/>
      <c r="D238" s="109"/>
      <c r="E238" s="109"/>
      <c r="F238" s="109"/>
      <c r="G238" s="109"/>
      <c r="H238" s="109"/>
      <c r="I238" s="109"/>
      <c r="J238" s="109"/>
      <c r="K238" s="109"/>
      <c r="L238" s="109"/>
      <c r="N238" s="107"/>
      <c r="P238" s="107"/>
      <c r="Q238" s="107"/>
      <c r="R238" s="96">
        <v>6.9750976813881467</v>
      </c>
      <c r="T238" s="98">
        <f t="shared" si="30"/>
        <v>0.49079863503471222</v>
      </c>
    </row>
    <row r="239" spans="1:20" x14ac:dyDescent="0.15">
      <c r="A239" s="38">
        <f t="shared" si="28"/>
        <v>1885</v>
      </c>
      <c r="B239" s="109"/>
      <c r="C239" s="109"/>
      <c r="D239" s="109"/>
      <c r="E239" s="109"/>
      <c r="F239" s="109"/>
      <c r="G239" s="109"/>
      <c r="H239" s="109"/>
      <c r="I239" s="109"/>
      <c r="J239" s="109"/>
      <c r="K239" s="109"/>
      <c r="L239" s="109"/>
      <c r="N239" s="107"/>
      <c r="P239" s="107"/>
      <c r="Q239" s="107"/>
      <c r="R239" s="96">
        <v>6.526028078515731</v>
      </c>
      <c r="T239" s="98">
        <f t="shared" si="30"/>
        <v>0.45110088214079058</v>
      </c>
    </row>
    <row r="240" spans="1:20" x14ac:dyDescent="0.15">
      <c r="A240" s="38">
        <f t="shared" si="28"/>
        <v>1886</v>
      </c>
      <c r="B240" s="109"/>
      <c r="C240" s="109"/>
      <c r="D240" s="109"/>
      <c r="E240" s="109"/>
      <c r="F240" s="109"/>
      <c r="G240" s="109"/>
      <c r="H240" s="109"/>
      <c r="I240" s="109"/>
      <c r="J240" s="109"/>
      <c r="K240" s="109"/>
      <c r="L240" s="109"/>
      <c r="N240" s="107"/>
      <c r="P240" s="107"/>
      <c r="Q240" s="107"/>
      <c r="R240" s="96">
        <v>5.3815990239999731</v>
      </c>
      <c r="T240" s="98">
        <f t="shared" si="30"/>
        <v>0.34993335372159762</v>
      </c>
    </row>
    <row r="241" spans="1:20" x14ac:dyDescent="0.15">
      <c r="A241" s="38">
        <f t="shared" si="28"/>
        <v>1887</v>
      </c>
      <c r="B241" s="109"/>
      <c r="C241" s="109"/>
      <c r="D241" s="109"/>
      <c r="E241" s="109"/>
      <c r="F241" s="109"/>
      <c r="G241" s="109"/>
      <c r="H241" s="109"/>
      <c r="I241" s="109"/>
      <c r="J241" s="109"/>
      <c r="K241" s="109"/>
      <c r="L241" s="109"/>
      <c r="N241" s="107"/>
      <c r="P241" s="107"/>
      <c r="Q241" s="107"/>
      <c r="R241" s="96">
        <v>4.5869839400677108</v>
      </c>
      <c r="T241" s="98">
        <f t="shared" si="30"/>
        <v>0.27968938030198565</v>
      </c>
    </row>
    <row r="242" spans="1:20" x14ac:dyDescent="0.15">
      <c r="A242" s="38">
        <f t="shared" si="28"/>
        <v>1888</v>
      </c>
      <c r="B242" s="109"/>
      <c r="C242" s="109"/>
      <c r="D242" s="109"/>
      <c r="E242" s="109"/>
      <c r="F242" s="109"/>
      <c r="G242" s="109"/>
      <c r="H242" s="109"/>
      <c r="I242" s="109"/>
      <c r="J242" s="109"/>
      <c r="K242" s="109"/>
      <c r="L242" s="109"/>
      <c r="N242" s="107"/>
      <c r="P242" s="107"/>
      <c r="Q242" s="107"/>
      <c r="R242" s="96">
        <v>4.3299904076885163</v>
      </c>
      <c r="T242" s="98">
        <f t="shared" si="30"/>
        <v>0.25697115203966492</v>
      </c>
    </row>
    <row r="243" spans="1:20" x14ac:dyDescent="0.15">
      <c r="A243" s="38">
        <f t="shared" si="28"/>
        <v>1889</v>
      </c>
      <c r="B243" s="109"/>
      <c r="C243" s="109"/>
      <c r="D243" s="109"/>
      <c r="E243" s="109"/>
      <c r="F243" s="109"/>
      <c r="G243" s="109"/>
      <c r="H243" s="109"/>
      <c r="I243" s="109"/>
      <c r="J243" s="109"/>
      <c r="K243" s="109"/>
      <c r="L243" s="109"/>
      <c r="N243" s="107"/>
      <c r="P243" s="107"/>
      <c r="Q243" s="107"/>
      <c r="R243" s="96">
        <v>4.2547006298774201</v>
      </c>
      <c r="T243" s="98">
        <f t="shared" si="30"/>
        <v>0.25031553568116394</v>
      </c>
    </row>
    <row r="244" spans="1:20" x14ac:dyDescent="0.15">
      <c r="A244" s="38">
        <f t="shared" si="28"/>
        <v>1890</v>
      </c>
      <c r="B244" s="109"/>
      <c r="C244" s="109"/>
      <c r="D244" s="109"/>
      <c r="E244" s="109"/>
      <c r="F244" s="109"/>
      <c r="G244" s="109"/>
      <c r="H244" s="109"/>
      <c r="I244" s="109"/>
      <c r="J244" s="109"/>
      <c r="K244" s="109"/>
      <c r="L244" s="109"/>
      <c r="N244" s="107"/>
      <c r="P244" s="107"/>
      <c r="Q244" s="107"/>
      <c r="R244" s="96">
        <v>4.4151774062238838</v>
      </c>
      <c r="T244" s="98">
        <f t="shared" si="30"/>
        <v>0.26450168271019137</v>
      </c>
    </row>
    <row r="245" spans="1:20" x14ac:dyDescent="0.15">
      <c r="A245" s="38">
        <f t="shared" si="28"/>
        <v>1891</v>
      </c>
      <c r="B245" s="109"/>
      <c r="C245" s="109"/>
      <c r="D245" s="109"/>
      <c r="E245" s="109"/>
      <c r="F245" s="109"/>
      <c r="G245" s="109"/>
      <c r="H245" s="109"/>
      <c r="I245" s="109"/>
      <c r="J245" s="109"/>
      <c r="K245" s="109"/>
      <c r="L245" s="109"/>
      <c r="N245" s="107"/>
      <c r="P245" s="107"/>
      <c r="Q245" s="107"/>
      <c r="R245" s="96">
        <v>4.8362228901268196</v>
      </c>
      <c r="T245" s="98">
        <f t="shared" si="30"/>
        <v>0.30172210348721085</v>
      </c>
    </row>
    <row r="246" spans="1:20" x14ac:dyDescent="0.15">
      <c r="A246" s="38">
        <f t="shared" si="28"/>
        <v>1892</v>
      </c>
      <c r="B246" s="109"/>
      <c r="C246" s="109"/>
      <c r="D246" s="109"/>
      <c r="E246" s="109"/>
      <c r="F246" s="109"/>
      <c r="G246" s="109"/>
      <c r="H246" s="109"/>
      <c r="I246" s="109"/>
      <c r="J246" s="109"/>
      <c r="K246" s="109"/>
      <c r="L246" s="109"/>
      <c r="N246" s="107"/>
      <c r="P246" s="107"/>
      <c r="Q246" s="107"/>
      <c r="R246" s="96">
        <v>4.4078218208259861</v>
      </c>
      <c r="T246" s="98">
        <f t="shared" si="30"/>
        <v>0.2638514489610172</v>
      </c>
    </row>
    <row r="247" spans="1:20" x14ac:dyDescent="0.15">
      <c r="A247" s="38">
        <f t="shared" si="28"/>
        <v>1893</v>
      </c>
      <c r="B247" s="109"/>
      <c r="C247" s="109"/>
      <c r="D247" s="109"/>
      <c r="E247" s="109"/>
      <c r="F247" s="109"/>
      <c r="G247" s="109"/>
      <c r="H247" s="109"/>
      <c r="I247" s="109"/>
      <c r="J247" s="109"/>
      <c r="K247" s="109"/>
      <c r="L247" s="109"/>
      <c r="N247" s="107"/>
      <c r="P247" s="107"/>
      <c r="Q247" s="107"/>
      <c r="R247" s="96">
        <v>4.1832262575459858</v>
      </c>
      <c r="T247" s="98">
        <f t="shared" si="30"/>
        <v>0.24399720116706516</v>
      </c>
    </row>
    <row r="248" spans="1:20" x14ac:dyDescent="0.15">
      <c r="A248" s="38">
        <f t="shared" si="28"/>
        <v>1894</v>
      </c>
      <c r="B248" s="109"/>
      <c r="C248" s="109"/>
      <c r="D248" s="109"/>
      <c r="E248" s="109"/>
      <c r="F248" s="109"/>
      <c r="G248" s="109"/>
      <c r="H248" s="109"/>
      <c r="I248" s="109"/>
      <c r="J248" s="109"/>
      <c r="K248" s="109"/>
      <c r="L248" s="109"/>
      <c r="N248" s="107"/>
      <c r="P248" s="107"/>
      <c r="Q248" s="107"/>
      <c r="R248" s="96">
        <v>3.9327219893182268</v>
      </c>
      <c r="T248" s="98">
        <f t="shared" si="30"/>
        <v>0.22185262385573126</v>
      </c>
    </row>
    <row r="249" spans="1:20" x14ac:dyDescent="0.15">
      <c r="A249" s="38">
        <f t="shared" si="28"/>
        <v>1895</v>
      </c>
      <c r="B249" s="109"/>
      <c r="C249" s="109"/>
      <c r="D249" s="109"/>
      <c r="E249" s="109"/>
      <c r="F249" s="109"/>
      <c r="G249" s="109"/>
      <c r="H249" s="109"/>
      <c r="I249" s="109"/>
      <c r="J249" s="109"/>
      <c r="K249" s="109"/>
      <c r="L249" s="109"/>
      <c r="N249" s="107"/>
      <c r="P249" s="107"/>
      <c r="Q249" s="107"/>
      <c r="R249" s="96">
        <v>3.8116616989968191</v>
      </c>
      <c r="T249" s="98">
        <f t="shared" si="30"/>
        <v>0.21115089419131886</v>
      </c>
    </row>
    <row r="250" spans="1:20" x14ac:dyDescent="0.15">
      <c r="A250" s="38">
        <f t="shared" si="28"/>
        <v>1896</v>
      </c>
      <c r="B250" s="109"/>
      <c r="C250" s="109"/>
      <c r="D250" s="109"/>
      <c r="E250" s="109"/>
      <c r="F250" s="109"/>
      <c r="G250" s="109"/>
      <c r="H250" s="109"/>
      <c r="I250" s="109"/>
      <c r="J250" s="109"/>
      <c r="K250" s="109"/>
      <c r="L250" s="109"/>
      <c r="N250" s="107"/>
      <c r="P250" s="107"/>
      <c r="Q250" s="107"/>
      <c r="R250" s="96">
        <v>3.5305422051686994</v>
      </c>
      <c r="T250" s="98">
        <f t="shared" si="30"/>
        <v>0.18629993093691308</v>
      </c>
    </row>
    <row r="251" spans="1:20" x14ac:dyDescent="0.15">
      <c r="A251" s="38">
        <f t="shared" si="28"/>
        <v>1897</v>
      </c>
      <c r="B251" s="109"/>
      <c r="C251" s="109"/>
      <c r="D251" s="109"/>
      <c r="E251" s="109"/>
      <c r="F251" s="109"/>
      <c r="G251" s="109"/>
      <c r="H251" s="109"/>
      <c r="I251" s="109"/>
      <c r="J251" s="109"/>
      <c r="K251" s="109"/>
      <c r="L251" s="109"/>
      <c r="N251" s="107"/>
      <c r="P251" s="107"/>
      <c r="Q251" s="107"/>
      <c r="R251" s="96">
        <v>8.6475434999999994</v>
      </c>
      <c r="T251" s="98">
        <f t="shared" si="30"/>
        <v>0.63864284539999994</v>
      </c>
    </row>
    <row r="252" spans="1:20" x14ac:dyDescent="0.15">
      <c r="A252" s="38">
        <f t="shared" si="28"/>
        <v>1898</v>
      </c>
      <c r="B252" s="109"/>
      <c r="C252" s="109"/>
      <c r="D252" s="109"/>
      <c r="E252" s="109"/>
      <c r="F252" s="109"/>
      <c r="G252" s="109"/>
      <c r="H252" s="109"/>
      <c r="I252" s="109"/>
      <c r="J252" s="109"/>
      <c r="K252" s="109"/>
      <c r="L252" s="109"/>
      <c r="N252" s="107"/>
      <c r="P252" s="107"/>
      <c r="Q252" s="107"/>
      <c r="R252" s="96">
        <v>6.7258671666666672</v>
      </c>
      <c r="T252" s="98">
        <f t="shared" si="30"/>
        <v>0.46876665753333335</v>
      </c>
    </row>
    <row r="253" spans="1:20" x14ac:dyDescent="0.15">
      <c r="A253" s="38">
        <f t="shared" si="28"/>
        <v>1899</v>
      </c>
      <c r="B253" s="109"/>
      <c r="C253" s="109"/>
      <c r="D253" s="109"/>
      <c r="E253" s="109"/>
      <c r="F253" s="109"/>
      <c r="G253" s="109"/>
      <c r="H253" s="109"/>
      <c r="I253" s="109"/>
      <c r="J253" s="109"/>
      <c r="K253" s="109"/>
      <c r="L253" s="109"/>
      <c r="N253" s="107"/>
      <c r="P253" s="107"/>
      <c r="Q253" s="107"/>
      <c r="R253" s="96">
        <v>7.6867053333333333</v>
      </c>
      <c r="T253" s="98">
        <f t="shared" si="30"/>
        <v>0.55370475146666664</v>
      </c>
    </row>
    <row r="254" spans="1:20" x14ac:dyDescent="0.15">
      <c r="A254" s="38">
        <f t="shared" si="28"/>
        <v>1900</v>
      </c>
      <c r="B254" s="109"/>
      <c r="C254" s="109"/>
      <c r="D254" s="109"/>
      <c r="E254" s="109"/>
      <c r="F254" s="109"/>
      <c r="G254" s="109"/>
      <c r="H254" s="109"/>
      <c r="I254" s="109"/>
      <c r="J254" s="109"/>
      <c r="K254" s="109"/>
      <c r="L254" s="109"/>
      <c r="N254" s="107"/>
      <c r="P254" s="107"/>
      <c r="Q254" s="107"/>
      <c r="R254" s="96">
        <v>7.6867053333333333</v>
      </c>
      <c r="T254" s="98">
        <f t="shared" si="30"/>
        <v>0.55370475146666664</v>
      </c>
    </row>
    <row r="255" spans="1:20" x14ac:dyDescent="0.15">
      <c r="A255" s="38">
        <f t="shared" si="28"/>
        <v>1901</v>
      </c>
      <c r="B255" s="109"/>
      <c r="C255" s="109"/>
      <c r="D255" s="109"/>
      <c r="E255" s="109"/>
      <c r="F255" s="109"/>
      <c r="G255" s="109"/>
      <c r="H255" s="109"/>
      <c r="I255" s="109"/>
      <c r="J255" s="109"/>
      <c r="K255" s="109"/>
      <c r="L255" s="109"/>
      <c r="N255" s="107"/>
      <c r="P255" s="107"/>
      <c r="Q255" s="107"/>
      <c r="R255" s="96">
        <v>8.6475434999999994</v>
      </c>
      <c r="T255" s="98">
        <f t="shared" si="30"/>
        <v>0.63864284539999994</v>
      </c>
    </row>
    <row r="256" spans="1:20" x14ac:dyDescent="0.15">
      <c r="A256" s="38">
        <f t="shared" si="28"/>
        <v>1902</v>
      </c>
      <c r="B256" s="109"/>
      <c r="C256" s="109"/>
      <c r="D256" s="109"/>
      <c r="E256" s="109"/>
      <c r="F256" s="109"/>
      <c r="G256" s="109"/>
      <c r="H256" s="109"/>
      <c r="I256" s="109"/>
      <c r="J256" s="109"/>
      <c r="K256" s="109"/>
      <c r="L256" s="109"/>
      <c r="N256" s="107"/>
      <c r="P256" s="107"/>
      <c r="Q256" s="107"/>
      <c r="R256" s="96">
        <v>8.6475434999999994</v>
      </c>
      <c r="T256" s="98">
        <f t="shared" si="30"/>
        <v>0.63864284539999994</v>
      </c>
    </row>
    <row r="257" spans="1:20" x14ac:dyDescent="0.15">
      <c r="A257" s="38">
        <f t="shared" si="28"/>
        <v>1903</v>
      </c>
      <c r="B257" s="109"/>
      <c r="C257" s="109"/>
      <c r="D257" s="109"/>
      <c r="E257" s="109"/>
      <c r="F257" s="109"/>
      <c r="G257" s="109"/>
      <c r="H257" s="109"/>
      <c r="I257" s="109"/>
      <c r="J257" s="109"/>
      <c r="K257" s="109"/>
      <c r="L257" s="109"/>
      <c r="N257" s="107"/>
      <c r="P257" s="107"/>
      <c r="Q257" s="107"/>
      <c r="R257" s="96">
        <v>8.6475434999999994</v>
      </c>
      <c r="T257" s="98">
        <f t="shared" si="30"/>
        <v>0.63864284539999994</v>
      </c>
    </row>
    <row r="258" spans="1:20" x14ac:dyDescent="0.15">
      <c r="A258" s="38">
        <f t="shared" si="28"/>
        <v>1904</v>
      </c>
      <c r="B258" s="109"/>
      <c r="C258" s="109"/>
      <c r="D258" s="109"/>
      <c r="E258" s="109"/>
      <c r="F258" s="109"/>
      <c r="G258" s="109"/>
      <c r="H258" s="109"/>
      <c r="I258" s="109"/>
      <c r="J258" s="109"/>
      <c r="K258" s="109"/>
      <c r="L258" s="109"/>
      <c r="N258" s="107"/>
      <c r="P258" s="107"/>
      <c r="Q258" s="107"/>
      <c r="R258" s="96">
        <v>5.2846099166666667</v>
      </c>
      <c r="T258" s="98">
        <f t="shared" si="30"/>
        <v>0.34135951663333342</v>
      </c>
    </row>
    <row r="259" spans="1:20" x14ac:dyDescent="0.15">
      <c r="A259" s="38">
        <f t="shared" si="28"/>
        <v>1905</v>
      </c>
      <c r="B259" s="109"/>
      <c r="C259" s="109"/>
      <c r="D259" s="109"/>
      <c r="E259" s="109"/>
      <c r="F259" s="109"/>
      <c r="G259" s="109"/>
      <c r="H259" s="109"/>
      <c r="I259" s="109"/>
      <c r="J259" s="109"/>
      <c r="K259" s="109"/>
      <c r="L259" s="109"/>
      <c r="N259" s="107"/>
      <c r="P259" s="107"/>
      <c r="Q259" s="107"/>
      <c r="R259" s="96">
        <v>6.7258671666666672</v>
      </c>
      <c r="T259" s="98">
        <f t="shared" si="30"/>
        <v>0.46876665753333335</v>
      </c>
    </row>
    <row r="260" spans="1:20" x14ac:dyDescent="0.15">
      <c r="A260" s="38">
        <f t="shared" si="28"/>
        <v>1906</v>
      </c>
      <c r="B260" s="109"/>
      <c r="C260" s="109"/>
      <c r="D260" s="109"/>
      <c r="E260" s="109"/>
      <c r="F260" s="109"/>
      <c r="G260" s="109"/>
      <c r="H260" s="109"/>
      <c r="I260" s="109"/>
      <c r="J260" s="109"/>
      <c r="K260" s="109"/>
      <c r="L260" s="109"/>
      <c r="N260" s="107"/>
      <c r="P260" s="107"/>
      <c r="Q260" s="107"/>
      <c r="R260" s="96">
        <v>6.7258671666666672</v>
      </c>
      <c r="T260" s="98">
        <f t="shared" si="30"/>
        <v>0.46876665753333335</v>
      </c>
    </row>
    <row r="261" spans="1:20" x14ac:dyDescent="0.15">
      <c r="A261" s="38">
        <f t="shared" si="28"/>
        <v>1907</v>
      </c>
      <c r="B261" s="109"/>
      <c r="C261" s="109"/>
      <c r="D261" s="109"/>
      <c r="E261" s="109"/>
      <c r="F261" s="109"/>
      <c r="G261" s="109"/>
      <c r="H261" s="109"/>
      <c r="I261" s="109"/>
      <c r="J261" s="109"/>
      <c r="K261" s="109"/>
      <c r="L261" s="109"/>
      <c r="N261" s="107"/>
      <c r="P261" s="107"/>
      <c r="Q261" s="107"/>
      <c r="R261" s="96">
        <v>6.7258671666666672</v>
      </c>
      <c r="T261" s="98">
        <f t="shared" si="30"/>
        <v>0.46876665753333335</v>
      </c>
    </row>
    <row r="262" spans="1:20" x14ac:dyDescent="0.15">
      <c r="A262" s="38">
        <f t="shared" si="28"/>
        <v>1908</v>
      </c>
      <c r="B262" s="109"/>
      <c r="C262" s="109"/>
      <c r="D262" s="109"/>
      <c r="E262" s="109"/>
      <c r="F262" s="109"/>
      <c r="G262" s="109"/>
      <c r="H262" s="109"/>
      <c r="I262" s="109"/>
      <c r="J262" s="109"/>
      <c r="K262" s="109"/>
      <c r="L262" s="109"/>
      <c r="N262" s="107"/>
      <c r="P262" s="107"/>
      <c r="Q262" s="107"/>
      <c r="R262" s="96">
        <v>7.2062862499999998</v>
      </c>
      <c r="T262" s="98">
        <f t="shared" si="30"/>
        <v>0.5112357045</v>
      </c>
    </row>
    <row r="263" spans="1:20" x14ac:dyDescent="0.15">
      <c r="A263" s="38">
        <f t="shared" si="28"/>
        <v>1909</v>
      </c>
      <c r="B263" s="109"/>
      <c r="C263" s="109"/>
      <c r="D263" s="109"/>
      <c r="E263" s="109"/>
      <c r="F263" s="109"/>
      <c r="G263" s="109"/>
      <c r="H263" s="109"/>
      <c r="I263" s="109"/>
      <c r="J263" s="109"/>
      <c r="K263" s="109"/>
      <c r="L263" s="109"/>
      <c r="N263" s="107"/>
      <c r="P263" s="107"/>
      <c r="Q263" s="107"/>
      <c r="R263" s="96">
        <v>7.6867053333333333</v>
      </c>
      <c r="T263" s="98">
        <f t="shared" si="30"/>
        <v>0.55370475146666664</v>
      </c>
    </row>
    <row r="264" spans="1:20" x14ac:dyDescent="0.15">
      <c r="A264" s="38">
        <f t="shared" si="28"/>
        <v>1910</v>
      </c>
      <c r="B264" s="109"/>
      <c r="C264" s="109"/>
      <c r="D264" s="109"/>
      <c r="E264" s="109"/>
      <c r="F264" s="109"/>
      <c r="G264" s="109"/>
      <c r="H264" s="109"/>
      <c r="I264" s="109"/>
      <c r="J264" s="109"/>
      <c r="K264" s="109"/>
      <c r="L264" s="109"/>
      <c r="N264" s="107"/>
      <c r="P264" s="107"/>
      <c r="Q264" s="107"/>
      <c r="R264" s="96">
        <v>6.2454480833333337</v>
      </c>
      <c r="T264" s="98">
        <f t="shared" si="30"/>
        <v>0.42629761056666671</v>
      </c>
    </row>
    <row r="265" spans="1:20" x14ac:dyDescent="0.15">
      <c r="A265" s="38">
        <v>1911</v>
      </c>
      <c r="B265" s="109"/>
      <c r="C265" s="109"/>
      <c r="D265" s="109"/>
      <c r="E265" s="109"/>
      <c r="F265" s="109"/>
      <c r="G265" s="109"/>
      <c r="H265" s="109"/>
      <c r="I265" s="109"/>
      <c r="J265" s="109"/>
      <c r="K265" s="109"/>
      <c r="L265" s="109">
        <v>6.8750000000000006E-2</v>
      </c>
      <c r="N265" s="107"/>
      <c r="O265" s="24">
        <f t="shared" ref="O265:O267" si="31">L265*104.6/37.854</f>
        <v>0.18997331853965235</v>
      </c>
      <c r="P265" s="107"/>
      <c r="Q265" s="107"/>
      <c r="R265" s="96">
        <v>6.2454480833333337</v>
      </c>
      <c r="S265" s="96">
        <v>0.18997331853965235</v>
      </c>
      <c r="T265" s="24">
        <v>0.18997331853965235</v>
      </c>
    </row>
    <row r="266" spans="1:20" x14ac:dyDescent="0.15">
      <c r="A266" s="38">
        <v>1912</v>
      </c>
      <c r="B266" s="109"/>
      <c r="C266" s="109"/>
      <c r="D266" s="109"/>
      <c r="E266" s="109"/>
      <c r="F266" s="109"/>
      <c r="G266" s="109"/>
      <c r="H266" s="109"/>
      <c r="I266" s="109"/>
      <c r="J266" s="109"/>
      <c r="K266" s="109"/>
      <c r="L266" s="109">
        <v>6.0416666666666667E-2</v>
      </c>
      <c r="N266" s="107"/>
      <c r="O266" s="24">
        <f t="shared" si="31"/>
        <v>0.16694624962575511</v>
      </c>
      <c r="P266" s="107"/>
      <c r="Q266" s="107"/>
      <c r="S266" s="96">
        <v>0.16694624962575511</v>
      </c>
      <c r="T266" s="24">
        <v>0.16694624962575511</v>
      </c>
    </row>
    <row r="267" spans="1:20" x14ac:dyDescent="0.15">
      <c r="A267" s="38">
        <v>1913</v>
      </c>
      <c r="B267" s="109"/>
      <c r="C267" s="109"/>
      <c r="D267" s="109"/>
      <c r="E267" s="109"/>
      <c r="F267" s="109"/>
      <c r="G267" s="109"/>
      <c r="H267" s="109"/>
      <c r="I267" s="109"/>
      <c r="J267" s="109"/>
      <c r="K267" s="109"/>
      <c r="L267" s="109">
        <v>6.8750000000000006E-2</v>
      </c>
      <c r="N267" s="107"/>
      <c r="O267" s="24">
        <f t="shared" si="31"/>
        <v>0.18997331853965235</v>
      </c>
      <c r="P267" s="107"/>
      <c r="Q267" s="107"/>
      <c r="R267" s="96">
        <v>6.2454480833333337</v>
      </c>
      <c r="S267" s="96">
        <v>0.18997331853965235</v>
      </c>
      <c r="T267" s="24">
        <v>0.18997331853965235</v>
      </c>
    </row>
  </sheetData>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7"/>
  <sheetViews>
    <sheetView workbookViewId="0">
      <pane xSplit="1" ySplit="6" topLeftCell="B7" activePane="bottomRight" state="frozen"/>
      <selection pane="topRight" activeCell="B1" sqref="B1"/>
      <selection pane="bottomLeft" activeCell="A7" sqref="A7"/>
      <selection pane="bottomRight" activeCell="M4" sqref="M4"/>
    </sheetView>
  </sheetViews>
  <sheetFormatPr baseColWidth="10" defaultColWidth="8.83203125" defaultRowHeight="13" x14ac:dyDescent="0.15"/>
  <cols>
    <col min="1" max="1" width="8.83203125" style="38"/>
    <col min="2" max="6" width="8.83203125" style="29"/>
    <col min="7" max="8" width="8.83203125" style="31"/>
    <col min="9" max="9" width="8.83203125" style="103"/>
    <col min="10" max="11" width="8.83203125" style="29"/>
  </cols>
  <sheetData>
    <row r="1" spans="1:13" x14ac:dyDescent="0.15">
      <c r="B1" s="45" t="s">
        <v>62</v>
      </c>
      <c r="C1" s="109"/>
      <c r="D1" s="109"/>
      <c r="E1" s="109"/>
      <c r="F1" s="109"/>
      <c r="J1" s="109" t="s">
        <v>124</v>
      </c>
      <c r="K1" s="109"/>
    </row>
    <row r="2" spans="1:13" x14ac:dyDescent="0.15">
      <c r="B2" s="109" t="s">
        <v>162</v>
      </c>
      <c r="C2" s="109" t="s">
        <v>162</v>
      </c>
      <c r="D2" s="109" t="s">
        <v>162</v>
      </c>
      <c r="E2" s="109" t="s">
        <v>162</v>
      </c>
      <c r="F2" s="109" t="s">
        <v>163</v>
      </c>
      <c r="G2" s="31" t="s">
        <v>79</v>
      </c>
      <c r="H2" s="31" t="s">
        <v>164</v>
      </c>
      <c r="J2" s="109"/>
      <c r="K2" s="109"/>
    </row>
    <row r="3" spans="1:13" x14ac:dyDescent="0.15">
      <c r="A3" s="38" t="s">
        <v>68</v>
      </c>
      <c r="B3" s="109" t="s">
        <v>72</v>
      </c>
      <c r="C3" s="109" t="s">
        <v>72</v>
      </c>
      <c r="D3" s="109" t="s">
        <v>77</v>
      </c>
      <c r="E3" s="109" t="s">
        <v>73</v>
      </c>
      <c r="F3" s="109" t="s">
        <v>78</v>
      </c>
      <c r="G3" s="31" t="s">
        <v>165</v>
      </c>
      <c r="H3" s="31" t="s">
        <v>95</v>
      </c>
      <c r="J3" s="109" t="s">
        <v>82</v>
      </c>
      <c r="K3" s="109" t="s">
        <v>82</v>
      </c>
    </row>
    <row r="4" spans="1:13" x14ac:dyDescent="0.15">
      <c r="A4" s="31" t="s">
        <v>84</v>
      </c>
      <c r="B4" s="109" t="s">
        <v>85</v>
      </c>
      <c r="C4" s="109" t="s">
        <v>85</v>
      </c>
      <c r="D4" s="109" t="s">
        <v>85</v>
      </c>
      <c r="E4" s="109" t="s">
        <v>87</v>
      </c>
      <c r="F4" s="109" t="s">
        <v>87</v>
      </c>
      <c r="G4" s="31" t="s">
        <v>55</v>
      </c>
      <c r="H4" s="109" t="s">
        <v>55</v>
      </c>
      <c r="J4" s="109" t="s">
        <v>86</v>
      </c>
      <c r="K4" s="109" t="s">
        <v>55</v>
      </c>
      <c r="M4" s="31" t="s">
        <v>1031</v>
      </c>
    </row>
    <row r="5" spans="1:13" x14ac:dyDescent="0.15">
      <c r="A5" s="31" t="s">
        <v>91</v>
      </c>
      <c r="B5" s="109" t="s">
        <v>166</v>
      </c>
      <c r="C5" s="109" t="s">
        <v>167</v>
      </c>
      <c r="D5" s="109" t="s">
        <v>168</v>
      </c>
      <c r="E5" s="109" t="s">
        <v>168</v>
      </c>
      <c r="F5" s="109" t="s">
        <v>169</v>
      </c>
      <c r="G5" s="31" t="s">
        <v>170</v>
      </c>
      <c r="H5" s="109" t="s">
        <v>170</v>
      </c>
      <c r="J5" s="109" t="s">
        <v>170</v>
      </c>
      <c r="K5" s="109" t="s">
        <v>170</v>
      </c>
    </row>
    <row r="7" spans="1:13" x14ac:dyDescent="0.15">
      <c r="A7" s="38">
        <v>1653</v>
      </c>
      <c r="B7" s="109"/>
      <c r="C7" s="109"/>
      <c r="D7" s="109"/>
      <c r="E7" s="109"/>
      <c r="F7" s="109"/>
      <c r="J7" s="109"/>
      <c r="K7" s="109"/>
    </row>
    <row r="8" spans="1:13" x14ac:dyDescent="0.15">
      <c r="A8" s="38">
        <f t="shared" ref="A8:A52" si="0">A9-1</f>
        <v>1654</v>
      </c>
      <c r="B8" s="109"/>
      <c r="C8" s="109"/>
      <c r="D8" s="109"/>
      <c r="E8" s="109"/>
      <c r="F8" s="109"/>
      <c r="J8" s="109"/>
      <c r="K8" s="109"/>
    </row>
    <row r="9" spans="1:13" x14ac:dyDescent="0.15">
      <c r="A9" s="38">
        <f t="shared" si="0"/>
        <v>1655</v>
      </c>
      <c r="B9" s="109"/>
      <c r="C9" s="109"/>
      <c r="D9" s="109"/>
      <c r="E9" s="109"/>
      <c r="F9" s="109"/>
      <c r="J9" s="109"/>
      <c r="K9" s="109"/>
    </row>
    <row r="10" spans="1:13" x14ac:dyDescent="0.15">
      <c r="A10" s="38">
        <f t="shared" si="0"/>
        <v>1656</v>
      </c>
      <c r="B10" s="109"/>
      <c r="C10" s="109"/>
      <c r="D10" s="109"/>
      <c r="E10" s="109"/>
      <c r="F10" s="109"/>
      <c r="J10" s="109"/>
      <c r="K10" s="109"/>
    </row>
    <row r="11" spans="1:13" x14ac:dyDescent="0.15">
      <c r="A11" s="38">
        <f t="shared" si="0"/>
        <v>1657</v>
      </c>
      <c r="B11" s="109"/>
      <c r="C11" s="109"/>
      <c r="D11" s="109"/>
      <c r="E11" s="109"/>
      <c r="F11" s="109"/>
      <c r="J11" s="109"/>
      <c r="K11" s="109"/>
    </row>
    <row r="12" spans="1:13" x14ac:dyDescent="0.15">
      <c r="A12" s="38">
        <f t="shared" si="0"/>
        <v>1658</v>
      </c>
      <c r="B12" s="109"/>
      <c r="C12" s="109"/>
      <c r="D12" s="109"/>
      <c r="E12" s="109"/>
      <c r="F12" s="109"/>
      <c r="J12" s="109"/>
      <c r="K12" s="109"/>
    </row>
    <row r="13" spans="1:13" x14ac:dyDescent="0.15">
      <c r="A13" s="38">
        <f t="shared" si="0"/>
        <v>1659</v>
      </c>
      <c r="B13" s="109"/>
      <c r="C13" s="109"/>
      <c r="D13" s="109"/>
      <c r="E13" s="109"/>
      <c r="F13" s="109"/>
      <c r="J13" s="109"/>
      <c r="K13" s="109"/>
    </row>
    <row r="14" spans="1:13" x14ac:dyDescent="0.15">
      <c r="A14" s="38">
        <f t="shared" si="0"/>
        <v>1660</v>
      </c>
      <c r="B14" s="109"/>
      <c r="C14" s="109"/>
      <c r="D14" s="109"/>
      <c r="E14" s="109"/>
      <c r="F14" s="109"/>
      <c r="J14" s="109"/>
      <c r="K14" s="109"/>
    </row>
    <row r="15" spans="1:13" x14ac:dyDescent="0.15">
      <c r="A15" s="38">
        <f t="shared" si="0"/>
        <v>1661</v>
      </c>
      <c r="B15" s="109"/>
      <c r="C15" s="109"/>
      <c r="D15" s="109"/>
      <c r="E15" s="109"/>
      <c r="F15" s="109"/>
      <c r="J15" s="109"/>
      <c r="K15" s="109"/>
    </row>
    <row r="16" spans="1:13" x14ac:dyDescent="0.15">
      <c r="A16" s="38">
        <f t="shared" si="0"/>
        <v>1662</v>
      </c>
      <c r="B16" s="109"/>
      <c r="C16" s="109"/>
      <c r="D16" s="109"/>
      <c r="E16" s="109"/>
      <c r="F16" s="109"/>
      <c r="J16" s="109"/>
      <c r="K16" s="109"/>
    </row>
    <row r="17" spans="1:11" x14ac:dyDescent="0.15">
      <c r="A17" s="38">
        <f t="shared" si="0"/>
        <v>1663</v>
      </c>
      <c r="B17" s="109"/>
      <c r="C17" s="109"/>
      <c r="D17" s="109"/>
      <c r="E17" s="109"/>
      <c r="F17" s="109"/>
      <c r="J17" s="109"/>
      <c r="K17" s="109"/>
    </row>
    <row r="18" spans="1:11" x14ac:dyDescent="0.15">
      <c r="A18" s="38">
        <f t="shared" si="0"/>
        <v>1664</v>
      </c>
      <c r="B18" s="109"/>
      <c r="C18" s="109"/>
      <c r="D18" s="109"/>
      <c r="E18" s="109"/>
      <c r="F18" s="109"/>
      <c r="J18" s="109"/>
      <c r="K18" s="109"/>
    </row>
    <row r="19" spans="1:11" x14ac:dyDescent="0.15">
      <c r="A19" s="38">
        <f t="shared" si="0"/>
        <v>1665</v>
      </c>
      <c r="B19" s="109">
        <v>2.7282608695652173</v>
      </c>
      <c r="C19" s="109"/>
      <c r="D19" s="109"/>
      <c r="E19" s="109"/>
      <c r="F19" s="109"/>
      <c r="J19" s="109">
        <f>B19/1.58*0.14</f>
        <v>0.24174463401210786</v>
      </c>
      <c r="K19" s="109">
        <f>J19*7.84</f>
        <v>1.8952779306549257</v>
      </c>
    </row>
    <row r="20" spans="1:11" x14ac:dyDescent="0.15">
      <c r="A20" s="38">
        <f t="shared" si="0"/>
        <v>1666</v>
      </c>
      <c r="B20" s="109"/>
      <c r="C20" s="109"/>
      <c r="D20" s="109"/>
      <c r="E20" s="109"/>
      <c r="F20" s="109"/>
      <c r="J20" s="109"/>
      <c r="K20" s="109"/>
    </row>
    <row r="21" spans="1:11" x14ac:dyDescent="0.15">
      <c r="A21" s="38">
        <f t="shared" si="0"/>
        <v>1667</v>
      </c>
      <c r="B21" s="109">
        <v>3.1701461377870563</v>
      </c>
      <c r="C21" s="109"/>
      <c r="D21" s="109"/>
      <c r="E21" s="109"/>
      <c r="F21" s="109"/>
      <c r="J21" s="109">
        <f>B21/1.58*0.14</f>
        <v>0.28089902486720753</v>
      </c>
      <c r="K21" s="109">
        <f t="shared" ref="K21:K24" si="1">J21*7.84</f>
        <v>2.2022483549589071</v>
      </c>
    </row>
    <row r="22" spans="1:11" x14ac:dyDescent="0.15">
      <c r="A22" s="38">
        <f t="shared" si="0"/>
        <v>1668</v>
      </c>
      <c r="B22" s="109">
        <v>4</v>
      </c>
      <c r="C22" s="109"/>
      <c r="D22" s="109"/>
      <c r="E22" s="109"/>
      <c r="F22" s="109"/>
      <c r="J22" s="109">
        <f>B22/1.58*0.14</f>
        <v>0.35443037974683544</v>
      </c>
      <c r="K22" s="109">
        <f t="shared" si="1"/>
        <v>2.7787341772151897</v>
      </c>
    </row>
    <row r="23" spans="1:11" x14ac:dyDescent="0.15">
      <c r="A23" s="38">
        <f t="shared" si="0"/>
        <v>1669</v>
      </c>
      <c r="B23" s="109">
        <v>4</v>
      </c>
      <c r="C23" s="109"/>
      <c r="D23" s="109"/>
      <c r="E23" s="109"/>
      <c r="F23" s="109"/>
      <c r="J23" s="109">
        <f>B23/1.58*0.14</f>
        <v>0.35443037974683544</v>
      </c>
      <c r="K23" s="109">
        <f t="shared" si="1"/>
        <v>2.7787341772151897</v>
      </c>
    </row>
    <row r="24" spans="1:11" x14ac:dyDescent="0.15">
      <c r="A24" s="38">
        <f t="shared" si="0"/>
        <v>1670</v>
      </c>
      <c r="B24" s="109">
        <v>4</v>
      </c>
      <c r="C24" s="109"/>
      <c r="D24" s="109"/>
      <c r="E24" s="109"/>
      <c r="F24" s="109"/>
      <c r="J24" s="109">
        <f>B24/1.58*0.14</f>
        <v>0.35443037974683544</v>
      </c>
      <c r="K24" s="109">
        <f t="shared" si="1"/>
        <v>2.7787341772151897</v>
      </c>
    </row>
    <row r="25" spans="1:11" x14ac:dyDescent="0.15">
      <c r="A25" s="38">
        <f t="shared" si="0"/>
        <v>1671</v>
      </c>
      <c r="B25" s="109"/>
      <c r="C25" s="109">
        <v>6</v>
      </c>
      <c r="D25" s="109"/>
      <c r="E25" s="109"/>
      <c r="F25" s="109"/>
      <c r="J25" s="109">
        <f>C25/2.59*0.14</f>
        <v>0.3243243243243244</v>
      </c>
      <c r="K25" s="109">
        <f t="shared" ref="K25:K28" si="2">J25*7.84</f>
        <v>2.5427027027027034</v>
      </c>
    </row>
    <row r="26" spans="1:11" x14ac:dyDescent="0.15">
      <c r="A26" s="38">
        <f t="shared" si="0"/>
        <v>1672</v>
      </c>
      <c r="B26" s="109">
        <v>3</v>
      </c>
      <c r="C26" s="109"/>
      <c r="D26" s="109"/>
      <c r="E26" s="109"/>
      <c r="F26" s="109"/>
      <c r="J26" s="109">
        <f>B26/1.58*0.14</f>
        <v>0.26582278481012661</v>
      </c>
      <c r="K26" s="109">
        <f t="shared" si="2"/>
        <v>2.0840506329113926</v>
      </c>
    </row>
    <row r="27" spans="1:11" x14ac:dyDescent="0.15">
      <c r="A27" s="38">
        <f t="shared" si="0"/>
        <v>1673</v>
      </c>
      <c r="B27" s="109"/>
      <c r="C27" s="109">
        <v>6.3387096774193541</v>
      </c>
      <c r="D27" s="109">
        <v>2.5</v>
      </c>
      <c r="E27" s="109"/>
      <c r="F27" s="109"/>
      <c r="J27" s="109">
        <f>(C27/2.59*0.14+D27/2.59*0.14)/2</f>
        <v>0.23888404533565827</v>
      </c>
      <c r="K27" s="109">
        <f t="shared" si="2"/>
        <v>1.8728509154315607</v>
      </c>
    </row>
    <row r="28" spans="1:11" x14ac:dyDescent="0.15">
      <c r="A28" s="38">
        <f t="shared" si="0"/>
        <v>1674</v>
      </c>
      <c r="B28" s="109"/>
      <c r="C28" s="109">
        <v>5.5</v>
      </c>
      <c r="D28" s="109"/>
      <c r="E28" s="109"/>
      <c r="F28" s="109"/>
      <c r="J28" s="109">
        <f>C28/2.59*0.14</f>
        <v>0.29729729729729737</v>
      </c>
      <c r="K28" s="109">
        <f t="shared" si="2"/>
        <v>2.3308108108108114</v>
      </c>
    </row>
    <row r="29" spans="1:11" x14ac:dyDescent="0.15">
      <c r="A29" s="38">
        <f t="shared" si="0"/>
        <v>1675</v>
      </c>
      <c r="B29" s="109"/>
      <c r="C29" s="109"/>
      <c r="D29" s="109"/>
      <c r="E29" s="109"/>
      <c r="F29" s="109"/>
      <c r="J29" s="109"/>
      <c r="K29" s="109"/>
    </row>
    <row r="30" spans="1:11" x14ac:dyDescent="0.15">
      <c r="A30" s="38">
        <f t="shared" si="0"/>
        <v>1676</v>
      </c>
      <c r="B30" s="109"/>
      <c r="C30" s="109">
        <v>5</v>
      </c>
      <c r="D30" s="109"/>
      <c r="E30" s="109"/>
      <c r="F30" s="109"/>
      <c r="J30" s="109">
        <f>C30/2.59*0.14</f>
        <v>0.27027027027027034</v>
      </c>
      <c r="K30" s="109">
        <f>J30*7.84</f>
        <v>2.1189189189189195</v>
      </c>
    </row>
    <row r="31" spans="1:11" x14ac:dyDescent="0.15">
      <c r="A31" s="38">
        <f t="shared" si="0"/>
        <v>1677</v>
      </c>
      <c r="B31" s="109">
        <v>3</v>
      </c>
      <c r="C31" s="109"/>
      <c r="D31" s="109"/>
      <c r="E31" s="109"/>
      <c r="F31" s="109"/>
      <c r="J31" s="109">
        <f>B31/1.58*0.14</f>
        <v>0.26582278481012661</v>
      </c>
      <c r="K31" s="109">
        <f>J31*7.84</f>
        <v>2.0840506329113926</v>
      </c>
    </row>
    <row r="32" spans="1:11" x14ac:dyDescent="0.15">
      <c r="A32" s="38">
        <f t="shared" si="0"/>
        <v>1678</v>
      </c>
      <c r="B32" s="109"/>
      <c r="C32" s="109"/>
      <c r="D32" s="109"/>
      <c r="E32" s="109"/>
      <c r="F32" s="109"/>
      <c r="J32" s="109"/>
      <c r="K32" s="109"/>
    </row>
    <row r="33" spans="1:11" x14ac:dyDescent="0.15">
      <c r="A33" s="38">
        <f t="shared" si="0"/>
        <v>1679</v>
      </c>
      <c r="B33" s="109"/>
      <c r="C33" s="109"/>
      <c r="D33" s="109"/>
      <c r="E33" s="109"/>
      <c r="F33" s="109"/>
      <c r="J33" s="109"/>
      <c r="K33" s="109"/>
    </row>
    <row r="34" spans="1:11" x14ac:dyDescent="0.15">
      <c r="A34" s="38">
        <f t="shared" si="0"/>
        <v>1680</v>
      </c>
      <c r="B34" s="109"/>
      <c r="C34" s="109"/>
      <c r="D34" s="109"/>
      <c r="E34" s="109"/>
      <c r="F34" s="109"/>
      <c r="J34" s="109"/>
      <c r="K34" s="109"/>
    </row>
    <row r="35" spans="1:11" x14ac:dyDescent="0.15">
      <c r="A35" s="38">
        <f t="shared" si="0"/>
        <v>1681</v>
      </c>
      <c r="B35" s="109"/>
      <c r="C35" s="109"/>
      <c r="D35" s="109"/>
      <c r="E35" s="109"/>
      <c r="F35" s="109"/>
      <c r="J35" s="109"/>
      <c r="K35" s="109"/>
    </row>
    <row r="36" spans="1:11" x14ac:dyDescent="0.15">
      <c r="A36" s="38">
        <f t="shared" si="0"/>
        <v>1682</v>
      </c>
      <c r="B36" s="109"/>
      <c r="C36" s="109"/>
      <c r="D36" s="109"/>
      <c r="E36" s="109"/>
      <c r="F36" s="109"/>
      <c r="J36" s="109"/>
      <c r="K36" s="109"/>
    </row>
    <row r="37" spans="1:11" x14ac:dyDescent="0.15">
      <c r="A37" s="38">
        <f t="shared" si="0"/>
        <v>1683</v>
      </c>
      <c r="B37" s="109"/>
      <c r="C37" s="109"/>
      <c r="D37" s="109"/>
      <c r="E37" s="109"/>
      <c r="F37" s="109"/>
      <c r="J37" s="109"/>
      <c r="K37" s="109"/>
    </row>
    <row r="38" spans="1:11" x14ac:dyDescent="0.15">
      <c r="A38" s="38">
        <f t="shared" si="0"/>
        <v>1684</v>
      </c>
      <c r="B38" s="109"/>
      <c r="C38" s="109"/>
      <c r="D38" s="109"/>
      <c r="E38" s="109"/>
      <c r="F38" s="109"/>
      <c r="J38" s="109"/>
      <c r="K38" s="109"/>
    </row>
    <row r="39" spans="1:11" x14ac:dyDescent="0.15">
      <c r="A39" s="38">
        <f t="shared" si="0"/>
        <v>1685</v>
      </c>
      <c r="B39" s="109">
        <v>3</v>
      </c>
      <c r="C39" s="109"/>
      <c r="D39" s="109"/>
      <c r="E39" s="109"/>
      <c r="F39" s="109"/>
      <c r="J39" s="109">
        <f t="shared" ref="J39:J40" si="3">B39/1.58*0.14</f>
        <v>0.26582278481012661</v>
      </c>
      <c r="K39" s="109">
        <f t="shared" ref="K39:K40" si="4">J39*7.69</f>
        <v>2.0441772151898738</v>
      </c>
    </row>
    <row r="40" spans="1:11" x14ac:dyDescent="0.15">
      <c r="A40" s="38">
        <f t="shared" si="0"/>
        <v>1686</v>
      </c>
      <c r="B40" s="109">
        <v>3</v>
      </c>
      <c r="C40" s="109"/>
      <c r="D40" s="109"/>
      <c r="E40" s="109"/>
      <c r="F40" s="109"/>
      <c r="J40" s="109">
        <f t="shared" si="3"/>
        <v>0.26582278481012661</v>
      </c>
      <c r="K40" s="109">
        <f t="shared" si="4"/>
        <v>2.0441772151898738</v>
      </c>
    </row>
    <row r="41" spans="1:11" x14ac:dyDescent="0.15">
      <c r="A41" s="38">
        <f t="shared" si="0"/>
        <v>1687</v>
      </c>
      <c r="B41" s="109"/>
      <c r="C41" s="109"/>
      <c r="D41" s="109"/>
      <c r="E41" s="109"/>
      <c r="F41" s="109"/>
      <c r="J41" s="109"/>
      <c r="K41" s="109"/>
    </row>
    <row r="42" spans="1:11" x14ac:dyDescent="0.15">
      <c r="A42" s="38">
        <f t="shared" si="0"/>
        <v>1688</v>
      </c>
      <c r="B42" s="109">
        <v>3</v>
      </c>
      <c r="C42" s="109"/>
      <c r="D42" s="109"/>
      <c r="E42" s="109"/>
      <c r="F42" s="109"/>
      <c r="J42" s="109">
        <f>B42/1.58*0.14</f>
        <v>0.26582278481012661</v>
      </c>
      <c r="K42" s="109">
        <f>J42*7.69</f>
        <v>2.0441772151898738</v>
      </c>
    </row>
    <row r="43" spans="1:11" x14ac:dyDescent="0.15">
      <c r="A43" s="38">
        <f t="shared" si="0"/>
        <v>1689</v>
      </c>
      <c r="B43" s="109"/>
      <c r="C43" s="109"/>
      <c r="D43" s="109"/>
      <c r="E43" s="109"/>
      <c r="F43" s="109"/>
      <c r="J43" s="109"/>
      <c r="K43" s="109"/>
    </row>
    <row r="44" spans="1:11" x14ac:dyDescent="0.15">
      <c r="A44" s="38">
        <f t="shared" si="0"/>
        <v>1690</v>
      </c>
      <c r="B44" s="109">
        <v>3</v>
      </c>
      <c r="C44" s="109"/>
      <c r="D44" s="109"/>
      <c r="E44" s="109"/>
      <c r="F44" s="109"/>
      <c r="J44" s="109">
        <f t="shared" ref="J44:J51" si="5">B44/1.58*0.14</f>
        <v>0.26582278481012661</v>
      </c>
      <c r="K44" s="109">
        <f t="shared" ref="K44:K51" si="6">J44*7.69</f>
        <v>2.0441772151898738</v>
      </c>
    </row>
    <row r="45" spans="1:11" x14ac:dyDescent="0.15">
      <c r="A45" s="38">
        <f t="shared" si="0"/>
        <v>1691</v>
      </c>
      <c r="B45" s="109">
        <v>3</v>
      </c>
      <c r="C45" s="109"/>
      <c r="D45" s="109"/>
      <c r="E45" s="109"/>
      <c r="F45" s="109"/>
      <c r="J45" s="109">
        <f t="shared" si="5"/>
        <v>0.26582278481012661</v>
      </c>
      <c r="K45" s="109">
        <f t="shared" si="6"/>
        <v>2.0441772151898738</v>
      </c>
    </row>
    <row r="46" spans="1:11" x14ac:dyDescent="0.15">
      <c r="A46" s="38">
        <f t="shared" si="0"/>
        <v>1692</v>
      </c>
      <c r="B46" s="109">
        <v>3</v>
      </c>
      <c r="C46" s="109"/>
      <c r="D46" s="109"/>
      <c r="E46" s="109"/>
      <c r="F46" s="109"/>
      <c r="J46" s="109">
        <f t="shared" si="5"/>
        <v>0.26582278481012661</v>
      </c>
      <c r="K46" s="109">
        <f t="shared" si="6"/>
        <v>2.0441772151898738</v>
      </c>
    </row>
    <row r="47" spans="1:11" x14ac:dyDescent="0.15">
      <c r="A47" s="38">
        <f t="shared" si="0"/>
        <v>1693</v>
      </c>
      <c r="B47" s="109">
        <v>3</v>
      </c>
      <c r="C47" s="109"/>
      <c r="D47" s="109"/>
      <c r="E47" s="109"/>
      <c r="F47" s="109"/>
      <c r="J47" s="109">
        <f t="shared" si="5"/>
        <v>0.26582278481012661</v>
      </c>
      <c r="K47" s="109">
        <f t="shared" si="6"/>
        <v>2.0441772151898738</v>
      </c>
    </row>
    <row r="48" spans="1:11" x14ac:dyDescent="0.15">
      <c r="A48" s="38">
        <f t="shared" si="0"/>
        <v>1694</v>
      </c>
      <c r="B48" s="109">
        <v>3</v>
      </c>
      <c r="C48" s="109"/>
      <c r="D48" s="109"/>
      <c r="E48" s="109"/>
      <c r="F48" s="109"/>
      <c r="J48" s="109">
        <f t="shared" si="5"/>
        <v>0.26582278481012661</v>
      </c>
      <c r="K48" s="109">
        <f t="shared" si="6"/>
        <v>2.0441772151898738</v>
      </c>
    </row>
    <row r="49" spans="1:11" x14ac:dyDescent="0.15">
      <c r="A49" s="38">
        <f t="shared" si="0"/>
        <v>1695</v>
      </c>
      <c r="B49" s="109">
        <v>3</v>
      </c>
      <c r="C49" s="109"/>
      <c r="D49" s="109"/>
      <c r="E49" s="109"/>
      <c r="F49" s="109"/>
      <c r="J49" s="109">
        <f t="shared" si="5"/>
        <v>0.26582278481012661</v>
      </c>
      <c r="K49" s="109">
        <f t="shared" si="6"/>
        <v>2.0441772151898738</v>
      </c>
    </row>
    <row r="50" spans="1:11" x14ac:dyDescent="0.15">
      <c r="A50" s="38">
        <f t="shared" si="0"/>
        <v>1696</v>
      </c>
      <c r="B50" s="109">
        <v>3</v>
      </c>
      <c r="C50" s="109"/>
      <c r="D50" s="109"/>
      <c r="E50" s="109"/>
      <c r="F50" s="109"/>
      <c r="J50" s="109">
        <f t="shared" si="5"/>
        <v>0.26582278481012661</v>
      </c>
      <c r="K50" s="109">
        <f t="shared" si="6"/>
        <v>2.0441772151898738</v>
      </c>
    </row>
    <row r="51" spans="1:11" x14ac:dyDescent="0.15">
      <c r="A51" s="38">
        <f t="shared" si="0"/>
        <v>1697</v>
      </c>
      <c r="B51" s="109">
        <v>3</v>
      </c>
      <c r="C51" s="109"/>
      <c r="D51" s="109"/>
      <c r="E51" s="109"/>
      <c r="F51" s="109"/>
      <c r="J51" s="109">
        <f t="shared" si="5"/>
        <v>0.26582278481012661</v>
      </c>
      <c r="K51" s="109">
        <f t="shared" si="6"/>
        <v>2.0441772151898738</v>
      </c>
    </row>
    <row r="52" spans="1:11" x14ac:dyDescent="0.15">
      <c r="A52" s="38">
        <f t="shared" si="0"/>
        <v>1698</v>
      </c>
      <c r="B52" s="109"/>
      <c r="C52" s="109"/>
      <c r="D52" s="109"/>
      <c r="E52" s="109"/>
      <c r="F52" s="109"/>
      <c r="J52" s="109"/>
      <c r="K52" s="109"/>
    </row>
    <row r="53" spans="1:11" x14ac:dyDescent="0.15">
      <c r="A53" s="38">
        <f>A54-1</f>
        <v>1699</v>
      </c>
      <c r="B53" s="109"/>
      <c r="C53" s="109"/>
      <c r="D53" s="109"/>
      <c r="E53" s="109"/>
      <c r="F53" s="109"/>
      <c r="J53" s="109"/>
      <c r="K53" s="109"/>
    </row>
    <row r="54" spans="1:11" x14ac:dyDescent="0.15">
      <c r="A54" s="38">
        <v>1700</v>
      </c>
      <c r="B54" s="109"/>
      <c r="C54" s="109"/>
      <c r="D54" s="109"/>
      <c r="E54" s="109"/>
      <c r="F54" s="109"/>
      <c r="J54" s="109"/>
      <c r="K54" s="109"/>
    </row>
    <row r="55" spans="1:11" x14ac:dyDescent="0.15">
      <c r="A55" s="38">
        <v>1701</v>
      </c>
      <c r="B55" s="109"/>
      <c r="C55" s="109"/>
      <c r="D55" s="109"/>
      <c r="E55" s="109"/>
      <c r="F55" s="109"/>
      <c r="J55" s="109"/>
      <c r="K55" s="109"/>
    </row>
    <row r="56" spans="1:11" x14ac:dyDescent="0.15">
      <c r="A56" s="38">
        <v>1702</v>
      </c>
      <c r="B56" s="109">
        <v>3</v>
      </c>
      <c r="C56" s="109"/>
      <c r="D56" s="109"/>
      <c r="E56" s="109"/>
      <c r="F56" s="109"/>
      <c r="J56" s="109">
        <f t="shared" ref="J56:J60" si="7">B56/1.58*0.14</f>
        <v>0.26582278481012661</v>
      </c>
      <c r="K56" s="109">
        <f t="shared" ref="K56:K60" si="8">J56*7.69</f>
        <v>2.0441772151898738</v>
      </c>
    </row>
    <row r="57" spans="1:11" x14ac:dyDescent="0.15">
      <c r="A57" s="38">
        <v>1703</v>
      </c>
      <c r="B57" s="109">
        <v>3</v>
      </c>
      <c r="C57" s="109"/>
      <c r="D57" s="109"/>
      <c r="E57" s="109"/>
      <c r="F57" s="109"/>
      <c r="J57" s="109">
        <f t="shared" si="7"/>
        <v>0.26582278481012661</v>
      </c>
      <c r="K57" s="109">
        <f t="shared" si="8"/>
        <v>2.0441772151898738</v>
      </c>
    </row>
    <row r="58" spans="1:11" x14ac:dyDescent="0.15">
      <c r="A58" s="38">
        <v>1704</v>
      </c>
      <c r="B58" s="109">
        <v>3</v>
      </c>
      <c r="C58" s="109"/>
      <c r="D58" s="109"/>
      <c r="E58" s="109"/>
      <c r="F58" s="109"/>
      <c r="J58" s="109">
        <f t="shared" si="7"/>
        <v>0.26582278481012661</v>
      </c>
      <c r="K58" s="109">
        <f t="shared" si="8"/>
        <v>2.0441772151898738</v>
      </c>
    </row>
    <row r="59" spans="1:11" x14ac:dyDescent="0.15">
      <c r="A59" s="38">
        <v>1705</v>
      </c>
      <c r="B59" s="109">
        <v>3</v>
      </c>
      <c r="C59" s="109"/>
      <c r="D59" s="109"/>
      <c r="E59" s="109"/>
      <c r="F59" s="109"/>
      <c r="J59" s="109">
        <f t="shared" si="7"/>
        <v>0.26582278481012661</v>
      </c>
      <c r="K59" s="109">
        <f t="shared" si="8"/>
        <v>2.0441772151898738</v>
      </c>
    </row>
    <row r="60" spans="1:11" x14ac:dyDescent="0.15">
      <c r="A60" s="38">
        <v>1706</v>
      </c>
      <c r="B60" s="109">
        <v>3</v>
      </c>
      <c r="C60" s="109"/>
      <c r="D60" s="109"/>
      <c r="E60" s="109"/>
      <c r="F60" s="109"/>
      <c r="J60" s="109">
        <f t="shared" si="7"/>
        <v>0.26582278481012661</v>
      </c>
      <c r="K60" s="109">
        <f t="shared" si="8"/>
        <v>2.0441772151898738</v>
      </c>
    </row>
    <row r="61" spans="1:11" x14ac:dyDescent="0.15">
      <c r="A61" s="38">
        <v>1707</v>
      </c>
      <c r="B61" s="109"/>
      <c r="C61" s="109"/>
      <c r="D61" s="109"/>
      <c r="E61" s="109"/>
      <c r="F61" s="109"/>
      <c r="J61" s="109"/>
      <c r="K61" s="109"/>
    </row>
    <row r="62" spans="1:11" x14ac:dyDescent="0.15">
      <c r="A62" s="38">
        <v>1708</v>
      </c>
      <c r="B62" s="109"/>
      <c r="C62" s="109"/>
      <c r="D62" s="109"/>
      <c r="E62" s="109"/>
      <c r="F62" s="109"/>
      <c r="J62" s="109"/>
      <c r="K62" s="109"/>
    </row>
    <row r="63" spans="1:11" x14ac:dyDescent="0.15">
      <c r="A63" s="38">
        <v>1709</v>
      </c>
      <c r="B63" s="109"/>
      <c r="C63" s="109"/>
      <c r="D63" s="109"/>
      <c r="E63" s="109"/>
      <c r="F63" s="109"/>
      <c r="J63" s="109"/>
      <c r="K63" s="109"/>
    </row>
    <row r="64" spans="1:11" x14ac:dyDescent="0.15">
      <c r="A64" s="38">
        <v>1710</v>
      </c>
      <c r="B64" s="109"/>
      <c r="C64" s="109"/>
      <c r="D64" s="109"/>
      <c r="E64" s="109"/>
      <c r="F64" s="109"/>
      <c r="J64" s="109"/>
      <c r="K64" s="109"/>
    </row>
    <row r="65" spans="1:11" x14ac:dyDescent="0.15">
      <c r="A65" s="38">
        <v>1711</v>
      </c>
      <c r="B65" s="109"/>
      <c r="C65" s="109"/>
      <c r="D65" s="109"/>
      <c r="E65" s="109"/>
      <c r="F65" s="109"/>
      <c r="J65" s="109"/>
      <c r="K65" s="109"/>
    </row>
    <row r="66" spans="1:11" x14ac:dyDescent="0.15">
      <c r="A66" s="38">
        <v>1712</v>
      </c>
      <c r="B66" s="109"/>
      <c r="C66" s="109"/>
      <c r="D66" s="109"/>
      <c r="E66" s="109"/>
      <c r="F66" s="109"/>
      <c r="J66" s="109"/>
      <c r="K66" s="109"/>
    </row>
    <row r="67" spans="1:11" x14ac:dyDescent="0.15">
      <c r="A67" s="38">
        <v>1713</v>
      </c>
      <c r="B67" s="109"/>
      <c r="C67" s="109"/>
      <c r="D67" s="109"/>
      <c r="E67" s="109"/>
      <c r="F67" s="109"/>
      <c r="J67" s="109"/>
      <c r="K67" s="109"/>
    </row>
    <row r="68" spans="1:11" x14ac:dyDescent="0.15">
      <c r="A68" s="38">
        <v>1714</v>
      </c>
      <c r="B68" s="109"/>
      <c r="C68" s="109"/>
      <c r="D68" s="109"/>
      <c r="E68" s="109"/>
      <c r="F68" s="109"/>
      <c r="J68" s="109"/>
      <c r="K68" s="109"/>
    </row>
    <row r="69" spans="1:11" x14ac:dyDescent="0.15">
      <c r="A69" s="38">
        <v>1715</v>
      </c>
      <c r="B69" s="109"/>
      <c r="C69" s="109"/>
      <c r="D69" s="109"/>
      <c r="E69" s="109"/>
      <c r="F69" s="109"/>
      <c r="J69" s="109"/>
      <c r="K69" s="109"/>
    </row>
    <row r="70" spans="1:11" x14ac:dyDescent="0.15">
      <c r="A70" s="38">
        <v>1716</v>
      </c>
      <c r="B70" s="109"/>
      <c r="C70" s="109"/>
      <c r="D70" s="109"/>
      <c r="E70" s="109"/>
      <c r="F70" s="109"/>
      <c r="J70" s="109"/>
      <c r="K70" s="109"/>
    </row>
    <row r="71" spans="1:11" x14ac:dyDescent="0.15">
      <c r="A71" s="38">
        <v>1717</v>
      </c>
      <c r="B71" s="109">
        <v>3</v>
      </c>
      <c r="C71" s="109"/>
      <c r="D71" s="109"/>
      <c r="E71" s="109"/>
      <c r="F71" s="109"/>
      <c r="J71" s="109">
        <f>B71/1.58*0.14</f>
        <v>0.26582278481012661</v>
      </c>
      <c r="K71" s="109">
        <f>J71*7.69</f>
        <v>2.0441772151898738</v>
      </c>
    </row>
    <row r="72" spans="1:11" x14ac:dyDescent="0.15">
      <c r="A72" s="38">
        <v>1718</v>
      </c>
      <c r="B72" s="109"/>
      <c r="C72" s="109"/>
      <c r="D72" s="109"/>
      <c r="E72" s="109"/>
      <c r="F72" s="109"/>
      <c r="J72" s="109"/>
      <c r="K72" s="109"/>
    </row>
    <row r="73" spans="1:11" x14ac:dyDescent="0.15">
      <c r="A73" s="38">
        <v>1719</v>
      </c>
      <c r="B73" s="109"/>
      <c r="C73" s="109"/>
      <c r="D73" s="109"/>
      <c r="E73" s="109"/>
      <c r="F73" s="109"/>
      <c r="J73" s="109"/>
      <c r="K73" s="109"/>
    </row>
    <row r="74" spans="1:11" x14ac:dyDescent="0.15">
      <c r="A74" s="38">
        <v>1720</v>
      </c>
      <c r="B74" s="109"/>
      <c r="C74" s="109"/>
      <c r="D74" s="109"/>
      <c r="E74" s="109"/>
      <c r="F74" s="109"/>
      <c r="J74" s="109"/>
      <c r="K74" s="109"/>
    </row>
    <row r="75" spans="1:11" x14ac:dyDescent="0.15">
      <c r="A75" s="38">
        <v>1721</v>
      </c>
      <c r="B75" s="109"/>
      <c r="C75" s="109"/>
      <c r="D75" s="109"/>
      <c r="E75" s="109"/>
      <c r="F75" s="109"/>
      <c r="J75" s="109"/>
      <c r="K75" s="109"/>
    </row>
    <row r="76" spans="1:11" x14ac:dyDescent="0.15">
      <c r="A76" s="38">
        <v>1722</v>
      </c>
      <c r="B76" s="109"/>
      <c r="C76" s="109"/>
      <c r="D76" s="109"/>
      <c r="E76" s="109"/>
      <c r="F76" s="109"/>
      <c r="J76" s="109"/>
      <c r="K76" s="109"/>
    </row>
    <row r="77" spans="1:11" x14ac:dyDescent="0.15">
      <c r="A77" s="38">
        <v>1723</v>
      </c>
      <c r="B77" s="109"/>
      <c r="C77" s="109"/>
      <c r="D77" s="109"/>
      <c r="E77" s="109"/>
      <c r="F77" s="109"/>
      <c r="J77" s="109"/>
      <c r="K77" s="109"/>
    </row>
    <row r="78" spans="1:11" x14ac:dyDescent="0.15">
      <c r="A78" s="38">
        <v>1724</v>
      </c>
      <c r="B78" s="109"/>
      <c r="C78" s="109"/>
      <c r="D78" s="109"/>
      <c r="E78" s="109"/>
      <c r="F78" s="109"/>
      <c r="J78" s="109"/>
      <c r="K78" s="109"/>
    </row>
    <row r="79" spans="1:11" x14ac:dyDescent="0.15">
      <c r="A79" s="38">
        <v>1725</v>
      </c>
      <c r="B79" s="109"/>
      <c r="C79" s="109"/>
      <c r="D79" s="109"/>
      <c r="E79" s="109"/>
      <c r="F79" s="109"/>
      <c r="J79" s="109"/>
      <c r="K79" s="109"/>
    </row>
    <row r="80" spans="1:11" x14ac:dyDescent="0.15">
      <c r="A80" s="38">
        <v>1726</v>
      </c>
      <c r="B80" s="109"/>
      <c r="C80" s="109"/>
      <c r="D80" s="109"/>
      <c r="E80" s="109"/>
      <c r="F80" s="109"/>
      <c r="J80" s="109"/>
      <c r="K80" s="109"/>
    </row>
    <row r="81" spans="1:11" x14ac:dyDescent="0.15">
      <c r="A81" s="38">
        <v>1727</v>
      </c>
      <c r="B81" s="109"/>
      <c r="C81" s="109"/>
      <c r="D81" s="109"/>
      <c r="E81" s="109"/>
      <c r="F81" s="109"/>
      <c r="J81" s="109"/>
      <c r="K81" s="109"/>
    </row>
    <row r="82" spans="1:11" x14ac:dyDescent="0.15">
      <c r="A82" s="38">
        <v>1728</v>
      </c>
      <c r="B82" s="109"/>
      <c r="C82" s="109"/>
      <c r="D82" s="109"/>
      <c r="E82" s="109"/>
      <c r="F82" s="109"/>
      <c r="J82" s="109"/>
      <c r="K82" s="109"/>
    </row>
    <row r="83" spans="1:11" x14ac:dyDescent="0.15">
      <c r="A83" s="38">
        <v>1729</v>
      </c>
      <c r="B83" s="109"/>
      <c r="C83" s="109"/>
      <c r="D83" s="109">
        <v>8</v>
      </c>
      <c r="E83" s="109"/>
      <c r="F83" s="109"/>
      <c r="J83" s="109">
        <f>D83/1.58*0.14</f>
        <v>0.70886075949367089</v>
      </c>
      <c r="K83" s="109">
        <f>J83*7.69</f>
        <v>5.451139240506329</v>
      </c>
    </row>
    <row r="84" spans="1:11" x14ac:dyDescent="0.15">
      <c r="A84" s="38">
        <v>1730</v>
      </c>
      <c r="B84" s="109"/>
      <c r="C84" s="109"/>
      <c r="D84" s="109"/>
      <c r="E84" s="109"/>
      <c r="F84" s="109"/>
      <c r="J84" s="109"/>
      <c r="K84" s="109"/>
    </row>
    <row r="85" spans="1:11" x14ac:dyDescent="0.15">
      <c r="A85" s="38">
        <v>1731</v>
      </c>
      <c r="B85" s="109"/>
      <c r="C85" s="109"/>
      <c r="D85" s="109"/>
      <c r="E85" s="109"/>
      <c r="F85" s="109"/>
      <c r="J85" s="109"/>
      <c r="K85" s="109"/>
    </row>
    <row r="86" spans="1:11" x14ac:dyDescent="0.15">
      <c r="A86" s="38">
        <v>1732</v>
      </c>
      <c r="B86" s="109"/>
      <c r="C86" s="109"/>
      <c r="D86" s="109"/>
      <c r="E86" s="109"/>
      <c r="F86" s="109"/>
      <c r="J86" s="109"/>
      <c r="K86" s="109"/>
    </row>
    <row r="87" spans="1:11" x14ac:dyDescent="0.15">
      <c r="A87" s="38">
        <v>1733</v>
      </c>
      <c r="B87" s="109"/>
      <c r="C87" s="109"/>
      <c r="D87" s="109"/>
      <c r="E87" s="109"/>
      <c r="F87" s="109"/>
      <c r="J87" s="109"/>
      <c r="K87" s="109"/>
    </row>
    <row r="88" spans="1:11" x14ac:dyDescent="0.15">
      <c r="A88" s="38">
        <v>1734</v>
      </c>
      <c r="B88" s="109"/>
      <c r="C88" s="109"/>
      <c r="D88" s="109"/>
      <c r="E88" s="109"/>
      <c r="F88" s="109"/>
      <c r="J88" s="109"/>
      <c r="K88" s="109"/>
    </row>
    <row r="89" spans="1:11" x14ac:dyDescent="0.15">
      <c r="A89" s="38">
        <v>1735</v>
      </c>
      <c r="B89" s="109"/>
      <c r="C89" s="109"/>
      <c r="D89" s="109"/>
      <c r="E89" s="109"/>
      <c r="F89" s="109"/>
      <c r="J89" s="109"/>
      <c r="K89" s="109"/>
    </row>
    <row r="90" spans="1:11" x14ac:dyDescent="0.15">
      <c r="A90" s="38">
        <v>1736</v>
      </c>
      <c r="B90" s="109"/>
      <c r="C90" s="109"/>
      <c r="D90" s="109"/>
      <c r="E90" s="109"/>
      <c r="F90" s="109"/>
      <c r="J90" s="109"/>
      <c r="K90" s="109"/>
    </row>
    <row r="91" spans="1:11" x14ac:dyDescent="0.15">
      <c r="A91" s="38">
        <v>1737</v>
      </c>
      <c r="B91" s="109"/>
      <c r="C91" s="109"/>
      <c r="D91" s="109"/>
      <c r="E91" s="109"/>
      <c r="F91" s="109"/>
      <c r="J91" s="109"/>
      <c r="K91" s="109"/>
    </row>
    <row r="92" spans="1:11" x14ac:dyDescent="0.15">
      <c r="A92" s="38">
        <v>1738</v>
      </c>
      <c r="B92" s="109"/>
      <c r="C92" s="109"/>
      <c r="D92" s="109"/>
      <c r="E92" s="109"/>
      <c r="F92" s="109"/>
      <c r="J92" s="109"/>
      <c r="K92" s="109"/>
    </row>
    <row r="93" spans="1:11" x14ac:dyDescent="0.15">
      <c r="A93" s="38">
        <v>1739</v>
      </c>
      <c r="B93" s="109"/>
      <c r="C93" s="109"/>
      <c r="D93" s="109"/>
      <c r="E93" s="109"/>
      <c r="F93" s="109"/>
      <c r="J93" s="109"/>
      <c r="K93" s="109"/>
    </row>
    <row r="94" spans="1:11" x14ac:dyDescent="0.15">
      <c r="A94" s="38">
        <v>1740</v>
      </c>
      <c r="B94" s="109"/>
      <c r="C94" s="109"/>
      <c r="D94" s="109"/>
      <c r="E94" s="109"/>
      <c r="F94" s="109"/>
      <c r="J94" s="109"/>
      <c r="K94" s="109"/>
    </row>
    <row r="95" spans="1:11" x14ac:dyDescent="0.15">
      <c r="A95" s="38">
        <v>1741</v>
      </c>
      <c r="B95" s="109"/>
      <c r="C95" s="109"/>
      <c r="D95" s="109"/>
      <c r="E95" s="109"/>
      <c r="F95" s="109"/>
      <c r="J95" s="109"/>
      <c r="K95" s="109"/>
    </row>
    <row r="96" spans="1:11" x14ac:dyDescent="0.15">
      <c r="A96" s="38">
        <v>1742</v>
      </c>
      <c r="B96" s="109"/>
      <c r="C96" s="109"/>
      <c r="D96" s="109"/>
      <c r="E96" s="109"/>
      <c r="F96" s="109"/>
      <c r="J96" s="109"/>
      <c r="K96" s="109"/>
    </row>
    <row r="97" spans="1:1" x14ac:dyDescent="0.15">
      <c r="A97" s="38">
        <v>1743</v>
      </c>
    </row>
    <row r="98" spans="1:1" x14ac:dyDescent="0.15">
      <c r="A98" s="38">
        <v>1744</v>
      </c>
    </row>
    <row r="99" spans="1:1" x14ac:dyDescent="0.15">
      <c r="A99" s="38">
        <v>1745</v>
      </c>
    </row>
    <row r="100" spans="1:1" x14ac:dyDescent="0.15">
      <c r="A100" s="38">
        <v>1746</v>
      </c>
    </row>
    <row r="101" spans="1:1" x14ac:dyDescent="0.15">
      <c r="A101" s="38">
        <v>1747</v>
      </c>
    </row>
    <row r="102" spans="1:1" x14ac:dyDescent="0.15">
      <c r="A102" s="38">
        <v>1748</v>
      </c>
    </row>
    <row r="103" spans="1:1" x14ac:dyDescent="0.15">
      <c r="A103" s="38">
        <v>1749</v>
      </c>
    </row>
    <row r="104" spans="1:1" x14ac:dyDescent="0.15">
      <c r="A104" s="38">
        <v>1750</v>
      </c>
    </row>
    <row r="105" spans="1:1" x14ac:dyDescent="0.15">
      <c r="A105" s="38">
        <v>1751</v>
      </c>
    </row>
    <row r="106" spans="1:1" x14ac:dyDescent="0.15">
      <c r="A106" s="38">
        <v>1752</v>
      </c>
    </row>
    <row r="107" spans="1:1" x14ac:dyDescent="0.15">
      <c r="A107" s="38">
        <f>A106+1</f>
        <v>1753</v>
      </c>
    </row>
    <row r="108" spans="1:1" x14ac:dyDescent="0.15">
      <c r="A108" s="38">
        <f t="shared" ref="A108:A147" si="9">A107+1</f>
        <v>1754</v>
      </c>
    </row>
    <row r="109" spans="1:1" x14ac:dyDescent="0.15">
      <c r="A109" s="38">
        <f t="shared" si="9"/>
        <v>1755</v>
      </c>
    </row>
    <row r="110" spans="1:1" x14ac:dyDescent="0.15">
      <c r="A110" s="38">
        <f t="shared" si="9"/>
        <v>1756</v>
      </c>
    </row>
    <row r="111" spans="1:1" x14ac:dyDescent="0.15">
      <c r="A111" s="38">
        <f t="shared" si="9"/>
        <v>1757</v>
      </c>
    </row>
    <row r="112" spans="1:1" x14ac:dyDescent="0.15">
      <c r="A112" s="38">
        <f t="shared" si="9"/>
        <v>1758</v>
      </c>
    </row>
    <row r="113" spans="1:1" x14ac:dyDescent="0.15">
      <c r="A113" s="38">
        <f t="shared" si="9"/>
        <v>1759</v>
      </c>
    </row>
    <row r="114" spans="1:1" x14ac:dyDescent="0.15">
      <c r="A114" s="38">
        <f t="shared" si="9"/>
        <v>1760</v>
      </c>
    </row>
    <row r="115" spans="1:1" x14ac:dyDescent="0.15">
      <c r="A115" s="38">
        <f t="shared" si="9"/>
        <v>1761</v>
      </c>
    </row>
    <row r="116" spans="1:1" x14ac:dyDescent="0.15">
      <c r="A116" s="38">
        <f t="shared" si="9"/>
        <v>1762</v>
      </c>
    </row>
    <row r="117" spans="1:1" x14ac:dyDescent="0.15">
      <c r="A117" s="38">
        <f t="shared" si="9"/>
        <v>1763</v>
      </c>
    </row>
    <row r="118" spans="1:1" x14ac:dyDescent="0.15">
      <c r="A118" s="38">
        <f t="shared" si="9"/>
        <v>1764</v>
      </c>
    </row>
    <row r="119" spans="1:1" x14ac:dyDescent="0.15">
      <c r="A119" s="38">
        <f t="shared" si="9"/>
        <v>1765</v>
      </c>
    </row>
    <row r="120" spans="1:1" x14ac:dyDescent="0.15">
      <c r="A120" s="38">
        <f t="shared" si="9"/>
        <v>1766</v>
      </c>
    </row>
    <row r="121" spans="1:1" x14ac:dyDescent="0.15">
      <c r="A121" s="38">
        <f t="shared" si="9"/>
        <v>1767</v>
      </c>
    </row>
    <row r="122" spans="1:1" x14ac:dyDescent="0.15">
      <c r="A122" s="38">
        <f t="shared" si="9"/>
        <v>1768</v>
      </c>
    </row>
    <row r="123" spans="1:1" x14ac:dyDescent="0.15">
      <c r="A123" s="38">
        <f t="shared" si="9"/>
        <v>1769</v>
      </c>
    </row>
    <row r="124" spans="1:1" x14ac:dyDescent="0.15">
      <c r="A124" s="38">
        <f t="shared" si="9"/>
        <v>1770</v>
      </c>
    </row>
    <row r="125" spans="1:1" x14ac:dyDescent="0.15">
      <c r="A125" s="38">
        <f t="shared" si="9"/>
        <v>1771</v>
      </c>
    </row>
    <row r="126" spans="1:1" x14ac:dyDescent="0.15">
      <c r="A126" s="38">
        <f t="shared" si="9"/>
        <v>1772</v>
      </c>
    </row>
    <row r="127" spans="1:1" x14ac:dyDescent="0.15">
      <c r="A127" s="38">
        <f t="shared" si="9"/>
        <v>1773</v>
      </c>
    </row>
    <row r="128" spans="1:1" x14ac:dyDescent="0.15">
      <c r="A128" s="38">
        <f t="shared" si="9"/>
        <v>1774</v>
      </c>
    </row>
    <row r="129" spans="1:11" x14ac:dyDescent="0.15">
      <c r="A129" s="38">
        <f t="shared" si="9"/>
        <v>1775</v>
      </c>
      <c r="B129" s="109"/>
      <c r="C129" s="109"/>
      <c r="D129" s="109"/>
      <c r="E129" s="109"/>
      <c r="F129" s="109"/>
      <c r="J129" s="109"/>
      <c r="K129" s="109"/>
    </row>
    <row r="130" spans="1:11" x14ac:dyDescent="0.15">
      <c r="A130" s="38">
        <f t="shared" si="9"/>
        <v>1776</v>
      </c>
      <c r="B130" s="109"/>
      <c r="C130" s="109"/>
      <c r="D130" s="109"/>
      <c r="E130" s="109"/>
      <c r="F130" s="109"/>
      <c r="J130" s="109"/>
      <c r="K130" s="109"/>
    </row>
    <row r="131" spans="1:11" x14ac:dyDescent="0.15">
      <c r="A131" s="38">
        <f t="shared" si="9"/>
        <v>1777</v>
      </c>
      <c r="B131" s="109"/>
      <c r="C131" s="109"/>
      <c r="D131" s="109"/>
      <c r="E131" s="109"/>
      <c r="F131" s="109"/>
      <c r="J131" s="109"/>
      <c r="K131" s="109"/>
    </row>
    <row r="132" spans="1:11" x14ac:dyDescent="0.15">
      <c r="A132" s="38">
        <f t="shared" si="9"/>
        <v>1778</v>
      </c>
      <c r="B132" s="109"/>
      <c r="C132" s="109"/>
      <c r="D132" s="109"/>
      <c r="E132" s="109"/>
      <c r="F132" s="109"/>
      <c r="J132" s="109"/>
      <c r="K132" s="109"/>
    </row>
    <row r="133" spans="1:11" x14ac:dyDescent="0.15">
      <c r="A133" s="38">
        <f t="shared" si="9"/>
        <v>1779</v>
      </c>
      <c r="B133" s="109"/>
      <c r="C133" s="109">
        <v>9</v>
      </c>
      <c r="D133" s="109"/>
      <c r="E133" s="109"/>
      <c r="F133" s="109"/>
      <c r="J133" s="109">
        <f>C133/2.59*0.14</f>
        <v>0.48648648648648657</v>
      </c>
      <c r="K133" s="109">
        <f>J133*9.61</f>
        <v>4.675135135135136</v>
      </c>
    </row>
    <row r="134" spans="1:11" x14ac:dyDescent="0.15">
      <c r="A134" s="38">
        <f t="shared" si="9"/>
        <v>1780</v>
      </c>
      <c r="B134" s="109"/>
      <c r="C134" s="109"/>
      <c r="D134" s="109"/>
      <c r="E134" s="109"/>
      <c r="F134" s="109"/>
      <c r="J134" s="109"/>
      <c r="K134" s="109"/>
    </row>
    <row r="135" spans="1:11" x14ac:dyDescent="0.15">
      <c r="A135" s="38">
        <f t="shared" si="9"/>
        <v>1781</v>
      </c>
      <c r="B135" s="109"/>
      <c r="C135" s="109"/>
      <c r="D135" s="109"/>
      <c r="E135" s="109"/>
      <c r="F135" s="109"/>
      <c r="J135" s="109"/>
      <c r="K135" s="109"/>
    </row>
    <row r="136" spans="1:11" x14ac:dyDescent="0.15">
      <c r="A136" s="38">
        <f t="shared" si="9"/>
        <v>1782</v>
      </c>
      <c r="B136" s="109"/>
      <c r="C136" s="109"/>
      <c r="D136" s="109"/>
      <c r="E136" s="109"/>
      <c r="F136" s="109"/>
      <c r="J136" s="109"/>
      <c r="K136" s="109"/>
    </row>
    <row r="137" spans="1:11" x14ac:dyDescent="0.15">
      <c r="A137" s="38">
        <f t="shared" si="9"/>
        <v>1783</v>
      </c>
      <c r="B137" s="109"/>
      <c r="C137" s="109"/>
      <c r="D137" s="109"/>
      <c r="E137" s="109"/>
      <c r="F137" s="109"/>
      <c r="J137" s="109"/>
      <c r="K137" s="109"/>
    </row>
    <row r="138" spans="1:11" x14ac:dyDescent="0.15">
      <c r="A138" s="38">
        <f t="shared" si="9"/>
        <v>1784</v>
      </c>
      <c r="B138" s="109"/>
      <c r="C138" s="109"/>
      <c r="D138" s="109"/>
      <c r="E138" s="109"/>
      <c r="F138" s="109"/>
      <c r="J138" s="109"/>
      <c r="K138" s="109"/>
    </row>
    <row r="139" spans="1:11" x14ac:dyDescent="0.15">
      <c r="A139" s="38">
        <f t="shared" si="9"/>
        <v>1785</v>
      </c>
      <c r="B139" s="109"/>
      <c r="C139" s="109"/>
      <c r="D139" s="109"/>
      <c r="E139" s="109">
        <v>6</v>
      </c>
      <c r="F139" s="109"/>
      <c r="J139" s="109">
        <f>E139/1.58*0.14*2.4</f>
        <v>1.2759493670886077</v>
      </c>
      <c r="K139" s="109">
        <f>J139*9.61</f>
        <v>12.261873417721519</v>
      </c>
    </row>
    <row r="140" spans="1:11" x14ac:dyDescent="0.15">
      <c r="A140" s="38">
        <f t="shared" si="9"/>
        <v>1786</v>
      </c>
      <c r="B140" s="109">
        <v>9.9</v>
      </c>
      <c r="C140" s="109"/>
      <c r="D140" s="109"/>
      <c r="E140" s="109"/>
      <c r="F140" s="109"/>
      <c r="J140" s="109">
        <f>(B140/1.58*0.14)</f>
        <v>0.87721518987341773</v>
      </c>
      <c r="K140" s="109">
        <f>J140*9.61</f>
        <v>8.4300379746835432</v>
      </c>
    </row>
    <row r="141" spans="1:11" x14ac:dyDescent="0.15">
      <c r="A141" s="38">
        <f t="shared" si="9"/>
        <v>1787</v>
      </c>
      <c r="B141" s="109"/>
      <c r="C141" s="109"/>
      <c r="D141" s="109"/>
      <c r="E141" s="109"/>
      <c r="F141" s="109"/>
      <c r="J141" s="109"/>
      <c r="K141" s="109"/>
    </row>
    <row r="142" spans="1:11" x14ac:dyDescent="0.15">
      <c r="A142" s="38">
        <f t="shared" si="9"/>
        <v>1788</v>
      </c>
      <c r="B142" s="109"/>
      <c r="C142" s="109"/>
      <c r="D142" s="109"/>
      <c r="E142" s="109"/>
      <c r="F142" s="109"/>
      <c r="J142" s="109"/>
      <c r="K142" s="109"/>
    </row>
    <row r="143" spans="1:11" x14ac:dyDescent="0.15">
      <c r="A143" s="38">
        <f t="shared" si="9"/>
        <v>1789</v>
      </c>
      <c r="B143" s="109"/>
      <c r="C143" s="109"/>
      <c r="D143" s="109"/>
      <c r="E143" s="109"/>
      <c r="F143" s="109"/>
      <c r="J143" s="109"/>
      <c r="K143" s="109"/>
    </row>
    <row r="144" spans="1:11" x14ac:dyDescent="0.15">
      <c r="A144" s="38">
        <f t="shared" si="9"/>
        <v>1790</v>
      </c>
      <c r="B144" s="109"/>
      <c r="C144" s="109"/>
      <c r="D144" s="109"/>
      <c r="E144" s="109"/>
      <c r="F144" s="109"/>
      <c r="J144" s="109"/>
      <c r="K144" s="109"/>
    </row>
    <row r="145" spans="1:11" x14ac:dyDescent="0.15">
      <c r="A145" s="38">
        <f t="shared" si="9"/>
        <v>1791</v>
      </c>
      <c r="B145" s="109"/>
      <c r="C145" s="109"/>
      <c r="D145" s="109"/>
      <c r="E145" s="109"/>
      <c r="F145" s="109"/>
      <c r="J145" s="109"/>
      <c r="K145" s="109"/>
    </row>
    <row r="146" spans="1:11" x14ac:dyDescent="0.15">
      <c r="A146" s="38">
        <f t="shared" si="9"/>
        <v>1792</v>
      </c>
      <c r="B146" s="109"/>
      <c r="C146" s="109"/>
      <c r="D146" s="109"/>
      <c r="E146" s="109"/>
      <c r="F146" s="109"/>
      <c r="J146" s="109"/>
      <c r="K146" s="109"/>
    </row>
    <row r="147" spans="1:11" x14ac:dyDescent="0.15">
      <c r="A147" s="38">
        <f t="shared" si="9"/>
        <v>1793</v>
      </c>
      <c r="B147" s="109">
        <v>13.200000000000001</v>
      </c>
      <c r="C147" s="109"/>
      <c r="D147" s="109"/>
      <c r="E147" s="109"/>
      <c r="F147" s="109"/>
      <c r="J147" s="109">
        <f>B147/1.58*0.14</f>
        <v>1.1696202531645572</v>
      </c>
      <c r="K147" s="109">
        <f>J147*9.61</f>
        <v>11.240050632911395</v>
      </c>
    </row>
    <row r="148" spans="1:11" x14ac:dyDescent="0.15">
      <c r="A148" s="38">
        <v>1794</v>
      </c>
      <c r="B148" s="109"/>
      <c r="C148" s="109"/>
      <c r="D148" s="109"/>
      <c r="E148" s="109"/>
      <c r="F148" s="109"/>
      <c r="J148" s="109"/>
      <c r="K148" s="109"/>
    </row>
    <row r="149" spans="1:11" x14ac:dyDescent="0.15">
      <c r="A149" s="38">
        <v>1795</v>
      </c>
      <c r="B149" s="109"/>
      <c r="C149" s="109"/>
      <c r="D149" s="109"/>
      <c r="E149" s="109"/>
      <c r="F149" s="109"/>
      <c r="J149" s="109"/>
      <c r="K149" s="109"/>
    </row>
    <row r="150" spans="1:11" x14ac:dyDescent="0.15">
      <c r="A150" s="38">
        <f t="shared" ref="A150:A213" si="10">A149+1</f>
        <v>1796</v>
      </c>
      <c r="B150" s="109"/>
      <c r="C150" s="109"/>
      <c r="D150" s="109"/>
      <c r="E150" s="109"/>
      <c r="F150" s="109"/>
      <c r="J150" s="109"/>
      <c r="K150" s="109"/>
    </row>
    <row r="151" spans="1:11" x14ac:dyDescent="0.15">
      <c r="A151" s="38">
        <f t="shared" si="10"/>
        <v>1797</v>
      </c>
      <c r="B151" s="109"/>
      <c r="C151" s="109"/>
      <c r="D151" s="109"/>
      <c r="E151" s="109"/>
      <c r="F151" s="109">
        <v>4</v>
      </c>
      <c r="J151" s="109">
        <f>F151/1.58*0.14</f>
        <v>0.35443037974683544</v>
      </c>
      <c r="K151" s="109">
        <f>J151*0.2*111.4</f>
        <v>7.8967088607594942</v>
      </c>
    </row>
    <row r="152" spans="1:11" x14ac:dyDescent="0.15">
      <c r="A152" s="38">
        <f t="shared" si="10"/>
        <v>1798</v>
      </c>
      <c r="B152" s="109"/>
      <c r="C152" s="109"/>
      <c r="D152" s="109"/>
      <c r="E152" s="109"/>
      <c r="F152" s="109">
        <v>7</v>
      </c>
      <c r="J152" s="109">
        <f>F152/1.58*0.14</f>
        <v>0.620253164556962</v>
      </c>
      <c r="K152" s="109">
        <f>J152*0.2*111.4</f>
        <v>13.819240506329114</v>
      </c>
    </row>
    <row r="153" spans="1:11" x14ac:dyDescent="0.15">
      <c r="A153" s="38">
        <f t="shared" si="10"/>
        <v>1799</v>
      </c>
      <c r="B153" s="109"/>
      <c r="C153" s="109"/>
      <c r="D153" s="109"/>
      <c r="E153" s="109"/>
      <c r="F153" s="109"/>
      <c r="J153" s="109"/>
      <c r="K153" s="109"/>
    </row>
    <row r="154" spans="1:11" x14ac:dyDescent="0.15">
      <c r="A154" s="38">
        <f t="shared" si="10"/>
        <v>1800</v>
      </c>
      <c r="B154" s="109"/>
      <c r="C154" s="109"/>
      <c r="D154" s="109"/>
      <c r="E154" s="109"/>
      <c r="F154" s="109"/>
      <c r="J154" s="109"/>
      <c r="K154" s="109"/>
    </row>
    <row r="155" spans="1:11" x14ac:dyDescent="0.15">
      <c r="A155" s="38">
        <f t="shared" si="10"/>
        <v>1801</v>
      </c>
      <c r="B155" s="109"/>
      <c r="C155" s="109"/>
      <c r="D155" s="109"/>
      <c r="E155" s="109"/>
      <c r="F155" s="109"/>
      <c r="J155" s="109"/>
      <c r="K155" s="109"/>
    </row>
    <row r="156" spans="1:11" x14ac:dyDescent="0.15">
      <c r="A156" s="38">
        <f t="shared" si="10"/>
        <v>1802</v>
      </c>
      <c r="B156" s="109"/>
      <c r="C156" s="109"/>
      <c r="D156" s="109"/>
      <c r="E156" s="109"/>
      <c r="F156" s="109"/>
      <c r="J156" s="109"/>
      <c r="K156" s="109"/>
    </row>
    <row r="157" spans="1:11" x14ac:dyDescent="0.15">
      <c r="A157" s="38">
        <f t="shared" si="10"/>
        <v>1803</v>
      </c>
      <c r="B157" s="109"/>
      <c r="C157" s="109"/>
      <c r="D157" s="109"/>
      <c r="E157" s="109"/>
      <c r="F157" s="109"/>
      <c r="J157" s="109"/>
      <c r="K157" s="109"/>
    </row>
    <row r="158" spans="1:11" x14ac:dyDescent="0.15">
      <c r="A158" s="38">
        <f t="shared" si="10"/>
        <v>1804</v>
      </c>
      <c r="B158" s="109"/>
      <c r="C158" s="109"/>
      <c r="D158" s="109"/>
      <c r="E158" s="109"/>
      <c r="F158" s="109"/>
      <c r="J158" s="109"/>
      <c r="K158" s="109"/>
    </row>
    <row r="159" spans="1:11" x14ac:dyDescent="0.15">
      <c r="A159" s="38">
        <f t="shared" si="10"/>
        <v>1805</v>
      </c>
      <c r="B159" s="109"/>
      <c r="C159" s="109"/>
      <c r="D159" s="109"/>
      <c r="E159" s="109">
        <v>4.5</v>
      </c>
      <c r="F159" s="109"/>
      <c r="J159" s="109">
        <f>E159/1.58*0.14</f>
        <v>0.39873417721518994</v>
      </c>
      <c r="K159" s="109">
        <f>J159*0.17*111.4</f>
        <v>7.5512278481012691</v>
      </c>
    </row>
    <row r="160" spans="1:11" x14ac:dyDescent="0.15">
      <c r="A160" s="38">
        <f t="shared" si="10"/>
        <v>1806</v>
      </c>
      <c r="B160" s="109"/>
      <c r="C160" s="109"/>
      <c r="D160" s="109"/>
      <c r="E160" s="109"/>
      <c r="F160" s="109"/>
      <c r="J160" s="109"/>
      <c r="K160" s="109"/>
    </row>
    <row r="161" spans="1:1" x14ac:dyDescent="0.15">
      <c r="A161" s="38">
        <f t="shared" si="10"/>
        <v>1807</v>
      </c>
    </row>
    <row r="162" spans="1:1" x14ac:dyDescent="0.15">
      <c r="A162" s="38">
        <f t="shared" si="10"/>
        <v>1808</v>
      </c>
    </row>
    <row r="163" spans="1:1" x14ac:dyDescent="0.15">
      <c r="A163" s="38">
        <f t="shared" si="10"/>
        <v>1809</v>
      </c>
    </row>
    <row r="164" spans="1:1" x14ac:dyDescent="0.15">
      <c r="A164" s="38">
        <f t="shared" si="10"/>
        <v>1810</v>
      </c>
    </row>
    <row r="165" spans="1:1" x14ac:dyDescent="0.15">
      <c r="A165" s="38">
        <f t="shared" si="10"/>
        <v>1811</v>
      </c>
    </row>
    <row r="166" spans="1:1" x14ac:dyDescent="0.15">
      <c r="A166" s="38">
        <f t="shared" si="10"/>
        <v>1812</v>
      </c>
    </row>
    <row r="167" spans="1:1" x14ac:dyDescent="0.15">
      <c r="A167" s="38">
        <f t="shared" si="10"/>
        <v>1813</v>
      </c>
    </row>
    <row r="168" spans="1:1" x14ac:dyDescent="0.15">
      <c r="A168" s="38">
        <f t="shared" si="10"/>
        <v>1814</v>
      </c>
    </row>
    <row r="169" spans="1:1" x14ac:dyDescent="0.15">
      <c r="A169" s="38">
        <f t="shared" si="10"/>
        <v>1815</v>
      </c>
    </row>
    <row r="170" spans="1:1" x14ac:dyDescent="0.15">
      <c r="A170" s="38">
        <f t="shared" si="10"/>
        <v>1816</v>
      </c>
    </row>
    <row r="171" spans="1:1" x14ac:dyDescent="0.15">
      <c r="A171" s="38">
        <f t="shared" si="10"/>
        <v>1817</v>
      </c>
    </row>
    <row r="172" spans="1:1" x14ac:dyDescent="0.15">
      <c r="A172" s="38">
        <f t="shared" si="10"/>
        <v>1818</v>
      </c>
    </row>
    <row r="173" spans="1:1" x14ac:dyDescent="0.15">
      <c r="A173" s="38">
        <f t="shared" si="10"/>
        <v>1819</v>
      </c>
    </row>
    <row r="174" spans="1:1" x14ac:dyDescent="0.15">
      <c r="A174" s="38">
        <f t="shared" si="10"/>
        <v>1820</v>
      </c>
    </row>
    <row r="175" spans="1:1" x14ac:dyDescent="0.15">
      <c r="A175" s="38">
        <f t="shared" si="10"/>
        <v>1821</v>
      </c>
    </row>
    <row r="176" spans="1:1" x14ac:dyDescent="0.15">
      <c r="A176" s="38">
        <f t="shared" si="10"/>
        <v>1822</v>
      </c>
    </row>
    <row r="177" spans="1:11" x14ac:dyDescent="0.15">
      <c r="A177" s="38">
        <f t="shared" si="10"/>
        <v>1823</v>
      </c>
      <c r="B177" s="109"/>
      <c r="C177" s="109"/>
      <c r="D177" s="109"/>
      <c r="E177" s="109"/>
      <c r="F177" s="109"/>
      <c r="J177" s="109"/>
      <c r="K177" s="109"/>
    </row>
    <row r="178" spans="1:11" x14ac:dyDescent="0.15">
      <c r="A178" s="38">
        <f t="shared" si="10"/>
        <v>1824</v>
      </c>
      <c r="B178" s="109"/>
      <c r="C178" s="109"/>
      <c r="D178" s="109"/>
      <c r="E178" s="109"/>
      <c r="F178" s="109"/>
      <c r="J178" s="109"/>
      <c r="K178" s="109"/>
    </row>
    <row r="179" spans="1:11" x14ac:dyDescent="0.15">
      <c r="A179" s="38">
        <f t="shared" si="10"/>
        <v>1825</v>
      </c>
      <c r="B179" s="109"/>
      <c r="C179" s="109"/>
      <c r="D179" s="109"/>
      <c r="E179" s="109"/>
      <c r="F179" s="109"/>
      <c r="J179" s="109"/>
      <c r="K179" s="109"/>
    </row>
    <row r="180" spans="1:11" x14ac:dyDescent="0.15">
      <c r="A180" s="38">
        <f t="shared" si="10"/>
        <v>1826</v>
      </c>
      <c r="B180" s="109"/>
      <c r="C180" s="109"/>
      <c r="D180" s="109"/>
      <c r="E180" s="109"/>
      <c r="F180" s="109"/>
      <c r="G180" s="31">
        <v>3.7754062500000001</v>
      </c>
      <c r="J180" s="109"/>
      <c r="K180" s="109">
        <f>G180</f>
        <v>3.7754062500000001</v>
      </c>
    </row>
    <row r="181" spans="1:11" x14ac:dyDescent="0.15">
      <c r="A181" s="38">
        <f t="shared" si="10"/>
        <v>1827</v>
      </c>
      <c r="B181" s="109"/>
      <c r="C181" s="109"/>
      <c r="D181" s="109"/>
      <c r="E181" s="109"/>
      <c r="F181" s="109"/>
      <c r="G181" s="31">
        <v>3.4321874999999999</v>
      </c>
      <c r="J181" s="109"/>
      <c r="K181" s="109">
        <f t="shared" ref="K181:K191" si="11">G181</f>
        <v>3.4321874999999999</v>
      </c>
    </row>
    <row r="182" spans="1:11" x14ac:dyDescent="0.15">
      <c r="A182" s="38">
        <f t="shared" si="10"/>
        <v>1828</v>
      </c>
      <c r="B182" s="109"/>
      <c r="C182" s="109"/>
      <c r="D182" s="109"/>
      <c r="E182" s="109"/>
      <c r="F182" s="109"/>
      <c r="G182" s="31">
        <v>3.3708984374999997</v>
      </c>
      <c r="J182" s="109"/>
      <c r="K182" s="109">
        <f t="shared" si="11"/>
        <v>3.3708984374999997</v>
      </c>
    </row>
    <row r="183" spans="1:11" x14ac:dyDescent="0.15">
      <c r="A183" s="38">
        <f t="shared" si="10"/>
        <v>1829</v>
      </c>
      <c r="B183" s="109"/>
      <c r="C183" s="109"/>
      <c r="D183" s="109"/>
      <c r="E183" s="109"/>
      <c r="F183" s="109"/>
      <c r="G183" s="31">
        <v>3.5547656249999995</v>
      </c>
      <c r="J183" s="109"/>
      <c r="K183" s="109">
        <f t="shared" si="11"/>
        <v>3.5547656249999995</v>
      </c>
    </row>
    <row r="184" spans="1:11" x14ac:dyDescent="0.15">
      <c r="A184" s="38">
        <f t="shared" si="10"/>
        <v>1830</v>
      </c>
      <c r="B184" s="109"/>
      <c r="C184" s="109"/>
      <c r="D184" s="109"/>
      <c r="E184" s="109"/>
      <c r="F184" s="109"/>
      <c r="G184" s="31">
        <v>3.6773437499999999</v>
      </c>
      <c r="J184" s="109"/>
      <c r="K184" s="109">
        <f t="shared" si="11"/>
        <v>3.6773437499999999</v>
      </c>
    </row>
    <row r="185" spans="1:11" x14ac:dyDescent="0.15">
      <c r="A185" s="38">
        <f t="shared" si="10"/>
        <v>1831</v>
      </c>
      <c r="B185" s="109"/>
      <c r="C185" s="109"/>
      <c r="D185" s="109"/>
      <c r="E185" s="109"/>
      <c r="F185" s="109"/>
      <c r="G185" s="31">
        <v>3.4117578124999999</v>
      </c>
      <c r="J185" s="109"/>
      <c r="K185" s="109">
        <f t="shared" si="11"/>
        <v>3.4117578124999999</v>
      </c>
    </row>
    <row r="186" spans="1:11" x14ac:dyDescent="0.15">
      <c r="A186" s="38">
        <f t="shared" si="10"/>
        <v>1832</v>
      </c>
      <c r="B186" s="109"/>
      <c r="C186" s="109"/>
      <c r="D186" s="109"/>
      <c r="E186" s="109"/>
      <c r="F186" s="109"/>
      <c r="G186" s="31">
        <v>3.2074609374999996</v>
      </c>
      <c r="J186" s="109"/>
      <c r="K186" s="109">
        <f t="shared" si="11"/>
        <v>3.2074609374999996</v>
      </c>
    </row>
    <row r="187" spans="1:11" x14ac:dyDescent="0.15">
      <c r="A187" s="38">
        <f t="shared" si="10"/>
        <v>1833</v>
      </c>
      <c r="B187" s="109"/>
      <c r="C187" s="109"/>
      <c r="D187" s="109"/>
      <c r="E187" s="109"/>
      <c r="F187" s="109"/>
      <c r="G187" s="31">
        <v>3.3504687499999997</v>
      </c>
      <c r="J187" s="109"/>
      <c r="K187" s="109">
        <f t="shared" si="11"/>
        <v>3.3504687499999997</v>
      </c>
    </row>
    <row r="188" spans="1:11" x14ac:dyDescent="0.15">
      <c r="A188" s="38">
        <f t="shared" si="10"/>
        <v>1834</v>
      </c>
      <c r="B188" s="109"/>
      <c r="C188" s="109"/>
      <c r="D188" s="109"/>
      <c r="E188" s="109"/>
      <c r="F188" s="109"/>
      <c r="G188" s="31">
        <v>2.964161931818182</v>
      </c>
      <c r="J188" s="109"/>
      <c r="K188" s="109">
        <f t="shared" si="11"/>
        <v>2.964161931818182</v>
      </c>
    </row>
    <row r="189" spans="1:11" x14ac:dyDescent="0.15">
      <c r="A189" s="38">
        <f t="shared" si="10"/>
        <v>1835</v>
      </c>
      <c r="B189" s="109"/>
      <c r="C189" s="109"/>
      <c r="D189" s="109"/>
      <c r="E189" s="109"/>
      <c r="F189" s="109"/>
      <c r="G189" s="31">
        <v>2.6354296874999998</v>
      </c>
      <c r="J189" s="109"/>
      <c r="K189" s="109">
        <f t="shared" si="11"/>
        <v>2.6354296874999998</v>
      </c>
    </row>
    <row r="190" spans="1:11" x14ac:dyDescent="0.15">
      <c r="A190" s="38">
        <f t="shared" si="10"/>
        <v>1836</v>
      </c>
      <c r="B190" s="109"/>
      <c r="C190" s="109"/>
      <c r="D190" s="109"/>
      <c r="E190" s="109"/>
      <c r="F190" s="109"/>
      <c r="G190" s="102">
        <v>2.2523730468749998</v>
      </c>
      <c r="H190" s="100"/>
      <c r="J190" s="109"/>
      <c r="K190" s="109">
        <f t="shared" si="11"/>
        <v>2.2523730468749998</v>
      </c>
    </row>
    <row r="191" spans="1:11" x14ac:dyDescent="0.15">
      <c r="A191" s="38">
        <f t="shared" si="10"/>
        <v>1837</v>
      </c>
      <c r="B191" s="109"/>
      <c r="C191" s="109"/>
      <c r="D191" s="109"/>
      <c r="E191" s="109"/>
      <c r="F191" s="109"/>
      <c r="G191" s="102">
        <v>2.0225390624999999</v>
      </c>
      <c r="H191" s="100"/>
      <c r="J191" s="109"/>
      <c r="K191" s="109">
        <f t="shared" si="11"/>
        <v>2.0225390624999999</v>
      </c>
    </row>
    <row r="192" spans="1:11" x14ac:dyDescent="0.15">
      <c r="A192" s="38">
        <f t="shared" si="10"/>
        <v>1838</v>
      </c>
      <c r="B192" s="109"/>
      <c r="C192" s="109"/>
      <c r="D192" s="109"/>
      <c r="E192" s="109"/>
      <c r="F192" s="109"/>
      <c r="G192" s="100"/>
      <c r="H192" s="100"/>
      <c r="J192" s="109"/>
      <c r="K192" s="109"/>
    </row>
    <row r="193" spans="1:8" x14ac:dyDescent="0.15">
      <c r="A193" s="38">
        <f t="shared" si="10"/>
        <v>1839</v>
      </c>
      <c r="B193" s="109"/>
      <c r="C193" s="109"/>
      <c r="D193" s="109"/>
      <c r="E193" s="109"/>
      <c r="F193" s="109"/>
      <c r="G193" s="100"/>
      <c r="H193" s="100"/>
    </row>
    <row r="194" spans="1:8" x14ac:dyDescent="0.15">
      <c r="A194" s="38">
        <f t="shared" si="10"/>
        <v>1840</v>
      </c>
      <c r="B194" s="109"/>
      <c r="C194" s="109"/>
      <c r="D194" s="109"/>
      <c r="E194" s="109"/>
      <c r="F194" s="109"/>
      <c r="G194" s="100"/>
      <c r="H194" s="100"/>
    </row>
    <row r="195" spans="1:8" x14ac:dyDescent="0.15">
      <c r="A195" s="38">
        <f t="shared" si="10"/>
        <v>1841</v>
      </c>
      <c r="B195" s="109"/>
      <c r="C195" s="109"/>
      <c r="D195" s="109"/>
      <c r="E195" s="109"/>
      <c r="F195" s="109"/>
      <c r="G195" s="100"/>
      <c r="H195" s="100"/>
    </row>
    <row r="196" spans="1:8" x14ac:dyDescent="0.15">
      <c r="A196" s="38">
        <f t="shared" si="10"/>
        <v>1842</v>
      </c>
      <c r="B196" s="109"/>
      <c r="C196" s="109"/>
      <c r="D196" s="109"/>
      <c r="E196" s="109"/>
      <c r="F196" s="109"/>
      <c r="G196" s="100"/>
      <c r="H196" s="100"/>
    </row>
    <row r="197" spans="1:8" x14ac:dyDescent="0.15">
      <c r="A197" s="38">
        <f t="shared" si="10"/>
        <v>1843</v>
      </c>
      <c r="B197" s="109"/>
      <c r="C197" s="109"/>
      <c r="D197" s="109"/>
      <c r="E197" s="109"/>
      <c r="F197" s="109"/>
      <c r="G197" s="100"/>
      <c r="H197" s="100"/>
    </row>
    <row r="198" spans="1:8" x14ac:dyDescent="0.15">
      <c r="A198" s="38">
        <f t="shared" si="10"/>
        <v>1844</v>
      </c>
      <c r="B198" s="109"/>
      <c r="C198" s="109"/>
      <c r="D198" s="109"/>
      <c r="E198" s="109"/>
      <c r="F198" s="109"/>
      <c r="G198" s="100"/>
      <c r="H198" s="100"/>
    </row>
    <row r="199" spans="1:8" x14ac:dyDescent="0.15">
      <c r="A199" s="38">
        <f t="shared" si="10"/>
        <v>1845</v>
      </c>
      <c r="B199" s="109"/>
      <c r="C199" s="109"/>
      <c r="D199" s="109"/>
      <c r="E199" s="109"/>
      <c r="F199" s="109"/>
      <c r="G199" s="100"/>
      <c r="H199" s="100"/>
    </row>
    <row r="200" spans="1:8" x14ac:dyDescent="0.15">
      <c r="A200" s="38">
        <f t="shared" si="10"/>
        <v>1846</v>
      </c>
      <c r="B200" s="109"/>
      <c r="C200" s="109"/>
      <c r="D200" s="109"/>
      <c r="E200" s="109"/>
      <c r="F200" s="109"/>
      <c r="G200" s="100"/>
      <c r="H200" s="100"/>
    </row>
    <row r="201" spans="1:8" x14ac:dyDescent="0.15">
      <c r="A201" s="38">
        <f t="shared" si="10"/>
        <v>1847</v>
      </c>
      <c r="B201" s="109"/>
      <c r="C201" s="109"/>
      <c r="D201" s="109"/>
      <c r="E201" s="109"/>
      <c r="F201" s="109"/>
      <c r="G201" s="100"/>
      <c r="H201" s="100"/>
    </row>
    <row r="202" spans="1:8" x14ac:dyDescent="0.15">
      <c r="A202" s="38">
        <f t="shared" si="10"/>
        <v>1848</v>
      </c>
      <c r="B202" s="109"/>
      <c r="C202" s="109"/>
      <c r="D202" s="109"/>
      <c r="E202" s="109"/>
      <c r="F202" s="109"/>
      <c r="G202" s="100"/>
      <c r="H202" s="100"/>
    </row>
    <row r="203" spans="1:8" x14ac:dyDescent="0.15">
      <c r="A203" s="38">
        <f t="shared" si="10"/>
        <v>1849</v>
      </c>
      <c r="B203" s="109"/>
      <c r="C203" s="109"/>
      <c r="D203" s="109"/>
      <c r="E203" s="109"/>
      <c r="F203" s="109"/>
      <c r="G203" s="100"/>
      <c r="H203" s="100"/>
    </row>
    <row r="204" spans="1:8" x14ac:dyDescent="0.15">
      <c r="A204" s="38">
        <f t="shared" si="10"/>
        <v>1850</v>
      </c>
      <c r="B204" s="109"/>
      <c r="C204" s="109"/>
      <c r="D204" s="109"/>
      <c r="E204" s="109"/>
      <c r="F204" s="109"/>
      <c r="G204" s="100"/>
      <c r="H204" s="100"/>
    </row>
    <row r="205" spans="1:8" x14ac:dyDescent="0.15">
      <c r="A205" s="38">
        <f t="shared" si="10"/>
        <v>1851</v>
      </c>
      <c r="B205" s="109"/>
      <c r="C205" s="109"/>
      <c r="D205" s="109"/>
      <c r="E205" s="109"/>
      <c r="F205" s="109"/>
      <c r="G205" s="100"/>
      <c r="H205" s="100"/>
    </row>
    <row r="206" spans="1:8" x14ac:dyDescent="0.15">
      <c r="A206" s="38">
        <f t="shared" si="10"/>
        <v>1852</v>
      </c>
      <c r="B206" s="109"/>
      <c r="C206" s="109"/>
      <c r="D206" s="109"/>
      <c r="E206" s="109"/>
      <c r="F206" s="109"/>
      <c r="G206" s="100"/>
      <c r="H206" s="100"/>
    </row>
    <row r="207" spans="1:8" x14ac:dyDescent="0.15">
      <c r="A207" s="38">
        <f t="shared" si="10"/>
        <v>1853</v>
      </c>
      <c r="B207" s="109"/>
      <c r="C207" s="109"/>
      <c r="D207" s="109"/>
      <c r="E207" s="109"/>
      <c r="F207" s="109"/>
      <c r="G207" s="100"/>
      <c r="H207" s="100"/>
    </row>
    <row r="208" spans="1:8" x14ac:dyDescent="0.15">
      <c r="A208" s="38">
        <f t="shared" si="10"/>
        <v>1854</v>
      </c>
      <c r="B208" s="109"/>
      <c r="C208" s="109"/>
      <c r="D208" s="109"/>
      <c r="E208" s="109"/>
      <c r="F208" s="109"/>
      <c r="G208" s="100"/>
      <c r="H208" s="100"/>
    </row>
    <row r="209" spans="1:11" x14ac:dyDescent="0.15">
      <c r="A209" s="38">
        <f t="shared" si="10"/>
        <v>1855</v>
      </c>
      <c r="B209" s="109"/>
      <c r="C209" s="109"/>
      <c r="D209" s="109"/>
      <c r="E209" s="109"/>
      <c r="F209" s="109"/>
      <c r="G209" s="100"/>
      <c r="H209" s="100"/>
      <c r="J209" s="109"/>
      <c r="K209" s="109"/>
    </row>
    <row r="210" spans="1:11" x14ac:dyDescent="0.15">
      <c r="A210" s="38">
        <f t="shared" si="10"/>
        <v>1856</v>
      </c>
      <c r="B210" s="109"/>
      <c r="C210" s="109"/>
      <c r="D210" s="109"/>
      <c r="E210" s="109"/>
      <c r="F210" s="109"/>
      <c r="G210" s="100"/>
      <c r="H210" s="100"/>
      <c r="J210" s="109"/>
      <c r="K210" s="109"/>
    </row>
    <row r="211" spans="1:11" x14ac:dyDescent="0.15">
      <c r="A211" s="38">
        <f t="shared" si="10"/>
        <v>1857</v>
      </c>
      <c r="B211" s="109"/>
      <c r="C211" s="109"/>
      <c r="D211" s="109"/>
      <c r="E211" s="109"/>
      <c r="F211" s="109"/>
      <c r="G211" s="101"/>
      <c r="H211" s="101">
        <v>3.5215999999999998</v>
      </c>
      <c r="J211" s="109"/>
      <c r="K211" s="109">
        <f>H211</f>
        <v>3.5215999999999998</v>
      </c>
    </row>
    <row r="212" spans="1:11" x14ac:dyDescent="0.15">
      <c r="A212" s="38">
        <f t="shared" si="10"/>
        <v>1858</v>
      </c>
      <c r="B212" s="109"/>
      <c r="C212" s="109"/>
      <c r="D212" s="109"/>
      <c r="E212" s="109"/>
      <c r="F212" s="109"/>
      <c r="G212" s="101"/>
      <c r="H212" s="101">
        <v>5.1188000000000002</v>
      </c>
      <c r="J212" s="109"/>
      <c r="K212" s="109">
        <f t="shared" ref="K212:K256" si="12">H212</f>
        <v>5.1188000000000002</v>
      </c>
    </row>
    <row r="213" spans="1:11" x14ac:dyDescent="0.15">
      <c r="A213" s="38">
        <f t="shared" si="10"/>
        <v>1859</v>
      </c>
      <c r="B213" s="109"/>
      <c r="C213" s="109"/>
      <c r="D213" s="109"/>
      <c r="E213" s="109"/>
      <c r="F213" s="109"/>
      <c r="G213" s="101"/>
      <c r="H213" s="101">
        <v>4.3322000000000003</v>
      </c>
      <c r="J213" s="109"/>
      <c r="K213" s="109">
        <f t="shared" si="12"/>
        <v>4.3322000000000003</v>
      </c>
    </row>
    <row r="214" spans="1:11" x14ac:dyDescent="0.15">
      <c r="A214" s="38">
        <f t="shared" ref="A214:A264" si="13">A213+1</f>
        <v>1860</v>
      </c>
      <c r="B214" s="109"/>
      <c r="C214" s="109"/>
      <c r="D214" s="109"/>
      <c r="E214" s="109"/>
      <c r="F214" s="109"/>
      <c r="G214" s="101"/>
      <c r="H214" s="101">
        <v>5.2521000000000004</v>
      </c>
      <c r="J214" s="109"/>
      <c r="K214" s="109">
        <f t="shared" si="12"/>
        <v>5.2521000000000004</v>
      </c>
    </row>
    <row r="215" spans="1:11" x14ac:dyDescent="0.15">
      <c r="A215" s="38">
        <f t="shared" si="13"/>
        <v>1861</v>
      </c>
      <c r="B215" s="109"/>
      <c r="C215" s="109"/>
      <c r="D215" s="109"/>
      <c r="E215" s="109"/>
      <c r="F215" s="109"/>
      <c r="G215" s="101"/>
      <c r="H215" s="101">
        <v>4.3861999999999997</v>
      </c>
      <c r="J215" s="109"/>
      <c r="K215" s="109">
        <f t="shared" si="12"/>
        <v>4.3861999999999997</v>
      </c>
    </row>
    <row r="216" spans="1:11" x14ac:dyDescent="0.15">
      <c r="A216" s="38">
        <f t="shared" si="13"/>
        <v>1862</v>
      </c>
      <c r="B216" s="109"/>
      <c r="C216" s="109"/>
      <c r="D216" s="109"/>
      <c r="E216" s="109"/>
      <c r="F216" s="109"/>
      <c r="G216" s="101"/>
      <c r="H216" s="101">
        <v>3.47</v>
      </c>
      <c r="J216" s="109"/>
      <c r="K216" s="109">
        <f t="shared" si="12"/>
        <v>3.47</v>
      </c>
    </row>
    <row r="217" spans="1:11" x14ac:dyDescent="0.15">
      <c r="A217" s="38">
        <f t="shared" si="13"/>
        <v>1863</v>
      </c>
      <c r="B217" s="109"/>
      <c r="C217" s="109"/>
      <c r="D217" s="109"/>
      <c r="E217" s="109"/>
      <c r="F217" s="109"/>
      <c r="G217" s="101"/>
      <c r="H217" s="101">
        <v>4.1521999999999997</v>
      </c>
      <c r="J217" s="109"/>
      <c r="K217" s="109">
        <f t="shared" si="12"/>
        <v>4.1521999999999997</v>
      </c>
    </row>
    <row r="218" spans="1:11" x14ac:dyDescent="0.15">
      <c r="A218" s="38">
        <f t="shared" si="13"/>
        <v>1864</v>
      </c>
      <c r="B218" s="109"/>
      <c r="C218" s="109"/>
      <c r="D218" s="109"/>
      <c r="E218" s="109"/>
      <c r="F218" s="109"/>
      <c r="G218" s="101"/>
      <c r="H218" s="101">
        <v>4.2769000000000004</v>
      </c>
      <c r="J218" s="109"/>
      <c r="K218" s="109">
        <f t="shared" si="12"/>
        <v>4.2769000000000004</v>
      </c>
    </row>
    <row r="219" spans="1:11" x14ac:dyDescent="0.15">
      <c r="A219" s="38">
        <f t="shared" si="13"/>
        <v>1865</v>
      </c>
      <c r="B219" s="109"/>
      <c r="C219" s="109"/>
      <c r="D219" s="109"/>
      <c r="E219" s="109"/>
      <c r="F219" s="109"/>
      <c r="G219" s="101"/>
      <c r="H219" s="101">
        <v>4.1729000000000003</v>
      </c>
      <c r="J219" s="109"/>
      <c r="K219" s="109">
        <f t="shared" si="12"/>
        <v>4.1729000000000003</v>
      </c>
    </row>
    <row r="220" spans="1:11" x14ac:dyDescent="0.15">
      <c r="A220" s="38">
        <f t="shared" si="13"/>
        <v>1866</v>
      </c>
      <c r="B220" s="109"/>
      <c r="C220" s="109"/>
      <c r="D220" s="109"/>
      <c r="E220" s="109"/>
      <c r="F220" s="109"/>
      <c r="G220" s="101"/>
      <c r="H220" s="101">
        <v>3.8346</v>
      </c>
      <c r="J220" s="109"/>
      <c r="K220" s="109">
        <f t="shared" si="12"/>
        <v>3.8346</v>
      </c>
    </row>
    <row r="221" spans="1:11" x14ac:dyDescent="0.15">
      <c r="A221" s="38">
        <f t="shared" si="13"/>
        <v>1867</v>
      </c>
      <c r="B221" s="109"/>
      <c r="C221" s="109"/>
      <c r="D221" s="109"/>
      <c r="E221" s="109"/>
      <c r="F221" s="109"/>
      <c r="G221" s="101"/>
      <c r="H221" s="101">
        <v>4.1904000000000003</v>
      </c>
      <c r="J221" s="109"/>
      <c r="K221" s="109">
        <f t="shared" si="12"/>
        <v>4.1904000000000003</v>
      </c>
    </row>
    <row r="222" spans="1:11" x14ac:dyDescent="0.15">
      <c r="A222" s="38">
        <f t="shared" si="13"/>
        <v>1868</v>
      </c>
      <c r="B222" s="109"/>
      <c r="C222" s="109"/>
      <c r="D222" s="109"/>
      <c r="E222" s="109"/>
      <c r="F222" s="109"/>
      <c r="G222" s="101"/>
      <c r="H222" s="101">
        <v>4.2712000000000003</v>
      </c>
      <c r="J222" s="109"/>
      <c r="K222" s="109">
        <f t="shared" si="12"/>
        <v>4.2712000000000003</v>
      </c>
    </row>
    <row r="223" spans="1:11" x14ac:dyDescent="0.15">
      <c r="A223" s="38">
        <f t="shared" si="13"/>
        <v>1869</v>
      </c>
      <c r="B223" s="109"/>
      <c r="C223" s="109"/>
      <c r="D223" s="109"/>
      <c r="E223" s="109"/>
      <c r="F223" s="109"/>
      <c r="G223" s="101"/>
      <c r="H223" s="101">
        <v>3.7063000000000001</v>
      </c>
      <c r="J223" s="109"/>
      <c r="K223" s="109">
        <f t="shared" si="12"/>
        <v>3.7063000000000001</v>
      </c>
    </row>
    <row r="224" spans="1:11" x14ac:dyDescent="0.15">
      <c r="A224" s="38">
        <f t="shared" si="13"/>
        <v>1870</v>
      </c>
      <c r="B224" s="109"/>
      <c r="C224" s="109"/>
      <c r="D224" s="109"/>
      <c r="E224" s="109"/>
      <c r="F224" s="109"/>
      <c r="G224" s="101"/>
      <c r="H224" s="101">
        <v>3.9689000000000001</v>
      </c>
      <c r="J224" s="109"/>
      <c r="K224" s="109">
        <f t="shared" si="12"/>
        <v>3.9689000000000001</v>
      </c>
    </row>
    <row r="225" spans="1:11" x14ac:dyDescent="0.15">
      <c r="A225" s="38">
        <f t="shared" si="13"/>
        <v>1871</v>
      </c>
      <c r="B225" s="109"/>
      <c r="C225" s="109"/>
      <c r="D225" s="109"/>
      <c r="E225" s="109"/>
      <c r="F225" s="109"/>
      <c r="G225" s="101"/>
      <c r="H225" s="101">
        <v>3.7621000000000002</v>
      </c>
      <c r="J225" s="109"/>
      <c r="K225" s="109">
        <f t="shared" si="12"/>
        <v>3.7621000000000002</v>
      </c>
    </row>
    <row r="226" spans="1:11" x14ac:dyDescent="0.15">
      <c r="A226" s="38">
        <f t="shared" si="13"/>
        <v>1872</v>
      </c>
      <c r="B226" s="109"/>
      <c r="C226" s="109"/>
      <c r="D226" s="109"/>
      <c r="E226" s="109"/>
      <c r="F226" s="109"/>
      <c r="G226" s="101"/>
      <c r="H226" s="101">
        <v>4.5719000000000003</v>
      </c>
      <c r="J226" s="109"/>
      <c r="K226" s="109">
        <f t="shared" si="12"/>
        <v>4.5719000000000003</v>
      </c>
    </row>
    <row r="227" spans="1:11" x14ac:dyDescent="0.15">
      <c r="A227" s="38">
        <f t="shared" si="13"/>
        <v>1873</v>
      </c>
      <c r="B227" s="109"/>
      <c r="C227" s="109"/>
      <c r="D227" s="109"/>
      <c r="E227" s="109"/>
      <c r="F227" s="109"/>
      <c r="G227" s="101"/>
      <c r="H227" s="101">
        <v>6.7168000000000001</v>
      </c>
      <c r="J227" s="109"/>
      <c r="K227" s="109">
        <f t="shared" si="12"/>
        <v>6.7168000000000001</v>
      </c>
    </row>
    <row r="228" spans="1:11" x14ac:dyDescent="0.15">
      <c r="A228" s="38">
        <f t="shared" si="13"/>
        <v>1874</v>
      </c>
      <c r="B228" s="109"/>
      <c r="C228" s="109"/>
      <c r="D228" s="109"/>
      <c r="E228" s="109"/>
      <c r="F228" s="109"/>
      <c r="G228" s="101"/>
      <c r="H228" s="101">
        <v>7.1487999999999996</v>
      </c>
      <c r="J228" s="109"/>
      <c r="K228" s="109">
        <f t="shared" si="12"/>
        <v>7.1487999999999996</v>
      </c>
    </row>
    <row r="229" spans="1:11" x14ac:dyDescent="0.15">
      <c r="A229" s="38">
        <f t="shared" si="13"/>
        <v>1875</v>
      </c>
      <c r="B229" s="109"/>
      <c r="C229" s="109"/>
      <c r="D229" s="109"/>
      <c r="E229" s="109"/>
      <c r="F229" s="109"/>
      <c r="G229" s="101"/>
      <c r="H229" s="101">
        <v>4.8948999999999998</v>
      </c>
      <c r="J229" s="109"/>
      <c r="K229" s="109">
        <f t="shared" si="12"/>
        <v>4.8948999999999998</v>
      </c>
    </row>
    <row r="230" spans="1:11" x14ac:dyDescent="0.15">
      <c r="A230" s="38">
        <f t="shared" si="13"/>
        <v>1876</v>
      </c>
      <c r="B230" s="109"/>
      <c r="C230" s="109"/>
      <c r="D230" s="109"/>
      <c r="E230" s="109"/>
      <c r="F230" s="109"/>
      <c r="G230" s="101"/>
      <c r="H230" s="101">
        <v>4.3852000000000002</v>
      </c>
      <c r="J230" s="109"/>
      <c r="K230" s="109">
        <f t="shared" si="12"/>
        <v>4.3852000000000002</v>
      </c>
    </row>
    <row r="231" spans="1:11" x14ac:dyDescent="0.15">
      <c r="A231" s="38">
        <f t="shared" si="13"/>
        <v>1877</v>
      </c>
      <c r="B231" s="109"/>
      <c r="C231" s="109"/>
      <c r="D231" s="109"/>
      <c r="E231" s="109"/>
      <c r="F231" s="109"/>
      <c r="G231" s="101"/>
      <c r="H231" s="101">
        <v>4.1707999999999998</v>
      </c>
      <c r="J231" s="109"/>
      <c r="K231" s="109">
        <f t="shared" si="12"/>
        <v>4.1707999999999998</v>
      </c>
    </row>
    <row r="232" spans="1:11" x14ac:dyDescent="0.15">
      <c r="A232" s="38">
        <f t="shared" si="13"/>
        <v>1878</v>
      </c>
      <c r="B232" s="109"/>
      <c r="C232" s="109"/>
      <c r="D232" s="109"/>
      <c r="E232" s="109"/>
      <c r="F232" s="109"/>
      <c r="G232" s="101"/>
      <c r="H232" s="101">
        <v>3.391</v>
      </c>
      <c r="J232" s="109"/>
      <c r="K232" s="109">
        <f t="shared" si="12"/>
        <v>3.391</v>
      </c>
    </row>
    <row r="233" spans="1:11" x14ac:dyDescent="0.15">
      <c r="A233" s="38">
        <f t="shared" si="13"/>
        <v>1879</v>
      </c>
      <c r="B233" s="109"/>
      <c r="C233" s="109"/>
      <c r="D233" s="109"/>
      <c r="E233" s="109"/>
      <c r="F233" s="109"/>
      <c r="G233" s="101"/>
      <c r="H233" s="101">
        <v>3.7742</v>
      </c>
      <c r="J233" s="109"/>
      <c r="K233" s="109">
        <f t="shared" si="12"/>
        <v>3.7742</v>
      </c>
    </row>
    <row r="234" spans="1:11" x14ac:dyDescent="0.15">
      <c r="A234" s="38">
        <f t="shared" si="13"/>
        <v>1880</v>
      </c>
      <c r="B234" s="109"/>
      <c r="C234" s="109"/>
      <c r="D234" s="109"/>
      <c r="E234" s="109"/>
      <c r="F234" s="109"/>
      <c r="G234" s="101"/>
      <c r="H234" s="101">
        <v>4.1458000000000004</v>
      </c>
      <c r="J234" s="109"/>
      <c r="K234" s="109">
        <f t="shared" si="12"/>
        <v>4.1458000000000004</v>
      </c>
    </row>
    <row r="235" spans="1:11" x14ac:dyDescent="0.15">
      <c r="A235" s="38">
        <f t="shared" si="13"/>
        <v>1881</v>
      </c>
      <c r="B235" s="109"/>
      <c r="C235" s="109"/>
      <c r="D235" s="109"/>
      <c r="E235" s="109"/>
      <c r="F235" s="109"/>
      <c r="G235" s="101"/>
      <c r="H235" s="101">
        <v>4.0133000000000001</v>
      </c>
      <c r="J235" s="109"/>
      <c r="K235" s="109">
        <f t="shared" si="12"/>
        <v>4.0133000000000001</v>
      </c>
    </row>
    <row r="236" spans="1:11" x14ac:dyDescent="0.15">
      <c r="A236" s="38">
        <f t="shared" si="13"/>
        <v>1882</v>
      </c>
      <c r="B236" s="109"/>
      <c r="C236" s="109"/>
      <c r="D236" s="109"/>
      <c r="E236" s="109"/>
      <c r="F236" s="109"/>
      <c r="G236" s="101"/>
      <c r="H236" s="101">
        <v>3.6105999999999998</v>
      </c>
      <c r="J236" s="109"/>
      <c r="K236" s="109">
        <f t="shared" si="12"/>
        <v>3.6105999999999998</v>
      </c>
    </row>
    <row r="237" spans="1:11" x14ac:dyDescent="0.15">
      <c r="A237" s="38">
        <f t="shared" si="13"/>
        <v>1883</v>
      </c>
      <c r="B237" s="109"/>
      <c r="C237" s="109"/>
      <c r="D237" s="109"/>
      <c r="E237" s="109"/>
      <c r="F237" s="109"/>
      <c r="G237" s="101"/>
      <c r="H237" s="101">
        <v>4.2614000000000001</v>
      </c>
      <c r="J237" s="109"/>
      <c r="K237" s="109">
        <f t="shared" si="12"/>
        <v>4.2614000000000001</v>
      </c>
    </row>
    <row r="238" spans="1:11" x14ac:dyDescent="0.15">
      <c r="A238" s="38">
        <f t="shared" si="13"/>
        <v>1884</v>
      </c>
      <c r="B238" s="109"/>
      <c r="C238" s="109"/>
      <c r="D238" s="109"/>
      <c r="E238" s="109"/>
      <c r="F238" s="109"/>
      <c r="G238" s="101"/>
      <c r="H238" s="101">
        <v>4.2389999999999999</v>
      </c>
      <c r="J238" s="109"/>
      <c r="K238" s="109">
        <f t="shared" si="12"/>
        <v>4.2389999999999999</v>
      </c>
    </row>
    <row r="239" spans="1:11" x14ac:dyDescent="0.15">
      <c r="A239" s="38">
        <f t="shared" si="13"/>
        <v>1885</v>
      </c>
      <c r="B239" s="109"/>
      <c r="C239" s="109"/>
      <c r="D239" s="109"/>
      <c r="E239" s="109"/>
      <c r="F239" s="109"/>
      <c r="G239" s="101"/>
      <c r="H239" s="101">
        <v>4.1380999999999997</v>
      </c>
      <c r="J239" s="109"/>
      <c r="K239" s="109">
        <f t="shared" si="12"/>
        <v>4.1380999999999997</v>
      </c>
    </row>
    <row r="240" spans="1:11" x14ac:dyDescent="0.15">
      <c r="A240" s="38">
        <f t="shared" si="13"/>
        <v>1886</v>
      </c>
      <c r="B240" s="109"/>
      <c r="C240" s="109"/>
      <c r="D240" s="109"/>
      <c r="E240" s="109"/>
      <c r="F240" s="109"/>
      <c r="G240" s="101"/>
      <c r="H240" s="101">
        <v>3.8450000000000002</v>
      </c>
      <c r="J240" s="109"/>
      <c r="K240" s="109">
        <f t="shared" si="12"/>
        <v>3.8450000000000002</v>
      </c>
    </row>
    <row r="241" spans="1:11" x14ac:dyDescent="0.15">
      <c r="A241" s="38">
        <f t="shared" si="13"/>
        <v>1887</v>
      </c>
      <c r="B241" s="109"/>
      <c r="C241" s="109"/>
      <c r="D241" s="109"/>
      <c r="E241" s="109"/>
      <c r="F241" s="109"/>
      <c r="G241" s="101"/>
      <c r="H241" s="101">
        <v>3.577</v>
      </c>
      <c r="J241" s="109"/>
      <c r="K241" s="109">
        <f t="shared" si="12"/>
        <v>3.577</v>
      </c>
    </row>
    <row r="242" spans="1:11" x14ac:dyDescent="0.15">
      <c r="A242" s="38">
        <f t="shared" si="13"/>
        <v>1888</v>
      </c>
      <c r="B242" s="109"/>
      <c r="C242" s="109"/>
      <c r="D242" s="109"/>
      <c r="E242" s="109"/>
      <c r="F242" s="109"/>
      <c r="G242" s="101"/>
      <c r="H242" s="101">
        <v>3.234</v>
      </c>
      <c r="J242" s="109"/>
      <c r="K242" s="109">
        <f t="shared" si="12"/>
        <v>3.234</v>
      </c>
    </row>
    <row r="243" spans="1:11" x14ac:dyDescent="0.15">
      <c r="A243" s="38">
        <f t="shared" si="13"/>
        <v>1889</v>
      </c>
      <c r="B243" s="109"/>
      <c r="C243" s="109"/>
      <c r="D243" s="109"/>
      <c r="E243" s="109"/>
      <c r="F243" s="109"/>
      <c r="G243" s="101"/>
      <c r="H243" s="101">
        <v>3.6112000000000002</v>
      </c>
      <c r="J243" s="109"/>
      <c r="K243" s="109">
        <f t="shared" si="12"/>
        <v>3.6112000000000002</v>
      </c>
    </row>
    <row r="244" spans="1:11" x14ac:dyDescent="0.15">
      <c r="A244" s="38">
        <f t="shared" si="13"/>
        <v>1890</v>
      </c>
      <c r="B244" s="109"/>
      <c r="C244" s="109"/>
      <c r="D244" s="109"/>
      <c r="E244" s="109"/>
      <c r="F244" s="109"/>
      <c r="G244" s="101"/>
      <c r="H244" s="101">
        <v>3.2458</v>
      </c>
      <c r="J244" s="109"/>
      <c r="K244" s="109">
        <f t="shared" si="12"/>
        <v>3.2458</v>
      </c>
    </row>
    <row r="245" spans="1:11" x14ac:dyDescent="0.15">
      <c r="A245" s="38">
        <f t="shared" si="13"/>
        <v>1891</v>
      </c>
      <c r="B245" s="109"/>
      <c r="C245" s="109"/>
      <c r="D245" s="109"/>
      <c r="E245" s="109"/>
      <c r="F245" s="109"/>
      <c r="G245" s="101"/>
      <c r="H245" s="101">
        <v>3.6225999999999998</v>
      </c>
      <c r="J245" s="109"/>
      <c r="K245" s="109">
        <f t="shared" si="12"/>
        <v>3.6225999999999998</v>
      </c>
    </row>
    <row r="246" spans="1:11" x14ac:dyDescent="0.15">
      <c r="A246" s="38">
        <f t="shared" si="13"/>
        <v>1892</v>
      </c>
      <c r="B246" s="109"/>
      <c r="C246" s="109"/>
      <c r="D246" s="109"/>
      <c r="E246" s="109"/>
      <c r="F246" s="109"/>
      <c r="G246" s="101"/>
      <c r="H246" s="101">
        <v>3.9005000000000001</v>
      </c>
      <c r="J246" s="109"/>
      <c r="K246" s="109">
        <f t="shared" si="12"/>
        <v>3.9005000000000001</v>
      </c>
    </row>
    <row r="247" spans="1:11" x14ac:dyDescent="0.15">
      <c r="A247" s="38">
        <f t="shared" si="13"/>
        <v>1893</v>
      </c>
      <c r="B247" s="109"/>
      <c r="C247" s="109"/>
      <c r="D247" s="109"/>
      <c r="E247" s="109"/>
      <c r="F247" s="109"/>
      <c r="G247" s="101"/>
      <c r="H247" s="101">
        <v>2.9287999999999998</v>
      </c>
      <c r="J247" s="109"/>
      <c r="K247" s="109">
        <f t="shared" si="12"/>
        <v>2.9287999999999998</v>
      </c>
    </row>
    <row r="248" spans="1:11" x14ac:dyDescent="0.15">
      <c r="A248" s="38">
        <f t="shared" si="13"/>
        <v>1894</v>
      </c>
      <c r="B248" s="109"/>
      <c r="C248" s="109"/>
      <c r="D248" s="109"/>
      <c r="E248" s="109"/>
      <c r="F248" s="109"/>
      <c r="G248" s="101"/>
      <c r="H248" s="101">
        <v>2.9851000000000001</v>
      </c>
      <c r="J248" s="109"/>
      <c r="K248" s="109">
        <f t="shared" si="12"/>
        <v>2.9851000000000001</v>
      </c>
    </row>
    <row r="249" spans="1:11" x14ac:dyDescent="0.15">
      <c r="A249" s="38">
        <f t="shared" si="13"/>
        <v>1895</v>
      </c>
      <c r="B249" s="109"/>
      <c r="C249" s="109"/>
      <c r="D249" s="109"/>
      <c r="E249" s="109"/>
      <c r="F249" s="109"/>
      <c r="G249" s="101"/>
      <c r="H249" s="101">
        <v>2.9312</v>
      </c>
      <c r="J249" s="109"/>
      <c r="K249" s="109">
        <f t="shared" si="12"/>
        <v>2.9312</v>
      </c>
    </row>
    <row r="250" spans="1:11" x14ac:dyDescent="0.15">
      <c r="A250" s="38">
        <f t="shared" si="13"/>
        <v>1896</v>
      </c>
      <c r="B250" s="109"/>
      <c r="C250" s="109"/>
      <c r="D250" s="109"/>
      <c r="E250" s="109"/>
      <c r="F250" s="109"/>
      <c r="G250" s="101"/>
      <c r="H250" s="101">
        <v>2.8491</v>
      </c>
      <c r="J250" s="109"/>
      <c r="K250" s="109">
        <f t="shared" si="12"/>
        <v>2.8491</v>
      </c>
    </row>
    <row r="251" spans="1:11" x14ac:dyDescent="0.15">
      <c r="A251" s="38">
        <f t="shared" si="13"/>
        <v>1897</v>
      </c>
      <c r="B251" s="109"/>
      <c r="C251" s="109"/>
      <c r="D251" s="109"/>
      <c r="E251" s="109"/>
      <c r="F251" s="109"/>
      <c r="G251" s="101"/>
      <c r="H251" s="101">
        <v>3.0074000000000001</v>
      </c>
      <c r="J251" s="109"/>
      <c r="K251" s="109">
        <f t="shared" si="12"/>
        <v>3.0074000000000001</v>
      </c>
    </row>
    <row r="252" spans="1:11" x14ac:dyDescent="0.15">
      <c r="A252" s="38">
        <f t="shared" si="13"/>
        <v>1898</v>
      </c>
      <c r="B252" s="109"/>
      <c r="C252" s="109"/>
      <c r="D252" s="109"/>
      <c r="E252" s="109"/>
      <c r="F252" s="109"/>
      <c r="G252" s="101"/>
      <c r="H252" s="101">
        <v>3.0596000000000001</v>
      </c>
      <c r="J252" s="109"/>
      <c r="K252" s="109">
        <f t="shared" si="12"/>
        <v>3.0596000000000001</v>
      </c>
    </row>
    <row r="253" spans="1:11" x14ac:dyDescent="0.15">
      <c r="A253" s="38">
        <f t="shared" si="13"/>
        <v>1899</v>
      </c>
      <c r="B253" s="109"/>
      <c r="C253" s="109"/>
      <c r="D253" s="109"/>
      <c r="E253" s="109"/>
      <c r="F253" s="109"/>
      <c r="G253" s="101"/>
      <c r="H253" s="101">
        <v>3.9759000000000002</v>
      </c>
      <c r="J253" s="109"/>
      <c r="K253" s="109">
        <f t="shared" si="12"/>
        <v>3.9759000000000002</v>
      </c>
    </row>
    <row r="254" spans="1:11" x14ac:dyDescent="0.15">
      <c r="A254" s="38">
        <f t="shared" si="13"/>
        <v>1900</v>
      </c>
      <c r="B254" s="109"/>
      <c r="C254" s="109"/>
      <c r="D254" s="109"/>
      <c r="E254" s="109"/>
      <c r="F254" s="109"/>
      <c r="G254" s="101"/>
      <c r="H254" s="101">
        <v>4.1097000000000001</v>
      </c>
      <c r="J254" s="109"/>
      <c r="K254" s="109">
        <f t="shared" si="12"/>
        <v>4.1097000000000001</v>
      </c>
    </row>
    <row r="255" spans="1:11" x14ac:dyDescent="0.15">
      <c r="A255" s="38">
        <f t="shared" si="13"/>
        <v>1901</v>
      </c>
      <c r="B255" s="109"/>
      <c r="C255" s="109"/>
      <c r="D255" s="109"/>
      <c r="E255" s="109"/>
      <c r="F255" s="109"/>
      <c r="G255" s="101"/>
      <c r="H255" s="101">
        <v>4.6928000000000001</v>
      </c>
      <c r="J255" s="109"/>
      <c r="K255" s="109">
        <f t="shared" si="12"/>
        <v>4.6928000000000001</v>
      </c>
    </row>
    <row r="256" spans="1:11" x14ac:dyDescent="0.15">
      <c r="A256" s="38">
        <f t="shared" si="13"/>
        <v>1902</v>
      </c>
      <c r="B256" s="109"/>
      <c r="C256" s="109"/>
      <c r="D256" s="109"/>
      <c r="E256" s="109"/>
      <c r="F256" s="109"/>
      <c r="G256" s="101"/>
      <c r="H256" s="101">
        <v>4.0667999999999997</v>
      </c>
      <c r="J256" s="109"/>
      <c r="K256" s="109">
        <f t="shared" si="12"/>
        <v>4.0667999999999997</v>
      </c>
    </row>
    <row r="257" spans="1:11" x14ac:dyDescent="0.15">
      <c r="A257" s="38">
        <f t="shared" si="13"/>
        <v>1903</v>
      </c>
      <c r="B257" s="109"/>
      <c r="C257" s="109"/>
      <c r="D257" s="109"/>
      <c r="E257" s="109"/>
      <c r="F257" s="109"/>
      <c r="G257" s="100"/>
      <c r="H257" s="100"/>
      <c r="J257" s="109"/>
      <c r="K257" s="109"/>
    </row>
    <row r="258" spans="1:11" x14ac:dyDescent="0.15">
      <c r="A258" s="38">
        <f t="shared" si="13"/>
        <v>1904</v>
      </c>
      <c r="B258" s="109"/>
      <c r="C258" s="109"/>
      <c r="D258" s="109"/>
      <c r="E258" s="109"/>
      <c r="F258" s="109"/>
      <c r="G258" s="100"/>
      <c r="H258" s="100"/>
      <c r="J258" s="109"/>
      <c r="K258" s="109"/>
    </row>
    <row r="259" spans="1:11" x14ac:dyDescent="0.15">
      <c r="A259" s="38">
        <f t="shared" si="13"/>
        <v>1905</v>
      </c>
      <c r="B259" s="109"/>
      <c r="C259" s="109"/>
      <c r="D259" s="109"/>
      <c r="E259" s="109"/>
      <c r="F259" s="109"/>
      <c r="G259" s="101"/>
      <c r="H259" s="101">
        <v>2.2644000000000002</v>
      </c>
      <c r="J259" s="109"/>
      <c r="K259" s="109">
        <f>H259</f>
        <v>2.2644000000000002</v>
      </c>
    </row>
    <row r="260" spans="1:11" x14ac:dyDescent="0.15">
      <c r="A260" s="38">
        <f t="shared" si="13"/>
        <v>1906</v>
      </c>
      <c r="B260" s="109"/>
      <c r="C260" s="109"/>
      <c r="D260" s="109"/>
      <c r="E260" s="109"/>
      <c r="F260" s="109"/>
      <c r="G260" s="100"/>
      <c r="H260" s="100"/>
      <c r="J260" s="109"/>
      <c r="K260" s="109"/>
    </row>
    <row r="261" spans="1:11" x14ac:dyDescent="0.15">
      <c r="A261" s="38">
        <f t="shared" si="13"/>
        <v>1907</v>
      </c>
      <c r="B261" s="109"/>
      <c r="C261" s="109"/>
      <c r="D261" s="109"/>
      <c r="E261" s="109"/>
      <c r="F261" s="109"/>
      <c r="G261" s="100"/>
      <c r="H261" s="100"/>
      <c r="J261" s="109"/>
      <c r="K261" s="109"/>
    </row>
    <row r="262" spans="1:11" x14ac:dyDescent="0.15">
      <c r="A262" s="38">
        <f t="shared" si="13"/>
        <v>1908</v>
      </c>
      <c r="B262" s="109"/>
      <c r="C262" s="109"/>
      <c r="D262" s="109"/>
      <c r="E262" s="109"/>
      <c r="F262" s="109"/>
      <c r="G262" s="101"/>
      <c r="H262" s="101">
        <v>2.5672999999999999</v>
      </c>
      <c r="J262" s="109"/>
      <c r="K262" s="109">
        <f t="shared" ref="K262:K264" si="14">H262</f>
        <v>2.5672999999999999</v>
      </c>
    </row>
    <row r="263" spans="1:11" x14ac:dyDescent="0.15">
      <c r="A263" s="38">
        <f t="shared" si="13"/>
        <v>1909</v>
      </c>
      <c r="B263" s="109"/>
      <c r="C263" s="109"/>
      <c r="D263" s="109"/>
      <c r="E263" s="109"/>
      <c r="F263" s="109"/>
      <c r="G263" s="101"/>
      <c r="H263" s="101">
        <v>2.2269999999999999</v>
      </c>
      <c r="J263" s="109"/>
      <c r="K263" s="109">
        <f t="shared" si="14"/>
        <v>2.2269999999999999</v>
      </c>
    </row>
    <row r="264" spans="1:11" x14ac:dyDescent="0.15">
      <c r="A264" s="38">
        <f t="shared" si="13"/>
        <v>1910</v>
      </c>
      <c r="B264" s="109"/>
      <c r="C264" s="109"/>
      <c r="D264" s="109"/>
      <c r="E264" s="109"/>
      <c r="F264" s="109"/>
      <c r="G264" s="101"/>
      <c r="H264" s="101">
        <v>2.552</v>
      </c>
      <c r="J264" s="109"/>
      <c r="K264" s="109">
        <f t="shared" si="14"/>
        <v>2.552</v>
      </c>
    </row>
    <row r="265" spans="1:11" x14ac:dyDescent="0.15">
      <c r="A265" s="38">
        <v>1911</v>
      </c>
      <c r="B265" s="109"/>
      <c r="C265" s="109"/>
      <c r="D265" s="109"/>
      <c r="E265" s="109"/>
      <c r="F265" s="109"/>
      <c r="G265" s="100"/>
      <c r="H265" s="100"/>
      <c r="J265" s="109"/>
      <c r="K265" s="109"/>
    </row>
    <row r="266" spans="1:11" x14ac:dyDescent="0.15">
      <c r="A266" s="38">
        <v>1912</v>
      </c>
      <c r="B266" s="109"/>
      <c r="C266" s="109"/>
      <c r="D266" s="109"/>
      <c r="E266" s="109"/>
      <c r="F266" s="109"/>
      <c r="G266" s="100"/>
      <c r="H266" s="100"/>
      <c r="J266" s="109"/>
      <c r="K266" s="109"/>
    </row>
    <row r="267" spans="1:11" x14ac:dyDescent="0.15">
      <c r="A267" s="38">
        <v>1913</v>
      </c>
      <c r="B267" s="109"/>
      <c r="C267" s="109"/>
      <c r="D267" s="109"/>
      <c r="E267" s="109"/>
      <c r="F267" s="109"/>
      <c r="G267" s="100"/>
      <c r="H267" s="100"/>
      <c r="J267" s="109"/>
      <c r="K267" s="109"/>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8"/>
  <sheetViews>
    <sheetView zoomScale="85" zoomScaleNormal="85" zoomScalePageLayoutView="85" workbookViewId="0">
      <pane ySplit="1" topLeftCell="A2" activePane="bottomLeft" state="frozen"/>
      <selection activeCell="J51" sqref="J51"/>
      <selection pane="bottomLeft" activeCell="J51" sqref="J51"/>
    </sheetView>
  </sheetViews>
  <sheetFormatPr baseColWidth="10" defaultColWidth="8.83203125" defaultRowHeight="15" x14ac:dyDescent="0.2"/>
  <cols>
    <col min="1" max="2" width="8.83203125" style="5"/>
    <col min="3" max="3" width="11.6640625" style="5" customWidth="1"/>
    <col min="4" max="4" width="9.5" style="9" bestFit="1" customWidth="1"/>
    <col min="5" max="5" width="8.83203125" style="5"/>
    <col min="6" max="6" width="24.5" style="5" customWidth="1"/>
    <col min="7" max="13" width="8.83203125" style="5"/>
    <col min="14" max="14" width="11.6640625" style="5" customWidth="1"/>
    <col min="15" max="262" width="8.83203125" style="5"/>
    <col min="263" max="263" width="11.6640625" style="5" customWidth="1"/>
    <col min="264" max="264" width="9.5" style="5" bestFit="1" customWidth="1"/>
    <col min="265" max="269" width="8.83203125" style="5"/>
    <col min="270" max="270" width="11.6640625" style="5" customWidth="1"/>
    <col min="271" max="518" width="8.83203125" style="5"/>
    <col min="519" max="519" width="11.6640625" style="5" customWidth="1"/>
    <col min="520" max="520" width="9.5" style="5" bestFit="1" customWidth="1"/>
    <col min="521" max="525" width="8.83203125" style="5"/>
    <col min="526" max="526" width="11.6640625" style="5" customWidth="1"/>
    <col min="527" max="774" width="8.83203125" style="5"/>
    <col min="775" max="775" width="11.6640625" style="5" customWidth="1"/>
    <col min="776" max="776" width="9.5" style="5" bestFit="1" customWidth="1"/>
    <col min="777" max="781" width="8.83203125" style="5"/>
    <col min="782" max="782" width="11.6640625" style="5" customWidth="1"/>
    <col min="783" max="1030" width="8.83203125" style="5"/>
    <col min="1031" max="1031" width="11.6640625" style="5" customWidth="1"/>
    <col min="1032" max="1032" width="9.5" style="5" bestFit="1" customWidth="1"/>
    <col min="1033" max="1037" width="8.83203125" style="5"/>
    <col min="1038" max="1038" width="11.6640625" style="5" customWidth="1"/>
    <col min="1039" max="1286" width="8.83203125" style="5"/>
    <col min="1287" max="1287" width="11.6640625" style="5" customWidth="1"/>
    <col min="1288" max="1288" width="9.5" style="5" bestFit="1" customWidth="1"/>
    <col min="1289" max="1293" width="8.83203125" style="5"/>
    <col min="1294" max="1294" width="11.6640625" style="5" customWidth="1"/>
    <col min="1295" max="1542" width="8.83203125" style="5"/>
    <col min="1543" max="1543" width="11.6640625" style="5" customWidth="1"/>
    <col min="1544" max="1544" width="9.5" style="5" bestFit="1" customWidth="1"/>
    <col min="1545" max="1549" width="8.83203125" style="5"/>
    <col min="1550" max="1550" width="11.6640625" style="5" customWidth="1"/>
    <col min="1551" max="1798" width="8.83203125" style="5"/>
    <col min="1799" max="1799" width="11.6640625" style="5" customWidth="1"/>
    <col min="1800" max="1800" width="9.5" style="5" bestFit="1" customWidth="1"/>
    <col min="1801" max="1805" width="8.83203125" style="5"/>
    <col min="1806" max="1806" width="11.6640625" style="5" customWidth="1"/>
    <col min="1807" max="2054" width="8.83203125" style="5"/>
    <col min="2055" max="2055" width="11.6640625" style="5" customWidth="1"/>
    <col min="2056" max="2056" width="9.5" style="5" bestFit="1" customWidth="1"/>
    <col min="2057" max="2061" width="8.83203125" style="5"/>
    <col min="2062" max="2062" width="11.6640625" style="5" customWidth="1"/>
    <col min="2063" max="2310" width="8.83203125" style="5"/>
    <col min="2311" max="2311" width="11.6640625" style="5" customWidth="1"/>
    <col min="2312" max="2312" width="9.5" style="5" bestFit="1" customWidth="1"/>
    <col min="2313" max="2317" width="8.83203125" style="5"/>
    <col min="2318" max="2318" width="11.6640625" style="5" customWidth="1"/>
    <col min="2319" max="2566" width="8.83203125" style="5"/>
    <col min="2567" max="2567" width="11.6640625" style="5" customWidth="1"/>
    <col min="2568" max="2568" width="9.5" style="5" bestFit="1" customWidth="1"/>
    <col min="2569" max="2573" width="8.83203125" style="5"/>
    <col min="2574" max="2574" width="11.6640625" style="5" customWidth="1"/>
    <col min="2575" max="2822" width="8.83203125" style="5"/>
    <col min="2823" max="2823" width="11.6640625" style="5" customWidth="1"/>
    <col min="2824" max="2824" width="9.5" style="5" bestFit="1" customWidth="1"/>
    <col min="2825" max="2829" width="8.83203125" style="5"/>
    <col min="2830" max="2830" width="11.6640625" style="5" customWidth="1"/>
    <col min="2831" max="3078" width="8.83203125" style="5"/>
    <col min="3079" max="3079" width="11.6640625" style="5" customWidth="1"/>
    <col min="3080" max="3080" width="9.5" style="5" bestFit="1" customWidth="1"/>
    <col min="3081" max="3085" width="8.83203125" style="5"/>
    <col min="3086" max="3086" width="11.6640625" style="5" customWidth="1"/>
    <col min="3087" max="3334" width="8.83203125" style="5"/>
    <col min="3335" max="3335" width="11.6640625" style="5" customWidth="1"/>
    <col min="3336" max="3336" width="9.5" style="5" bestFit="1" customWidth="1"/>
    <col min="3337" max="3341" width="8.83203125" style="5"/>
    <col min="3342" max="3342" width="11.6640625" style="5" customWidth="1"/>
    <col min="3343" max="3590" width="8.83203125" style="5"/>
    <col min="3591" max="3591" width="11.6640625" style="5" customWidth="1"/>
    <col min="3592" max="3592" width="9.5" style="5" bestFit="1" customWidth="1"/>
    <col min="3593" max="3597" width="8.83203125" style="5"/>
    <col min="3598" max="3598" width="11.6640625" style="5" customWidth="1"/>
    <col min="3599" max="3846" width="8.83203125" style="5"/>
    <col min="3847" max="3847" width="11.6640625" style="5" customWidth="1"/>
    <col min="3848" max="3848" width="9.5" style="5" bestFit="1" customWidth="1"/>
    <col min="3849" max="3853" width="8.83203125" style="5"/>
    <col min="3854" max="3854" width="11.6640625" style="5" customWidth="1"/>
    <col min="3855" max="4102" width="8.83203125" style="5"/>
    <col min="4103" max="4103" width="11.6640625" style="5" customWidth="1"/>
    <col min="4104" max="4104" width="9.5" style="5" bestFit="1" customWidth="1"/>
    <col min="4105" max="4109" width="8.83203125" style="5"/>
    <col min="4110" max="4110" width="11.6640625" style="5" customWidth="1"/>
    <col min="4111" max="4358" width="8.83203125" style="5"/>
    <col min="4359" max="4359" width="11.6640625" style="5" customWidth="1"/>
    <col min="4360" max="4360" width="9.5" style="5" bestFit="1" customWidth="1"/>
    <col min="4361" max="4365" width="8.83203125" style="5"/>
    <col min="4366" max="4366" width="11.6640625" style="5" customWidth="1"/>
    <col min="4367" max="4614" width="8.83203125" style="5"/>
    <col min="4615" max="4615" width="11.6640625" style="5" customWidth="1"/>
    <col min="4616" max="4616" width="9.5" style="5" bestFit="1" customWidth="1"/>
    <col min="4617" max="4621" width="8.83203125" style="5"/>
    <col min="4622" max="4622" width="11.6640625" style="5" customWidth="1"/>
    <col min="4623" max="4870" width="8.83203125" style="5"/>
    <col min="4871" max="4871" width="11.6640625" style="5" customWidth="1"/>
    <col min="4872" max="4872" width="9.5" style="5" bestFit="1" customWidth="1"/>
    <col min="4873" max="4877" width="8.83203125" style="5"/>
    <col min="4878" max="4878" width="11.6640625" style="5" customWidth="1"/>
    <col min="4879" max="5126" width="8.83203125" style="5"/>
    <col min="5127" max="5127" width="11.6640625" style="5" customWidth="1"/>
    <col min="5128" max="5128" width="9.5" style="5" bestFit="1" customWidth="1"/>
    <col min="5129" max="5133" width="8.83203125" style="5"/>
    <col min="5134" max="5134" width="11.6640625" style="5" customWidth="1"/>
    <col min="5135" max="5382" width="8.83203125" style="5"/>
    <col min="5383" max="5383" width="11.6640625" style="5" customWidth="1"/>
    <col min="5384" max="5384" width="9.5" style="5" bestFit="1" customWidth="1"/>
    <col min="5385" max="5389" width="8.83203125" style="5"/>
    <col min="5390" max="5390" width="11.6640625" style="5" customWidth="1"/>
    <col min="5391" max="5638" width="8.83203125" style="5"/>
    <col min="5639" max="5639" width="11.6640625" style="5" customWidth="1"/>
    <col min="5640" max="5640" width="9.5" style="5" bestFit="1" customWidth="1"/>
    <col min="5641" max="5645" width="8.83203125" style="5"/>
    <col min="5646" max="5646" width="11.6640625" style="5" customWidth="1"/>
    <col min="5647" max="5894" width="8.83203125" style="5"/>
    <col min="5895" max="5895" width="11.6640625" style="5" customWidth="1"/>
    <col min="5896" max="5896" width="9.5" style="5" bestFit="1" customWidth="1"/>
    <col min="5897" max="5901" width="8.83203125" style="5"/>
    <col min="5902" max="5902" width="11.6640625" style="5" customWidth="1"/>
    <col min="5903" max="6150" width="8.83203125" style="5"/>
    <col min="6151" max="6151" width="11.6640625" style="5" customWidth="1"/>
    <col min="6152" max="6152" width="9.5" style="5" bestFit="1" customWidth="1"/>
    <col min="6153" max="6157" width="8.83203125" style="5"/>
    <col min="6158" max="6158" width="11.6640625" style="5" customWidth="1"/>
    <col min="6159" max="6406" width="8.83203125" style="5"/>
    <col min="6407" max="6407" width="11.6640625" style="5" customWidth="1"/>
    <col min="6408" max="6408" width="9.5" style="5" bestFit="1" customWidth="1"/>
    <col min="6409" max="6413" width="8.83203125" style="5"/>
    <col min="6414" max="6414" width="11.6640625" style="5" customWidth="1"/>
    <col min="6415" max="6662" width="8.83203125" style="5"/>
    <col min="6663" max="6663" width="11.6640625" style="5" customWidth="1"/>
    <col min="6664" max="6664" width="9.5" style="5" bestFit="1" customWidth="1"/>
    <col min="6665" max="6669" width="8.83203125" style="5"/>
    <col min="6670" max="6670" width="11.6640625" style="5" customWidth="1"/>
    <col min="6671" max="6918" width="8.83203125" style="5"/>
    <col min="6919" max="6919" width="11.6640625" style="5" customWidth="1"/>
    <col min="6920" max="6920" width="9.5" style="5" bestFit="1" customWidth="1"/>
    <col min="6921" max="6925" width="8.83203125" style="5"/>
    <col min="6926" max="6926" width="11.6640625" style="5" customWidth="1"/>
    <col min="6927" max="7174" width="8.83203125" style="5"/>
    <col min="7175" max="7175" width="11.6640625" style="5" customWidth="1"/>
    <col min="7176" max="7176" width="9.5" style="5" bestFit="1" customWidth="1"/>
    <col min="7177" max="7181" width="8.83203125" style="5"/>
    <col min="7182" max="7182" width="11.6640625" style="5" customWidth="1"/>
    <col min="7183" max="7430" width="8.83203125" style="5"/>
    <col min="7431" max="7431" width="11.6640625" style="5" customWidth="1"/>
    <col min="7432" max="7432" width="9.5" style="5" bestFit="1" customWidth="1"/>
    <col min="7433" max="7437" width="8.83203125" style="5"/>
    <col min="7438" max="7438" width="11.6640625" style="5" customWidth="1"/>
    <col min="7439" max="7686" width="8.83203125" style="5"/>
    <col min="7687" max="7687" width="11.6640625" style="5" customWidth="1"/>
    <col min="7688" max="7688" width="9.5" style="5" bestFit="1" customWidth="1"/>
    <col min="7689" max="7693" width="8.83203125" style="5"/>
    <col min="7694" max="7694" width="11.6640625" style="5" customWidth="1"/>
    <col min="7695" max="7942" width="8.83203125" style="5"/>
    <col min="7943" max="7943" width="11.6640625" style="5" customWidth="1"/>
    <col min="7944" max="7944" width="9.5" style="5" bestFit="1" customWidth="1"/>
    <col min="7945" max="7949" width="8.83203125" style="5"/>
    <col min="7950" max="7950" width="11.6640625" style="5" customWidth="1"/>
    <col min="7951" max="8198" width="8.83203125" style="5"/>
    <col min="8199" max="8199" width="11.6640625" style="5" customWidth="1"/>
    <col min="8200" max="8200" width="9.5" style="5" bestFit="1" customWidth="1"/>
    <col min="8201" max="8205" width="8.83203125" style="5"/>
    <col min="8206" max="8206" width="11.6640625" style="5" customWidth="1"/>
    <col min="8207" max="8454" width="8.83203125" style="5"/>
    <col min="8455" max="8455" width="11.6640625" style="5" customWidth="1"/>
    <col min="8456" max="8456" width="9.5" style="5" bestFit="1" customWidth="1"/>
    <col min="8457" max="8461" width="8.83203125" style="5"/>
    <col min="8462" max="8462" width="11.6640625" style="5" customWidth="1"/>
    <col min="8463" max="8710" width="8.83203125" style="5"/>
    <col min="8711" max="8711" width="11.6640625" style="5" customWidth="1"/>
    <col min="8712" max="8712" width="9.5" style="5" bestFit="1" customWidth="1"/>
    <col min="8713" max="8717" width="8.83203125" style="5"/>
    <col min="8718" max="8718" width="11.6640625" style="5" customWidth="1"/>
    <col min="8719" max="8966" width="8.83203125" style="5"/>
    <col min="8967" max="8967" width="11.6640625" style="5" customWidth="1"/>
    <col min="8968" max="8968" width="9.5" style="5" bestFit="1" customWidth="1"/>
    <col min="8969" max="8973" width="8.83203125" style="5"/>
    <col min="8974" max="8974" width="11.6640625" style="5" customWidth="1"/>
    <col min="8975" max="9222" width="8.83203125" style="5"/>
    <col min="9223" max="9223" width="11.6640625" style="5" customWidth="1"/>
    <col min="9224" max="9224" width="9.5" style="5" bestFit="1" customWidth="1"/>
    <col min="9225" max="9229" width="8.83203125" style="5"/>
    <col min="9230" max="9230" width="11.6640625" style="5" customWidth="1"/>
    <col min="9231" max="9478" width="8.83203125" style="5"/>
    <col min="9479" max="9479" width="11.6640625" style="5" customWidth="1"/>
    <col min="9480" max="9480" width="9.5" style="5" bestFit="1" customWidth="1"/>
    <col min="9481" max="9485" width="8.83203125" style="5"/>
    <col min="9486" max="9486" width="11.6640625" style="5" customWidth="1"/>
    <col min="9487" max="9734" width="8.83203125" style="5"/>
    <col min="9735" max="9735" width="11.6640625" style="5" customWidth="1"/>
    <col min="9736" max="9736" width="9.5" style="5" bestFit="1" customWidth="1"/>
    <col min="9737" max="9741" width="8.83203125" style="5"/>
    <col min="9742" max="9742" width="11.6640625" style="5" customWidth="1"/>
    <col min="9743" max="9990" width="8.83203125" style="5"/>
    <col min="9991" max="9991" width="11.6640625" style="5" customWidth="1"/>
    <col min="9992" max="9992" width="9.5" style="5" bestFit="1" customWidth="1"/>
    <col min="9993" max="9997" width="8.83203125" style="5"/>
    <col min="9998" max="9998" width="11.6640625" style="5" customWidth="1"/>
    <col min="9999" max="10246" width="8.83203125" style="5"/>
    <col min="10247" max="10247" width="11.6640625" style="5" customWidth="1"/>
    <col min="10248" max="10248" width="9.5" style="5" bestFit="1" customWidth="1"/>
    <col min="10249" max="10253" width="8.83203125" style="5"/>
    <col min="10254" max="10254" width="11.6640625" style="5" customWidth="1"/>
    <col min="10255" max="10502" width="8.83203125" style="5"/>
    <col min="10503" max="10503" width="11.6640625" style="5" customWidth="1"/>
    <col min="10504" max="10504" width="9.5" style="5" bestFit="1" customWidth="1"/>
    <col min="10505" max="10509" width="8.83203125" style="5"/>
    <col min="10510" max="10510" width="11.6640625" style="5" customWidth="1"/>
    <col min="10511" max="10758" width="8.83203125" style="5"/>
    <col min="10759" max="10759" width="11.6640625" style="5" customWidth="1"/>
    <col min="10760" max="10760" width="9.5" style="5" bestFit="1" customWidth="1"/>
    <col min="10761" max="10765" width="8.83203125" style="5"/>
    <col min="10766" max="10766" width="11.6640625" style="5" customWidth="1"/>
    <col min="10767" max="11014" width="8.83203125" style="5"/>
    <col min="11015" max="11015" width="11.6640625" style="5" customWidth="1"/>
    <col min="11016" max="11016" width="9.5" style="5" bestFit="1" customWidth="1"/>
    <col min="11017" max="11021" width="8.83203125" style="5"/>
    <col min="11022" max="11022" width="11.6640625" style="5" customWidth="1"/>
    <col min="11023" max="11270" width="8.83203125" style="5"/>
    <col min="11271" max="11271" width="11.6640625" style="5" customWidth="1"/>
    <col min="11272" max="11272" width="9.5" style="5" bestFit="1" customWidth="1"/>
    <col min="11273" max="11277" width="8.83203125" style="5"/>
    <col min="11278" max="11278" width="11.6640625" style="5" customWidth="1"/>
    <col min="11279" max="11526" width="8.83203125" style="5"/>
    <col min="11527" max="11527" width="11.6640625" style="5" customWidth="1"/>
    <col min="11528" max="11528" width="9.5" style="5" bestFit="1" customWidth="1"/>
    <col min="11529" max="11533" width="8.83203125" style="5"/>
    <col min="11534" max="11534" width="11.6640625" style="5" customWidth="1"/>
    <col min="11535" max="11782" width="8.83203125" style="5"/>
    <col min="11783" max="11783" width="11.6640625" style="5" customWidth="1"/>
    <col min="11784" max="11784" width="9.5" style="5" bestFit="1" customWidth="1"/>
    <col min="11785" max="11789" width="8.83203125" style="5"/>
    <col min="11790" max="11790" width="11.6640625" style="5" customWidth="1"/>
    <col min="11791" max="12038" width="8.83203125" style="5"/>
    <col min="12039" max="12039" width="11.6640625" style="5" customWidth="1"/>
    <col min="12040" max="12040" width="9.5" style="5" bestFit="1" customWidth="1"/>
    <col min="12041" max="12045" width="8.83203125" style="5"/>
    <col min="12046" max="12046" width="11.6640625" style="5" customWidth="1"/>
    <col min="12047" max="12294" width="8.83203125" style="5"/>
    <col min="12295" max="12295" width="11.6640625" style="5" customWidth="1"/>
    <col min="12296" max="12296" width="9.5" style="5" bestFit="1" customWidth="1"/>
    <col min="12297" max="12301" width="8.83203125" style="5"/>
    <col min="12302" max="12302" width="11.6640625" style="5" customWidth="1"/>
    <col min="12303" max="12550" width="8.83203125" style="5"/>
    <col min="12551" max="12551" width="11.6640625" style="5" customWidth="1"/>
    <col min="12552" max="12552" width="9.5" style="5" bestFit="1" customWidth="1"/>
    <col min="12553" max="12557" width="8.83203125" style="5"/>
    <col min="12558" max="12558" width="11.6640625" style="5" customWidth="1"/>
    <col min="12559" max="12806" width="8.83203125" style="5"/>
    <col min="12807" max="12807" width="11.6640625" style="5" customWidth="1"/>
    <col min="12808" max="12808" width="9.5" style="5" bestFit="1" customWidth="1"/>
    <col min="12809" max="12813" width="8.83203125" style="5"/>
    <col min="12814" max="12814" width="11.6640625" style="5" customWidth="1"/>
    <col min="12815" max="13062" width="8.83203125" style="5"/>
    <col min="13063" max="13063" width="11.6640625" style="5" customWidth="1"/>
    <col min="13064" max="13064" width="9.5" style="5" bestFit="1" customWidth="1"/>
    <col min="13065" max="13069" width="8.83203125" style="5"/>
    <col min="13070" max="13070" width="11.6640625" style="5" customWidth="1"/>
    <col min="13071" max="13318" width="8.83203125" style="5"/>
    <col min="13319" max="13319" width="11.6640625" style="5" customWidth="1"/>
    <col min="13320" max="13320" width="9.5" style="5" bestFit="1" customWidth="1"/>
    <col min="13321" max="13325" width="8.83203125" style="5"/>
    <col min="13326" max="13326" width="11.6640625" style="5" customWidth="1"/>
    <col min="13327" max="13574" width="8.83203125" style="5"/>
    <col min="13575" max="13575" width="11.6640625" style="5" customWidth="1"/>
    <col min="13576" max="13576" width="9.5" style="5" bestFit="1" customWidth="1"/>
    <col min="13577" max="13581" width="8.83203125" style="5"/>
    <col min="13582" max="13582" width="11.6640625" style="5" customWidth="1"/>
    <col min="13583" max="13830" width="8.83203125" style="5"/>
    <col min="13831" max="13831" width="11.6640625" style="5" customWidth="1"/>
    <col min="13832" max="13832" width="9.5" style="5" bestFit="1" customWidth="1"/>
    <col min="13833" max="13837" width="8.83203125" style="5"/>
    <col min="13838" max="13838" width="11.6640625" style="5" customWidth="1"/>
    <col min="13839" max="14086" width="8.83203125" style="5"/>
    <col min="14087" max="14087" width="11.6640625" style="5" customWidth="1"/>
    <col min="14088" max="14088" width="9.5" style="5" bestFit="1" customWidth="1"/>
    <col min="14089" max="14093" width="8.83203125" style="5"/>
    <col min="14094" max="14094" width="11.6640625" style="5" customWidth="1"/>
    <col min="14095" max="14342" width="8.83203125" style="5"/>
    <col min="14343" max="14343" width="11.6640625" style="5" customWidth="1"/>
    <col min="14344" max="14344" width="9.5" style="5" bestFit="1" customWidth="1"/>
    <col min="14345" max="14349" width="8.83203125" style="5"/>
    <col min="14350" max="14350" width="11.6640625" style="5" customWidth="1"/>
    <col min="14351" max="14598" width="8.83203125" style="5"/>
    <col min="14599" max="14599" width="11.6640625" style="5" customWidth="1"/>
    <col min="14600" max="14600" width="9.5" style="5" bestFit="1" customWidth="1"/>
    <col min="14601" max="14605" width="8.83203125" style="5"/>
    <col min="14606" max="14606" width="11.6640625" style="5" customWidth="1"/>
    <col min="14607" max="14854" width="8.83203125" style="5"/>
    <col min="14855" max="14855" width="11.6640625" style="5" customWidth="1"/>
    <col min="14856" max="14856" width="9.5" style="5" bestFit="1" customWidth="1"/>
    <col min="14857" max="14861" width="8.83203125" style="5"/>
    <col min="14862" max="14862" width="11.6640625" style="5" customWidth="1"/>
    <col min="14863" max="15110" width="8.83203125" style="5"/>
    <col min="15111" max="15111" width="11.6640625" style="5" customWidth="1"/>
    <col min="15112" max="15112" width="9.5" style="5" bestFit="1" customWidth="1"/>
    <col min="15113" max="15117" width="8.83203125" style="5"/>
    <col min="15118" max="15118" width="11.6640625" style="5" customWidth="1"/>
    <col min="15119" max="15366" width="8.83203125" style="5"/>
    <col min="15367" max="15367" width="11.6640625" style="5" customWidth="1"/>
    <col min="15368" max="15368" width="9.5" style="5" bestFit="1" customWidth="1"/>
    <col min="15369" max="15373" width="8.83203125" style="5"/>
    <col min="15374" max="15374" width="11.6640625" style="5" customWidth="1"/>
    <col min="15375" max="15622" width="8.83203125" style="5"/>
    <col min="15623" max="15623" width="11.6640625" style="5" customWidth="1"/>
    <col min="15624" max="15624" width="9.5" style="5" bestFit="1" customWidth="1"/>
    <col min="15625" max="15629" width="8.83203125" style="5"/>
    <col min="15630" max="15630" width="11.6640625" style="5" customWidth="1"/>
    <col min="15631" max="15878" width="8.83203125" style="5"/>
    <col min="15879" max="15879" width="11.6640625" style="5" customWidth="1"/>
    <col min="15880" max="15880" width="9.5" style="5" bestFit="1" customWidth="1"/>
    <col min="15881" max="15885" width="8.83203125" style="5"/>
    <col min="15886" max="15886" width="11.6640625" style="5" customWidth="1"/>
    <col min="15887" max="16134" width="8.83203125" style="5"/>
    <col min="16135" max="16135" width="11.6640625" style="5" customWidth="1"/>
    <col min="16136" max="16136" width="9.5" style="5" bestFit="1" customWidth="1"/>
    <col min="16137" max="16141" width="8.83203125" style="5"/>
    <col min="16142" max="16142" width="11.6640625" style="5" customWidth="1"/>
    <col min="16143" max="16384" width="8.83203125" style="5"/>
  </cols>
  <sheetData>
    <row r="1" spans="1:17" x14ac:dyDescent="0.2">
      <c r="A1" s="10" t="s">
        <v>171</v>
      </c>
      <c r="B1" s="10" t="s">
        <v>172</v>
      </c>
      <c r="C1" s="10" t="s">
        <v>173</v>
      </c>
      <c r="D1" s="12" t="s">
        <v>174</v>
      </c>
      <c r="E1" s="10" t="s">
        <v>175</v>
      </c>
      <c r="F1" s="10" t="s">
        <v>176</v>
      </c>
      <c r="G1" s="10" t="s">
        <v>87</v>
      </c>
      <c r="H1" s="10" t="s">
        <v>177</v>
      </c>
      <c r="I1" s="10" t="s">
        <v>178</v>
      </c>
      <c r="J1" s="10" t="s">
        <v>179</v>
      </c>
      <c r="K1" s="10" t="s">
        <v>85</v>
      </c>
      <c r="L1" s="10" t="s">
        <v>180</v>
      </c>
      <c r="M1" s="10" t="s">
        <v>181</v>
      </c>
      <c r="N1" s="10" t="s">
        <v>182</v>
      </c>
      <c r="O1" s="10" t="s">
        <v>183</v>
      </c>
      <c r="P1" s="10" t="s">
        <v>184</v>
      </c>
      <c r="Q1" s="10" t="s">
        <v>185</v>
      </c>
    </row>
    <row r="2" spans="1:17" x14ac:dyDescent="0.2">
      <c r="A2" s="5">
        <v>1794</v>
      </c>
      <c r="B2" s="5" t="s">
        <v>186</v>
      </c>
      <c r="C2" s="5" t="s">
        <v>187</v>
      </c>
      <c r="D2" s="9">
        <v>229</v>
      </c>
      <c r="E2" s="5" t="s">
        <v>188</v>
      </c>
      <c r="F2" s="5" t="s">
        <v>189</v>
      </c>
      <c r="G2" s="5">
        <v>687</v>
      </c>
      <c r="H2" s="5">
        <v>0</v>
      </c>
      <c r="I2" s="5">
        <v>0</v>
      </c>
      <c r="J2" s="5">
        <f t="shared" ref="J2:J5" si="0">((G2+(H2/8)+(I2/48))/D2)</f>
        <v>3</v>
      </c>
      <c r="N2" s="5">
        <f>((G2+(H2/8)+(I2/48))/D2)*2.4</f>
        <v>7.1999999999999993</v>
      </c>
      <c r="O2" s="5" t="s">
        <v>190</v>
      </c>
      <c r="Q2" s="5" t="s">
        <v>191</v>
      </c>
    </row>
    <row r="3" spans="1:17" x14ac:dyDescent="0.2">
      <c r="A3" s="5">
        <v>1789</v>
      </c>
      <c r="B3" s="5" t="s">
        <v>192</v>
      </c>
      <c r="C3" s="5" t="s">
        <v>187</v>
      </c>
      <c r="D3" s="9">
        <v>372</v>
      </c>
      <c r="E3" s="5" t="s">
        <v>193</v>
      </c>
      <c r="F3" s="5" t="s">
        <v>194</v>
      </c>
      <c r="G3" s="5">
        <v>6</v>
      </c>
      <c r="H3" s="5">
        <v>0</v>
      </c>
      <c r="I3" s="5">
        <v>0</v>
      </c>
      <c r="J3" s="5">
        <f t="shared" si="0"/>
        <v>1.6129032258064516E-2</v>
      </c>
      <c r="N3" s="5">
        <f>((G3+(H3/8)+(I3/48))/D3)*2.4</f>
        <v>3.8709677419354833E-2</v>
      </c>
      <c r="O3" s="5" t="s">
        <v>195</v>
      </c>
    </row>
    <row r="4" spans="1:17" x14ac:dyDescent="0.2">
      <c r="A4" s="5">
        <v>1790</v>
      </c>
      <c r="B4" s="5" t="s">
        <v>196</v>
      </c>
      <c r="C4" s="5" t="s">
        <v>187</v>
      </c>
      <c r="D4" s="9">
        <v>420</v>
      </c>
      <c r="E4" s="5" t="s">
        <v>193</v>
      </c>
      <c r="F4" s="5" t="s">
        <v>194</v>
      </c>
      <c r="G4" s="5">
        <v>7</v>
      </c>
      <c r="H4" s="5">
        <v>4</v>
      </c>
      <c r="I4" s="5">
        <v>0</v>
      </c>
      <c r="J4" s="5">
        <f t="shared" si="0"/>
        <v>1.7857142857142856E-2</v>
      </c>
      <c r="N4" s="5">
        <f>((G4+(H4/8)+(I4/48))/D4)*2.4</f>
        <v>4.2857142857142851E-2</v>
      </c>
      <c r="O4" s="5" t="s">
        <v>195</v>
      </c>
    </row>
    <row r="5" spans="1:17" x14ac:dyDescent="0.2">
      <c r="A5" s="5">
        <v>1794</v>
      </c>
      <c r="B5" s="5" t="s">
        <v>197</v>
      </c>
      <c r="C5" s="5" t="s">
        <v>187</v>
      </c>
      <c r="D5" s="13">
        <v>6568.75</v>
      </c>
      <c r="E5" s="5" t="s">
        <v>188</v>
      </c>
      <c r="F5" s="5" t="s">
        <v>189</v>
      </c>
      <c r="G5" s="5">
        <v>16750</v>
      </c>
      <c r="H5" s="5">
        <v>0</v>
      </c>
      <c r="I5" s="5">
        <v>5</v>
      </c>
      <c r="J5" s="5">
        <f t="shared" si="0"/>
        <v>2.5499682841738029</v>
      </c>
      <c r="N5" s="5">
        <f>((G5+(H5/8)+(I5/48))/D5)*2.4</f>
        <v>6.1199238820171269</v>
      </c>
      <c r="O5" s="5" t="s">
        <v>198</v>
      </c>
      <c r="Q5" s="5" t="s">
        <v>199</v>
      </c>
    </row>
    <row r="6" spans="1:17" x14ac:dyDescent="0.2">
      <c r="A6" s="5">
        <v>1784</v>
      </c>
      <c r="B6" s="5" t="s">
        <v>200</v>
      </c>
      <c r="C6" s="5" t="s">
        <v>201</v>
      </c>
      <c r="D6" s="15">
        <v>2205.5</v>
      </c>
      <c r="E6" s="5" t="s">
        <v>193</v>
      </c>
      <c r="F6" s="5" t="s">
        <v>202</v>
      </c>
      <c r="K6" s="5">
        <v>427</v>
      </c>
      <c r="L6" s="5">
        <v>5</v>
      </c>
      <c r="M6" s="5">
        <v>8</v>
      </c>
      <c r="N6" s="5">
        <f t="shared" ref="N6:N45" si="1">(K6+L6/20+M6/320)/D6</f>
        <v>0.19373158014055769</v>
      </c>
      <c r="O6" s="5" t="s">
        <v>203</v>
      </c>
      <c r="P6" s="5">
        <v>1</v>
      </c>
    </row>
    <row r="7" spans="1:17" x14ac:dyDescent="0.2">
      <c r="A7" s="5">
        <v>1784</v>
      </c>
      <c r="B7" s="5" t="s">
        <v>200</v>
      </c>
      <c r="C7" s="5" t="s">
        <v>201</v>
      </c>
      <c r="D7" s="15">
        <v>39</v>
      </c>
      <c r="E7" s="5" t="s">
        <v>204</v>
      </c>
      <c r="F7" s="5" t="s">
        <v>205</v>
      </c>
      <c r="K7" s="5">
        <v>148</v>
      </c>
      <c r="L7" s="5">
        <v>11</v>
      </c>
      <c r="M7" s="5">
        <v>0</v>
      </c>
      <c r="N7" s="5">
        <f t="shared" si="1"/>
        <v>3.8089743589743592</v>
      </c>
      <c r="O7" s="5" t="s">
        <v>203</v>
      </c>
      <c r="P7" s="5">
        <v>3</v>
      </c>
    </row>
    <row r="8" spans="1:17" x14ac:dyDescent="0.2">
      <c r="A8" s="5">
        <v>1784</v>
      </c>
      <c r="B8" s="5" t="s">
        <v>200</v>
      </c>
      <c r="C8" s="5" t="s">
        <v>201</v>
      </c>
      <c r="D8" s="15">
        <v>2257</v>
      </c>
      <c r="E8" s="5" t="s">
        <v>204</v>
      </c>
      <c r="F8" s="5" t="s">
        <v>206</v>
      </c>
      <c r="K8" s="5">
        <v>9325</v>
      </c>
      <c r="L8" s="5">
        <v>12</v>
      </c>
      <c r="M8" s="5">
        <v>0</v>
      </c>
      <c r="N8" s="5">
        <f t="shared" si="1"/>
        <v>4.131856446610545</v>
      </c>
      <c r="O8" s="5" t="s">
        <v>203</v>
      </c>
      <c r="P8" s="5">
        <v>3</v>
      </c>
    </row>
    <row r="9" spans="1:17" x14ac:dyDescent="0.2">
      <c r="A9" s="5">
        <v>1784</v>
      </c>
      <c r="B9" s="5" t="s">
        <v>200</v>
      </c>
      <c r="C9" s="5" t="s">
        <v>201</v>
      </c>
      <c r="D9" s="15">
        <v>29.5</v>
      </c>
      <c r="E9" s="5" t="s">
        <v>204</v>
      </c>
      <c r="F9" s="5" t="s">
        <v>207</v>
      </c>
      <c r="K9" s="5">
        <v>124</v>
      </c>
      <c r="L9" s="5">
        <v>18</v>
      </c>
      <c r="M9" s="5">
        <v>0</v>
      </c>
      <c r="N9" s="5">
        <f t="shared" si="1"/>
        <v>4.2338983050847459</v>
      </c>
      <c r="O9" s="5" t="s">
        <v>203</v>
      </c>
      <c r="P9" s="5">
        <v>3</v>
      </c>
    </row>
    <row r="10" spans="1:17" x14ac:dyDescent="0.2">
      <c r="A10" s="5">
        <v>1784</v>
      </c>
      <c r="B10" s="5" t="s">
        <v>200</v>
      </c>
      <c r="C10" s="5" t="s">
        <v>201</v>
      </c>
      <c r="D10" s="15">
        <v>74</v>
      </c>
      <c r="E10" s="5" t="s">
        <v>188</v>
      </c>
      <c r="F10" s="5" t="s">
        <v>208</v>
      </c>
      <c r="K10" s="5">
        <v>651</v>
      </c>
      <c r="L10" s="5">
        <v>4</v>
      </c>
      <c r="M10" s="5">
        <v>0</v>
      </c>
      <c r="N10" s="5">
        <f t="shared" si="1"/>
        <v>8.8000000000000007</v>
      </c>
      <c r="O10" s="5" t="s">
        <v>203</v>
      </c>
      <c r="P10" s="5">
        <v>4</v>
      </c>
    </row>
    <row r="11" spans="1:17" x14ac:dyDescent="0.2">
      <c r="A11" s="5">
        <v>1784</v>
      </c>
      <c r="B11" s="5" t="s">
        <v>200</v>
      </c>
      <c r="C11" s="5" t="s">
        <v>201</v>
      </c>
      <c r="D11" s="15">
        <v>163</v>
      </c>
      <c r="E11" s="5" t="s">
        <v>193</v>
      </c>
      <c r="F11" s="5" t="s">
        <v>209</v>
      </c>
      <c r="K11" s="5">
        <v>70</v>
      </c>
      <c r="L11" s="5">
        <v>12</v>
      </c>
      <c r="M11" s="5">
        <v>0</v>
      </c>
      <c r="N11" s="5">
        <f t="shared" si="1"/>
        <v>0.43312883435582816</v>
      </c>
      <c r="O11" s="5" t="s">
        <v>203</v>
      </c>
      <c r="P11" s="5">
        <v>4</v>
      </c>
    </row>
    <row r="12" spans="1:17" x14ac:dyDescent="0.2">
      <c r="A12" s="5">
        <v>1784</v>
      </c>
      <c r="B12" s="5" t="s">
        <v>200</v>
      </c>
      <c r="C12" s="5" t="s">
        <v>201</v>
      </c>
      <c r="D12" s="15">
        <v>15.5</v>
      </c>
      <c r="E12" s="5" t="s">
        <v>188</v>
      </c>
      <c r="F12" s="5" t="s">
        <v>210</v>
      </c>
      <c r="K12" s="5">
        <v>170</v>
      </c>
      <c r="L12" s="5">
        <v>10</v>
      </c>
      <c r="M12" s="5">
        <v>0</v>
      </c>
      <c r="N12" s="5">
        <f t="shared" si="1"/>
        <v>11</v>
      </c>
      <c r="O12" s="5" t="s">
        <v>203</v>
      </c>
      <c r="P12" s="5">
        <v>4</v>
      </c>
    </row>
    <row r="13" spans="1:17" x14ac:dyDescent="0.2">
      <c r="A13" s="5">
        <v>1784</v>
      </c>
      <c r="B13" s="5" t="s">
        <v>200</v>
      </c>
      <c r="C13" s="5" t="s">
        <v>201</v>
      </c>
      <c r="D13" s="15">
        <v>3497</v>
      </c>
      <c r="E13" s="5" t="s">
        <v>193</v>
      </c>
      <c r="F13" s="5" t="s">
        <v>211</v>
      </c>
      <c r="K13" s="5">
        <v>351</v>
      </c>
      <c r="L13" s="5">
        <v>7</v>
      </c>
      <c r="M13" s="5">
        <v>0</v>
      </c>
      <c r="N13" s="5">
        <f t="shared" si="1"/>
        <v>0.10047183299971404</v>
      </c>
      <c r="O13" s="5" t="s">
        <v>203</v>
      </c>
      <c r="P13" s="5">
        <v>3</v>
      </c>
    </row>
    <row r="14" spans="1:17" x14ac:dyDescent="0.2">
      <c r="A14" s="5">
        <v>1784</v>
      </c>
      <c r="B14" s="5" t="s">
        <v>200</v>
      </c>
      <c r="C14" s="5" t="s">
        <v>201</v>
      </c>
      <c r="D14" s="15">
        <v>364.9</v>
      </c>
      <c r="E14" s="5" t="s">
        <v>212</v>
      </c>
      <c r="F14" s="5" t="s">
        <v>213</v>
      </c>
      <c r="K14" s="5">
        <v>124</v>
      </c>
      <c r="L14" s="5">
        <v>7</v>
      </c>
      <c r="M14" s="5">
        <v>8</v>
      </c>
      <c r="N14" s="5">
        <f t="shared" si="1"/>
        <v>0.34084680734447798</v>
      </c>
      <c r="O14" s="5" t="s">
        <v>203</v>
      </c>
      <c r="P14" s="5">
        <v>4</v>
      </c>
    </row>
    <row r="15" spans="1:17" x14ac:dyDescent="0.2">
      <c r="A15" s="5">
        <v>1784</v>
      </c>
      <c r="B15" s="5" t="s">
        <v>200</v>
      </c>
      <c r="C15" s="5" t="s">
        <v>201</v>
      </c>
      <c r="D15" s="15">
        <v>952.7</v>
      </c>
      <c r="E15" s="5" t="s">
        <v>212</v>
      </c>
      <c r="F15" s="5" t="s">
        <v>214</v>
      </c>
      <c r="K15" s="5">
        <v>269</v>
      </c>
      <c r="L15" s="5">
        <v>17</v>
      </c>
      <c r="M15" s="5">
        <v>8</v>
      </c>
      <c r="N15" s="5">
        <f t="shared" si="1"/>
        <v>0.28327385325915816</v>
      </c>
      <c r="O15" s="5" t="s">
        <v>203</v>
      </c>
      <c r="P15" s="5">
        <v>4</v>
      </c>
    </row>
    <row r="16" spans="1:17" x14ac:dyDescent="0.2">
      <c r="A16" s="5">
        <v>1784</v>
      </c>
      <c r="B16" s="5" t="s">
        <v>200</v>
      </c>
      <c r="C16" s="5" t="s">
        <v>201</v>
      </c>
      <c r="D16" s="15">
        <v>556.70000000000005</v>
      </c>
      <c r="E16" s="5" t="s">
        <v>212</v>
      </c>
      <c r="F16" s="5" t="s">
        <v>215</v>
      </c>
      <c r="K16" s="5">
        <v>460</v>
      </c>
      <c r="L16" s="5">
        <v>1</v>
      </c>
      <c r="M16" s="5">
        <v>0</v>
      </c>
      <c r="N16" s="5">
        <f t="shared" si="1"/>
        <v>0.82638764145859522</v>
      </c>
      <c r="O16" s="5" t="s">
        <v>203</v>
      </c>
      <c r="P16" s="5">
        <v>4</v>
      </c>
    </row>
    <row r="17" spans="1:17" x14ac:dyDescent="0.2">
      <c r="A17" s="5">
        <v>1784</v>
      </c>
      <c r="B17" s="5" t="s">
        <v>200</v>
      </c>
      <c r="C17" s="5" t="s">
        <v>201</v>
      </c>
      <c r="D17" s="15">
        <v>151835</v>
      </c>
      <c r="E17" s="5" t="s">
        <v>193</v>
      </c>
      <c r="F17" s="5" t="s">
        <v>216</v>
      </c>
      <c r="K17" s="5">
        <v>623</v>
      </c>
      <c r="L17" s="5">
        <v>13</v>
      </c>
      <c r="M17" s="5">
        <v>0</v>
      </c>
      <c r="N17" s="5">
        <f t="shared" si="1"/>
        <v>4.1074192379886056E-3</v>
      </c>
      <c r="O17" s="5" t="s">
        <v>203</v>
      </c>
      <c r="P17" s="5">
        <v>4</v>
      </c>
    </row>
    <row r="18" spans="1:17" x14ac:dyDescent="0.2">
      <c r="A18" s="5">
        <v>1784</v>
      </c>
      <c r="B18" s="5" t="s">
        <v>200</v>
      </c>
      <c r="C18" s="5" t="s">
        <v>201</v>
      </c>
      <c r="D18" s="15">
        <v>320</v>
      </c>
      <c r="E18" s="5" t="s">
        <v>193</v>
      </c>
      <c r="F18" s="5" t="s">
        <v>216</v>
      </c>
      <c r="K18" s="5">
        <v>1</v>
      </c>
      <c r="L18" s="5">
        <v>6</v>
      </c>
      <c r="M18" s="5">
        <v>8</v>
      </c>
      <c r="N18" s="5">
        <f t="shared" si="1"/>
        <v>4.1406250000000002E-3</v>
      </c>
      <c r="O18" s="5" t="s">
        <v>203</v>
      </c>
      <c r="P18" s="5">
        <v>40</v>
      </c>
    </row>
    <row r="19" spans="1:17" x14ac:dyDescent="0.2">
      <c r="A19" s="5">
        <v>1784</v>
      </c>
      <c r="B19" s="5" t="s">
        <v>200</v>
      </c>
      <c r="C19" s="5" t="s">
        <v>201</v>
      </c>
      <c r="D19" s="15">
        <v>7072</v>
      </c>
      <c r="E19" s="5" t="s">
        <v>193</v>
      </c>
      <c r="F19" s="5" t="s">
        <v>217</v>
      </c>
      <c r="K19" s="5">
        <v>1791</v>
      </c>
      <c r="L19" s="5">
        <v>2</v>
      </c>
      <c r="M19" s="5">
        <v>8</v>
      </c>
      <c r="N19" s="5">
        <f t="shared" si="1"/>
        <v>0.25326993778280543</v>
      </c>
      <c r="O19" s="5" t="s">
        <v>203</v>
      </c>
      <c r="P19" s="5">
        <v>1</v>
      </c>
    </row>
    <row r="20" spans="1:17" x14ac:dyDescent="0.2">
      <c r="A20" s="5">
        <v>1784</v>
      </c>
      <c r="B20" s="5" t="s">
        <v>200</v>
      </c>
      <c r="C20" s="5" t="s">
        <v>201</v>
      </c>
      <c r="D20" s="15">
        <v>1287</v>
      </c>
      <c r="E20" s="5" t="s">
        <v>193</v>
      </c>
      <c r="F20" s="5" t="s">
        <v>218</v>
      </c>
      <c r="K20" s="5">
        <v>4134</v>
      </c>
      <c r="L20" s="5">
        <v>7</v>
      </c>
      <c r="M20" s="5">
        <v>0</v>
      </c>
      <c r="N20" s="5">
        <f t="shared" si="1"/>
        <v>3.2123931623931625</v>
      </c>
      <c r="O20" s="5" t="s">
        <v>203</v>
      </c>
      <c r="P20" s="5">
        <v>4</v>
      </c>
    </row>
    <row r="21" spans="1:17" x14ac:dyDescent="0.2">
      <c r="A21" s="5">
        <v>1784</v>
      </c>
      <c r="B21" s="5" t="s">
        <v>200</v>
      </c>
      <c r="C21" s="5" t="s">
        <v>201</v>
      </c>
      <c r="D21" s="15">
        <v>35492</v>
      </c>
      <c r="E21" s="5" t="s">
        <v>193</v>
      </c>
      <c r="F21" s="5" t="s">
        <v>219</v>
      </c>
      <c r="K21" s="5">
        <v>3938</v>
      </c>
      <c r="L21" s="5">
        <v>10</v>
      </c>
      <c r="M21" s="5">
        <v>0</v>
      </c>
      <c r="N21" s="5">
        <f t="shared" si="1"/>
        <v>0.11096866899583005</v>
      </c>
      <c r="O21" s="5" t="s">
        <v>203</v>
      </c>
      <c r="P21" s="5">
        <v>4</v>
      </c>
    </row>
    <row r="22" spans="1:17" x14ac:dyDescent="0.2">
      <c r="A22" s="5">
        <v>1784</v>
      </c>
      <c r="B22" s="5" t="s">
        <v>200</v>
      </c>
      <c r="C22" s="5" t="s">
        <v>201</v>
      </c>
      <c r="D22" s="15">
        <v>6480.625</v>
      </c>
      <c r="E22" s="5" t="s">
        <v>188</v>
      </c>
      <c r="F22" s="5" t="s">
        <v>189</v>
      </c>
      <c r="K22" s="5">
        <v>36597</v>
      </c>
      <c r="L22" s="5">
        <v>9</v>
      </c>
      <c r="M22" s="5">
        <v>0</v>
      </c>
      <c r="N22" s="5">
        <f t="shared" si="1"/>
        <v>5.6472099527437551</v>
      </c>
      <c r="O22" s="5" t="s">
        <v>203</v>
      </c>
      <c r="P22" s="5">
        <v>21</v>
      </c>
      <c r="Q22" s="5">
        <f>AVERAGE(N22,N24,N26)</f>
        <v>3.8484623773787843</v>
      </c>
    </row>
    <row r="23" spans="1:17" x14ac:dyDescent="0.2">
      <c r="A23" s="5">
        <v>1784</v>
      </c>
      <c r="B23" s="5" t="s">
        <v>200</v>
      </c>
      <c r="C23" s="5" t="s">
        <v>201</v>
      </c>
      <c r="D23" s="15">
        <v>32.5</v>
      </c>
      <c r="E23" s="5" t="s">
        <v>188</v>
      </c>
      <c r="F23" s="5" t="s">
        <v>189</v>
      </c>
      <c r="K23" s="5">
        <v>190</v>
      </c>
      <c r="L23" s="5">
        <v>13</v>
      </c>
      <c r="M23" s="5">
        <v>8</v>
      </c>
      <c r="N23" s="5">
        <f t="shared" si="1"/>
        <v>5.8669230769230776</v>
      </c>
      <c r="O23" s="5" t="s">
        <v>203</v>
      </c>
      <c r="P23" s="5">
        <v>35</v>
      </c>
    </row>
    <row r="24" spans="1:17" x14ac:dyDescent="0.2">
      <c r="A24" s="5">
        <v>1784</v>
      </c>
      <c r="B24" s="5" t="s">
        <v>192</v>
      </c>
      <c r="C24" s="5" t="s">
        <v>201</v>
      </c>
      <c r="D24" s="15">
        <v>162</v>
      </c>
      <c r="E24" s="5" t="s">
        <v>188</v>
      </c>
      <c r="F24" s="5" t="s">
        <v>189</v>
      </c>
      <c r="K24" s="5">
        <v>950</v>
      </c>
      <c r="L24" s="5">
        <v>8</v>
      </c>
      <c r="M24" s="5">
        <v>0</v>
      </c>
      <c r="N24" s="5">
        <f t="shared" si="1"/>
        <v>5.8666666666666663</v>
      </c>
      <c r="O24" s="5" t="s">
        <v>203</v>
      </c>
      <c r="P24" s="5">
        <v>84</v>
      </c>
    </row>
    <row r="25" spans="1:17" x14ac:dyDescent="0.2">
      <c r="A25" s="5">
        <v>1784</v>
      </c>
      <c r="B25" s="5" t="s">
        <v>200</v>
      </c>
      <c r="C25" s="5" t="s">
        <v>201</v>
      </c>
      <c r="D25" s="15">
        <v>1749</v>
      </c>
      <c r="E25" s="5" t="s">
        <v>193</v>
      </c>
      <c r="F25" s="5" t="s">
        <v>220</v>
      </c>
      <c r="K25" s="5">
        <v>996</v>
      </c>
      <c r="L25" s="5">
        <v>5</v>
      </c>
      <c r="M25" s="5">
        <v>0</v>
      </c>
      <c r="N25" s="5">
        <f t="shared" si="1"/>
        <v>0.56961120640365925</v>
      </c>
      <c r="O25" s="5" t="s">
        <v>203</v>
      </c>
      <c r="P25" s="5">
        <v>3</v>
      </c>
    </row>
    <row r="26" spans="1:17" x14ac:dyDescent="0.2">
      <c r="A26" s="5">
        <v>1784</v>
      </c>
      <c r="B26" s="5" t="s">
        <v>200</v>
      </c>
      <c r="C26" s="5" t="s">
        <v>201</v>
      </c>
      <c r="D26" s="15">
        <v>2711</v>
      </c>
      <c r="E26" s="5" t="s">
        <v>193</v>
      </c>
      <c r="F26" s="5" t="s">
        <v>221</v>
      </c>
      <c r="K26" s="5">
        <v>85</v>
      </c>
      <c r="L26" s="5">
        <v>8</v>
      </c>
      <c r="M26" s="5">
        <v>8</v>
      </c>
      <c r="N26" s="5">
        <f t="shared" si="1"/>
        <v>3.1510512725931396E-2</v>
      </c>
      <c r="O26" s="5" t="s">
        <v>203</v>
      </c>
      <c r="P26" s="5">
        <v>35</v>
      </c>
    </row>
    <row r="27" spans="1:17" x14ac:dyDescent="0.2">
      <c r="A27" s="5">
        <v>1784</v>
      </c>
      <c r="B27" s="5" t="s">
        <v>186</v>
      </c>
      <c r="C27" s="5" t="s">
        <v>201</v>
      </c>
      <c r="D27" s="15">
        <v>14047</v>
      </c>
      <c r="E27" s="5" t="s">
        <v>193</v>
      </c>
      <c r="F27" s="5" t="s">
        <v>221</v>
      </c>
      <c r="K27" s="5">
        <v>442</v>
      </c>
      <c r="L27" s="5">
        <v>12</v>
      </c>
      <c r="M27" s="5">
        <v>8</v>
      </c>
      <c r="N27" s="5">
        <f t="shared" si="1"/>
        <v>3.1510286893998721E-2</v>
      </c>
      <c r="O27" s="5" t="s">
        <v>203</v>
      </c>
      <c r="P27" s="5">
        <v>99</v>
      </c>
    </row>
    <row r="28" spans="1:17" x14ac:dyDescent="0.2">
      <c r="A28" s="5">
        <v>1784</v>
      </c>
      <c r="B28" s="5" t="s">
        <v>200</v>
      </c>
      <c r="C28" s="5" t="s">
        <v>201</v>
      </c>
      <c r="D28" s="15">
        <v>426</v>
      </c>
      <c r="E28" s="5" t="s">
        <v>193</v>
      </c>
      <c r="F28" s="5" t="s">
        <v>222</v>
      </c>
      <c r="K28" s="5">
        <v>257</v>
      </c>
      <c r="L28" s="5">
        <v>10</v>
      </c>
      <c r="M28" s="5">
        <v>0</v>
      </c>
      <c r="N28" s="5">
        <f t="shared" si="1"/>
        <v>0.60446009389671362</v>
      </c>
      <c r="O28" s="5" t="s">
        <v>203</v>
      </c>
      <c r="P28" s="5">
        <v>4</v>
      </c>
    </row>
    <row r="29" spans="1:17" x14ac:dyDescent="0.2">
      <c r="A29" s="5">
        <v>1784</v>
      </c>
      <c r="B29" s="5" t="s">
        <v>200</v>
      </c>
      <c r="C29" s="5" t="s">
        <v>201</v>
      </c>
      <c r="D29" s="15">
        <v>92</v>
      </c>
      <c r="E29" s="5" t="s">
        <v>193</v>
      </c>
      <c r="F29" s="5" t="s">
        <v>223</v>
      </c>
      <c r="K29" s="5">
        <v>64</v>
      </c>
      <c r="L29" s="5">
        <v>6</v>
      </c>
      <c r="M29" s="5">
        <v>8</v>
      </c>
      <c r="N29" s="5">
        <f t="shared" si="1"/>
        <v>0.69918478260869565</v>
      </c>
      <c r="O29" s="5" t="s">
        <v>203</v>
      </c>
      <c r="P29" s="5">
        <v>4</v>
      </c>
    </row>
    <row r="30" spans="1:17" x14ac:dyDescent="0.2">
      <c r="A30" s="5">
        <v>1784</v>
      </c>
      <c r="B30" s="5" t="s">
        <v>200</v>
      </c>
      <c r="C30" s="5" t="s">
        <v>201</v>
      </c>
      <c r="D30" s="15">
        <v>2754</v>
      </c>
      <c r="E30" s="5" t="s">
        <v>193</v>
      </c>
      <c r="F30" s="5" t="s">
        <v>224</v>
      </c>
      <c r="K30" s="5">
        <v>780</v>
      </c>
      <c r="L30" s="5">
        <v>2</v>
      </c>
      <c r="M30" s="5">
        <v>8</v>
      </c>
      <c r="N30" s="5">
        <f t="shared" si="1"/>
        <v>0.2832697893972404</v>
      </c>
      <c r="O30" s="5" t="s">
        <v>203</v>
      </c>
      <c r="P30" s="5">
        <v>4</v>
      </c>
    </row>
    <row r="31" spans="1:17" x14ac:dyDescent="0.2">
      <c r="A31" s="5">
        <v>1784</v>
      </c>
      <c r="B31" s="5" t="s">
        <v>200</v>
      </c>
      <c r="C31" s="5" t="s">
        <v>201</v>
      </c>
      <c r="D31" s="15">
        <v>661</v>
      </c>
      <c r="E31" s="5" t="s">
        <v>193</v>
      </c>
      <c r="F31" s="5" t="s">
        <v>225</v>
      </c>
      <c r="K31" s="5">
        <v>275</v>
      </c>
      <c r="L31" s="5">
        <v>6</v>
      </c>
      <c r="M31" s="5">
        <v>8</v>
      </c>
      <c r="N31" s="5">
        <f t="shared" si="1"/>
        <v>0.41652798789712553</v>
      </c>
      <c r="O31" s="5" t="s">
        <v>203</v>
      </c>
      <c r="P31" s="5">
        <v>4</v>
      </c>
    </row>
    <row r="32" spans="1:17" x14ac:dyDescent="0.2">
      <c r="A32" s="5">
        <v>1785</v>
      </c>
      <c r="B32" s="5" t="s">
        <v>226</v>
      </c>
      <c r="C32" s="5" t="s">
        <v>201</v>
      </c>
      <c r="D32" s="15">
        <v>16</v>
      </c>
      <c r="E32" s="5" t="s">
        <v>204</v>
      </c>
      <c r="F32" s="5" t="s">
        <v>205</v>
      </c>
      <c r="K32" s="15">
        <v>60</v>
      </c>
      <c r="L32" s="5">
        <v>19</v>
      </c>
      <c r="M32" s="5">
        <v>0</v>
      </c>
      <c r="N32" s="5">
        <f t="shared" si="1"/>
        <v>3.8093750000000002</v>
      </c>
      <c r="O32" s="5" t="s">
        <v>203</v>
      </c>
      <c r="P32" s="5">
        <v>494</v>
      </c>
    </row>
    <row r="33" spans="1:17" x14ac:dyDescent="0.2">
      <c r="A33" s="5">
        <v>1785</v>
      </c>
      <c r="B33" s="5" t="s">
        <v>226</v>
      </c>
      <c r="C33" s="5" t="s">
        <v>201</v>
      </c>
      <c r="D33" s="15">
        <v>20</v>
      </c>
      <c r="E33" s="5" t="s">
        <v>204</v>
      </c>
      <c r="F33" s="5" t="s">
        <v>227</v>
      </c>
      <c r="K33" s="15">
        <v>84</v>
      </c>
      <c r="L33" s="5">
        <v>13</v>
      </c>
      <c r="M33" s="5">
        <v>8</v>
      </c>
      <c r="N33" s="5">
        <f t="shared" si="1"/>
        <v>4.2337500000000006</v>
      </c>
      <c r="O33" s="5" t="s">
        <v>203</v>
      </c>
      <c r="P33" s="5">
        <v>494</v>
      </c>
    </row>
    <row r="34" spans="1:17" x14ac:dyDescent="0.2">
      <c r="A34" s="5">
        <v>1785</v>
      </c>
      <c r="B34" s="5" t="s">
        <v>226</v>
      </c>
      <c r="C34" s="5" t="s">
        <v>201</v>
      </c>
      <c r="D34" s="16">
        <v>3.125</v>
      </c>
      <c r="E34" s="5" t="s">
        <v>188</v>
      </c>
      <c r="F34" s="5" t="s">
        <v>208</v>
      </c>
      <c r="K34" s="15">
        <v>27</v>
      </c>
      <c r="L34" s="5">
        <v>10</v>
      </c>
      <c r="M34" s="5">
        <v>0</v>
      </c>
      <c r="N34" s="5">
        <f t="shared" si="1"/>
        <v>8.8000000000000007</v>
      </c>
      <c r="O34" s="5" t="s">
        <v>203</v>
      </c>
      <c r="P34" s="5">
        <v>494</v>
      </c>
    </row>
    <row r="35" spans="1:17" x14ac:dyDescent="0.2">
      <c r="A35" s="5">
        <v>1785</v>
      </c>
      <c r="B35" s="5" t="s">
        <v>226</v>
      </c>
      <c r="C35" s="5" t="s">
        <v>201</v>
      </c>
      <c r="D35" s="15">
        <v>426</v>
      </c>
      <c r="E35" s="5" t="s">
        <v>193</v>
      </c>
      <c r="F35" s="5" t="s">
        <v>228</v>
      </c>
      <c r="K35" s="15">
        <v>161</v>
      </c>
      <c r="L35" s="5">
        <v>1</v>
      </c>
      <c r="M35" s="5">
        <v>8</v>
      </c>
      <c r="N35" s="5">
        <f t="shared" si="1"/>
        <v>0.37811032863849769</v>
      </c>
      <c r="O35" s="5" t="s">
        <v>203</v>
      </c>
      <c r="P35" s="5">
        <v>494</v>
      </c>
    </row>
    <row r="36" spans="1:17" x14ac:dyDescent="0.2">
      <c r="A36" s="5">
        <v>1785</v>
      </c>
      <c r="B36" s="5" t="s">
        <v>226</v>
      </c>
      <c r="C36" s="5" t="s">
        <v>201</v>
      </c>
      <c r="D36" s="15">
        <v>33</v>
      </c>
      <c r="E36" s="5" t="s">
        <v>188</v>
      </c>
      <c r="F36" s="5" t="s">
        <v>229</v>
      </c>
      <c r="K36" s="15">
        <v>96</v>
      </c>
      <c r="L36" s="5">
        <v>16</v>
      </c>
      <c r="M36" s="5">
        <v>0</v>
      </c>
      <c r="N36" s="5">
        <f t="shared" si="1"/>
        <v>2.9333333333333331</v>
      </c>
      <c r="O36" s="5" t="s">
        <v>203</v>
      </c>
      <c r="P36" s="5">
        <v>494</v>
      </c>
    </row>
    <row r="37" spans="1:17" x14ac:dyDescent="0.2">
      <c r="A37" s="5">
        <v>1785</v>
      </c>
      <c r="B37" s="5" t="s">
        <v>226</v>
      </c>
      <c r="C37" s="5" t="s">
        <v>201</v>
      </c>
      <c r="D37" s="17">
        <v>12.1</v>
      </c>
      <c r="E37" s="5" t="s">
        <v>212</v>
      </c>
      <c r="F37" s="5" t="s">
        <v>213</v>
      </c>
      <c r="K37" s="15">
        <v>6</v>
      </c>
      <c r="L37" s="5">
        <v>16</v>
      </c>
      <c r="M37" s="5">
        <v>8</v>
      </c>
      <c r="N37" s="5">
        <f t="shared" si="1"/>
        <v>0.56404958677685957</v>
      </c>
      <c r="O37" s="5" t="s">
        <v>203</v>
      </c>
      <c r="P37" s="5">
        <v>494</v>
      </c>
    </row>
    <row r="38" spans="1:17" x14ac:dyDescent="0.2">
      <c r="A38" s="5">
        <v>1785</v>
      </c>
      <c r="B38" s="5" t="s">
        <v>226</v>
      </c>
      <c r="C38" s="5" t="s">
        <v>201</v>
      </c>
      <c r="D38" s="15">
        <v>112</v>
      </c>
      <c r="E38" s="5" t="s">
        <v>212</v>
      </c>
      <c r="F38" s="5" t="s">
        <v>214</v>
      </c>
      <c r="K38" s="5">
        <v>44</v>
      </c>
      <c r="L38" s="5">
        <v>16</v>
      </c>
      <c r="M38" s="5">
        <v>0</v>
      </c>
      <c r="N38" s="5">
        <f t="shared" si="1"/>
        <v>0.39999999999999997</v>
      </c>
      <c r="O38" s="5" t="s">
        <v>203</v>
      </c>
      <c r="P38" s="5">
        <v>494</v>
      </c>
    </row>
    <row r="39" spans="1:17" x14ac:dyDescent="0.2">
      <c r="A39" s="5">
        <v>1785</v>
      </c>
      <c r="B39" s="5" t="s">
        <v>226</v>
      </c>
      <c r="C39" s="5" t="s">
        <v>201</v>
      </c>
      <c r="D39" s="15">
        <v>14.5</v>
      </c>
      <c r="E39" s="5" t="s">
        <v>212</v>
      </c>
      <c r="F39" s="5" t="s">
        <v>215</v>
      </c>
      <c r="K39" s="5">
        <v>13</v>
      </c>
      <c r="L39" s="5">
        <v>9</v>
      </c>
      <c r="M39" s="5">
        <v>0</v>
      </c>
      <c r="N39" s="5">
        <f t="shared" si="1"/>
        <v>0.92758620689655169</v>
      </c>
      <c r="O39" s="5" t="s">
        <v>203</v>
      </c>
      <c r="P39" s="5">
        <v>494</v>
      </c>
    </row>
    <row r="40" spans="1:17" x14ac:dyDescent="0.2">
      <c r="A40" s="5">
        <v>1785</v>
      </c>
      <c r="B40" s="5" t="s">
        <v>226</v>
      </c>
      <c r="C40" s="5" t="s">
        <v>201</v>
      </c>
      <c r="D40" s="15">
        <v>500</v>
      </c>
      <c r="E40" s="5" t="s">
        <v>193</v>
      </c>
      <c r="F40" s="5" t="s">
        <v>216</v>
      </c>
      <c r="K40" s="15">
        <v>24</v>
      </c>
      <c r="L40" s="5">
        <v>5</v>
      </c>
      <c r="M40" s="5">
        <v>0</v>
      </c>
      <c r="N40" s="5">
        <f t="shared" si="1"/>
        <v>4.8500000000000001E-2</v>
      </c>
      <c r="O40" s="5" t="s">
        <v>203</v>
      </c>
      <c r="P40" s="5">
        <v>494</v>
      </c>
    </row>
    <row r="41" spans="1:17" x14ac:dyDescent="0.2">
      <c r="A41" s="5">
        <v>1785</v>
      </c>
      <c r="B41" s="5" t="s">
        <v>226</v>
      </c>
      <c r="C41" s="5" t="s">
        <v>201</v>
      </c>
      <c r="D41" s="15">
        <v>854</v>
      </c>
      <c r="E41" s="5" t="s">
        <v>193</v>
      </c>
      <c r="F41" s="5" t="s">
        <v>219</v>
      </c>
      <c r="K41" s="15">
        <v>96</v>
      </c>
      <c r="L41" s="5">
        <v>1</v>
      </c>
      <c r="M41" s="5">
        <v>8</v>
      </c>
      <c r="N41" s="5">
        <f t="shared" si="1"/>
        <v>0.1125</v>
      </c>
      <c r="O41" s="5" t="s">
        <v>203</v>
      </c>
      <c r="P41" s="5">
        <v>494</v>
      </c>
    </row>
    <row r="42" spans="1:17" x14ac:dyDescent="0.2">
      <c r="A42" s="5">
        <v>1785</v>
      </c>
      <c r="B42" s="5" t="s">
        <v>226</v>
      </c>
      <c r="C42" s="5" t="s">
        <v>201</v>
      </c>
      <c r="D42" s="15">
        <v>402.25</v>
      </c>
      <c r="E42" s="5" t="s">
        <v>188</v>
      </c>
      <c r="F42" s="5" t="s">
        <v>189</v>
      </c>
      <c r="K42" s="15">
        <v>2359</v>
      </c>
      <c r="L42" s="5">
        <v>17</v>
      </c>
      <c r="M42" s="5">
        <v>8</v>
      </c>
      <c r="N42" s="5">
        <f t="shared" si="1"/>
        <v>5.8666873834679922</v>
      </c>
      <c r="O42" s="5" t="s">
        <v>203</v>
      </c>
      <c r="P42" s="5">
        <v>494</v>
      </c>
      <c r="Q42" s="5">
        <f>N42</f>
        <v>5.8666873834679922</v>
      </c>
    </row>
    <row r="43" spans="1:17" x14ac:dyDescent="0.2">
      <c r="A43" s="5">
        <v>1785</v>
      </c>
      <c r="B43" s="5" t="s">
        <v>226</v>
      </c>
      <c r="C43" s="5" t="s">
        <v>201</v>
      </c>
      <c r="D43" s="15">
        <v>16982</v>
      </c>
      <c r="E43" s="5" t="s">
        <v>193</v>
      </c>
      <c r="F43" s="5" t="s">
        <v>221</v>
      </c>
      <c r="K43" s="15">
        <v>535</v>
      </c>
      <c r="L43" s="5">
        <v>2</v>
      </c>
      <c r="M43" s="5">
        <v>0</v>
      </c>
      <c r="N43" s="5">
        <f t="shared" si="1"/>
        <v>3.1509833941820754E-2</v>
      </c>
      <c r="O43" s="5" t="s">
        <v>203</v>
      </c>
      <c r="P43" s="5">
        <v>494</v>
      </c>
    </row>
    <row r="44" spans="1:17" x14ac:dyDescent="0.2">
      <c r="A44" s="5">
        <v>1785</v>
      </c>
      <c r="B44" s="5" t="s">
        <v>226</v>
      </c>
      <c r="C44" s="5" t="s">
        <v>201</v>
      </c>
      <c r="D44" s="15">
        <v>27</v>
      </c>
      <c r="E44" s="5" t="s">
        <v>193</v>
      </c>
      <c r="F44" s="5" t="s">
        <v>222</v>
      </c>
      <c r="K44" s="5">
        <v>16</v>
      </c>
      <c r="L44" s="5">
        <v>5</v>
      </c>
      <c r="M44" s="5">
        <v>8</v>
      </c>
      <c r="N44" s="5">
        <f t="shared" si="1"/>
        <v>0.60277777777777775</v>
      </c>
      <c r="O44" s="5" t="s">
        <v>203</v>
      </c>
      <c r="P44" s="5">
        <v>494</v>
      </c>
    </row>
    <row r="45" spans="1:17" x14ac:dyDescent="0.2">
      <c r="A45" s="5">
        <v>1785</v>
      </c>
      <c r="B45" s="5" t="s">
        <v>226</v>
      </c>
      <c r="C45" s="5" t="s">
        <v>201</v>
      </c>
      <c r="D45" s="15">
        <v>30</v>
      </c>
      <c r="E45" s="5" t="s">
        <v>193</v>
      </c>
      <c r="F45" s="5" t="s">
        <v>225</v>
      </c>
      <c r="K45" s="5">
        <v>8</v>
      </c>
      <c r="L45" s="5">
        <v>10</v>
      </c>
      <c r="M45" s="5">
        <v>8</v>
      </c>
      <c r="N45" s="5">
        <f t="shared" si="1"/>
        <v>0.28416666666666668</v>
      </c>
      <c r="O45" s="5" t="s">
        <v>203</v>
      </c>
      <c r="P45" s="5">
        <v>494</v>
      </c>
    </row>
    <row r="46" spans="1:17" x14ac:dyDescent="0.2">
      <c r="A46" s="5">
        <v>1785</v>
      </c>
      <c r="B46" s="5" t="s">
        <v>200</v>
      </c>
      <c r="C46" s="5" t="s">
        <v>187</v>
      </c>
      <c r="D46" s="9">
        <v>1</v>
      </c>
      <c r="E46" s="5" t="s">
        <v>188</v>
      </c>
      <c r="F46" s="5" t="s">
        <v>208</v>
      </c>
      <c r="G46" s="5">
        <v>4</v>
      </c>
      <c r="H46" s="5">
        <v>0</v>
      </c>
      <c r="I46" s="5">
        <v>0</v>
      </c>
      <c r="J46" s="5">
        <f>((G46+(H46/8)+(I46/48))/D46)</f>
        <v>4</v>
      </c>
      <c r="N46" s="5">
        <f>((G46+(H46/8)+(I46/48))/D46)*2.4</f>
        <v>9.6</v>
      </c>
      <c r="O46" s="5" t="s">
        <v>230</v>
      </c>
      <c r="Q46" s="5" t="s">
        <v>231</v>
      </c>
    </row>
    <row r="47" spans="1:17" x14ac:dyDescent="0.2">
      <c r="A47" s="5">
        <v>1785</v>
      </c>
      <c r="B47" s="5" t="s">
        <v>200</v>
      </c>
      <c r="C47" s="5" t="s">
        <v>187</v>
      </c>
      <c r="D47" s="9">
        <v>5</v>
      </c>
      <c r="E47" s="5" t="s">
        <v>232</v>
      </c>
      <c r="F47" s="5" t="s">
        <v>233</v>
      </c>
      <c r="G47" s="5">
        <v>16</v>
      </c>
      <c r="H47" s="5">
        <v>48</v>
      </c>
      <c r="I47" s="5">
        <v>0</v>
      </c>
      <c r="J47" s="5">
        <f t="shared" ref="J47:J110" si="2">((G47+(H47/8)+(I47/48))/D47)</f>
        <v>4.4000000000000004</v>
      </c>
      <c r="N47" s="5">
        <f t="shared" ref="N47:N77" si="3">((G47+(H47/8)+(I47/48))/D47)*2.4</f>
        <v>10.56</v>
      </c>
      <c r="O47" s="5" t="s">
        <v>230</v>
      </c>
    </row>
    <row r="48" spans="1:17" x14ac:dyDescent="0.2">
      <c r="A48" s="5">
        <v>1785</v>
      </c>
      <c r="B48" s="5" t="s">
        <v>200</v>
      </c>
      <c r="C48" s="5" t="s">
        <v>187</v>
      </c>
      <c r="D48" s="9">
        <v>1</v>
      </c>
      <c r="E48" s="5" t="s">
        <v>188</v>
      </c>
      <c r="F48" s="5" t="s">
        <v>210</v>
      </c>
      <c r="G48" s="5">
        <v>5</v>
      </c>
      <c r="H48" s="5">
        <v>0</v>
      </c>
      <c r="I48" s="5">
        <v>0</v>
      </c>
      <c r="J48" s="5">
        <f t="shared" si="2"/>
        <v>5</v>
      </c>
      <c r="N48" s="5">
        <f t="shared" si="3"/>
        <v>12</v>
      </c>
      <c r="O48" s="5" t="s">
        <v>230</v>
      </c>
      <c r="Q48" s="5" t="s">
        <v>231</v>
      </c>
    </row>
    <row r="49" spans="1:22" x14ac:dyDescent="0.2">
      <c r="A49" s="5">
        <v>1785</v>
      </c>
      <c r="B49" s="5" t="s">
        <v>200</v>
      </c>
      <c r="C49" s="5" t="s">
        <v>187</v>
      </c>
      <c r="D49" s="9">
        <v>1</v>
      </c>
      <c r="E49" s="5" t="s">
        <v>188</v>
      </c>
      <c r="F49" s="5" t="s">
        <v>189</v>
      </c>
      <c r="G49" s="5">
        <v>2.85</v>
      </c>
      <c r="H49" s="5">
        <v>0</v>
      </c>
      <c r="I49" s="5">
        <v>0</v>
      </c>
      <c r="J49" s="5">
        <f t="shared" si="2"/>
        <v>2.85</v>
      </c>
      <c r="N49" s="5">
        <f t="shared" si="3"/>
        <v>6.84</v>
      </c>
      <c r="O49" s="5" t="s">
        <v>230</v>
      </c>
      <c r="Q49" s="5" t="s">
        <v>231</v>
      </c>
    </row>
    <row r="50" spans="1:22" x14ac:dyDescent="0.2">
      <c r="A50" s="5">
        <v>1786</v>
      </c>
      <c r="B50" s="5" t="s">
        <v>226</v>
      </c>
      <c r="C50" s="5" t="s">
        <v>187</v>
      </c>
      <c r="D50" s="9">
        <v>16</v>
      </c>
      <c r="E50" s="5" t="s">
        <v>188</v>
      </c>
      <c r="F50" s="5" t="s">
        <v>208</v>
      </c>
      <c r="G50" s="5">
        <v>64</v>
      </c>
      <c r="H50" s="5">
        <v>0</v>
      </c>
      <c r="I50" s="5">
        <v>0</v>
      </c>
      <c r="J50" s="5">
        <f t="shared" si="2"/>
        <v>4</v>
      </c>
      <c r="N50" s="5">
        <f t="shared" si="3"/>
        <v>9.6</v>
      </c>
      <c r="O50" s="5" t="s">
        <v>230</v>
      </c>
    </row>
    <row r="51" spans="1:22" x14ac:dyDescent="0.2">
      <c r="A51" s="5">
        <v>1786</v>
      </c>
      <c r="B51" s="5" t="s">
        <v>200</v>
      </c>
      <c r="C51" s="5" t="s">
        <v>187</v>
      </c>
      <c r="D51" s="9">
        <v>105</v>
      </c>
      <c r="E51" s="5" t="s">
        <v>232</v>
      </c>
      <c r="F51" s="5" t="s">
        <v>233</v>
      </c>
      <c r="G51" s="5">
        <v>630</v>
      </c>
      <c r="H51" s="5">
        <v>0</v>
      </c>
      <c r="I51" s="5">
        <v>0</v>
      </c>
      <c r="J51" s="5">
        <f t="shared" si="2"/>
        <v>6</v>
      </c>
      <c r="N51" s="5">
        <f t="shared" si="3"/>
        <v>14.399999999999999</v>
      </c>
      <c r="O51" s="5" t="s">
        <v>230</v>
      </c>
    </row>
    <row r="52" spans="1:22" x14ac:dyDescent="0.2">
      <c r="A52" s="5">
        <v>1786</v>
      </c>
      <c r="B52" s="5" t="s">
        <v>226</v>
      </c>
      <c r="C52" s="5" t="s">
        <v>187</v>
      </c>
      <c r="D52" s="9">
        <v>27</v>
      </c>
      <c r="E52" s="5" t="s">
        <v>188</v>
      </c>
      <c r="F52" s="5" t="s">
        <v>189</v>
      </c>
      <c r="G52" s="5">
        <v>108</v>
      </c>
      <c r="H52" s="5">
        <v>0</v>
      </c>
      <c r="I52" s="5">
        <v>0</v>
      </c>
      <c r="J52" s="5">
        <f t="shared" si="2"/>
        <v>4</v>
      </c>
      <c r="N52" s="5">
        <f t="shared" si="3"/>
        <v>9.6</v>
      </c>
      <c r="O52" s="5" t="s">
        <v>230</v>
      </c>
    </row>
    <row r="53" spans="1:22" x14ac:dyDescent="0.2">
      <c r="A53" s="5">
        <v>1786</v>
      </c>
      <c r="B53" s="5" t="s">
        <v>226</v>
      </c>
      <c r="C53" s="5" t="s">
        <v>187</v>
      </c>
      <c r="D53" s="9">
        <v>1</v>
      </c>
      <c r="E53" s="5" t="s">
        <v>193</v>
      </c>
      <c r="F53" s="5" t="s">
        <v>221</v>
      </c>
      <c r="G53" s="5">
        <v>0</v>
      </c>
      <c r="H53" s="5">
        <v>0</v>
      </c>
      <c r="I53" s="5">
        <v>3</v>
      </c>
      <c r="J53" s="5">
        <f>((G53+(H53/8)+(I53/48))/D53)</f>
        <v>6.25E-2</v>
      </c>
      <c r="N53" s="5">
        <f t="shared" si="3"/>
        <v>0.15</v>
      </c>
      <c r="O53" s="5" t="s">
        <v>230</v>
      </c>
    </row>
    <row r="54" spans="1:22" x14ac:dyDescent="0.2">
      <c r="A54" s="5">
        <v>1793</v>
      </c>
      <c r="B54" s="5" t="s">
        <v>196</v>
      </c>
      <c r="C54" s="5" t="s">
        <v>187</v>
      </c>
      <c r="D54" s="9">
        <v>10920.375</v>
      </c>
      <c r="E54" s="5" t="s">
        <v>188</v>
      </c>
      <c r="F54" s="5" t="s">
        <v>234</v>
      </c>
      <c r="G54" s="5">
        <v>27846</v>
      </c>
      <c r="H54" s="5">
        <v>1</v>
      </c>
      <c r="I54" s="5">
        <v>0</v>
      </c>
      <c r="J54" s="5">
        <f t="shared" si="2"/>
        <v>2.5499238808191111</v>
      </c>
      <c r="N54" s="14">
        <f t="shared" si="3"/>
        <v>6.1198173139658669</v>
      </c>
      <c r="O54" s="5" t="s">
        <v>235</v>
      </c>
      <c r="Q54" s="5" t="s">
        <v>231</v>
      </c>
    </row>
    <row r="55" spans="1:22" x14ac:dyDescent="0.2">
      <c r="A55" s="5">
        <v>1793</v>
      </c>
      <c r="B55" s="5" t="s">
        <v>196</v>
      </c>
      <c r="C55" s="5" t="s">
        <v>187</v>
      </c>
      <c r="D55" s="9">
        <v>3992.25</v>
      </c>
      <c r="E55" s="5" t="s">
        <v>188</v>
      </c>
      <c r="F55" s="5" t="s">
        <v>234</v>
      </c>
      <c r="G55" s="5">
        <v>11976</v>
      </c>
      <c r="H55" s="5">
        <v>6</v>
      </c>
      <c r="I55" s="5">
        <v>0</v>
      </c>
      <c r="J55" s="5">
        <f t="shared" si="2"/>
        <v>3</v>
      </c>
      <c r="N55" s="5">
        <f t="shared" si="3"/>
        <v>7.1999999999999993</v>
      </c>
      <c r="O55" s="5" t="s">
        <v>235</v>
      </c>
      <c r="Q55" s="5" t="s">
        <v>191</v>
      </c>
    </row>
    <row r="56" spans="1:22" x14ac:dyDescent="0.2">
      <c r="A56" s="5">
        <v>1794</v>
      </c>
      <c r="B56" s="5" t="s">
        <v>196</v>
      </c>
      <c r="C56" s="5" t="s">
        <v>187</v>
      </c>
      <c r="D56" s="9">
        <v>3431</v>
      </c>
      <c r="E56" s="5" t="s">
        <v>188</v>
      </c>
      <c r="F56" s="5" t="s">
        <v>234</v>
      </c>
      <c r="G56" s="5">
        <v>10293</v>
      </c>
      <c r="H56" s="5">
        <v>0</v>
      </c>
      <c r="I56" s="5">
        <v>0</v>
      </c>
      <c r="J56" s="5">
        <f t="shared" si="2"/>
        <v>3</v>
      </c>
      <c r="N56" s="5">
        <f t="shared" si="3"/>
        <v>7.1999999999999993</v>
      </c>
      <c r="O56" s="5" t="s">
        <v>235</v>
      </c>
      <c r="Q56" s="5" t="s">
        <v>191</v>
      </c>
    </row>
    <row r="57" spans="1:22" x14ac:dyDescent="0.2">
      <c r="A57" s="5">
        <v>1794</v>
      </c>
      <c r="B57" s="5" t="s">
        <v>196</v>
      </c>
      <c r="C57" s="5" t="s">
        <v>187</v>
      </c>
      <c r="D57" s="9">
        <v>15515</v>
      </c>
      <c r="E57" s="5" t="s">
        <v>188</v>
      </c>
      <c r="F57" s="5" t="s">
        <v>234</v>
      </c>
      <c r="G57" s="5">
        <v>39563</v>
      </c>
      <c r="H57" s="5">
        <v>0</v>
      </c>
      <c r="I57" s="5">
        <v>5</v>
      </c>
      <c r="J57" s="5">
        <f t="shared" si="2"/>
        <v>2.5499906004941453</v>
      </c>
      <c r="N57" s="5">
        <f t="shared" si="3"/>
        <v>6.1199774411859487</v>
      </c>
      <c r="O57" s="5" t="s">
        <v>235</v>
      </c>
      <c r="Q57" s="5" t="s">
        <v>231</v>
      </c>
    </row>
    <row r="58" spans="1:22" x14ac:dyDescent="0.2">
      <c r="A58" s="5">
        <v>1795</v>
      </c>
      <c r="B58" s="5" t="s">
        <v>236</v>
      </c>
      <c r="C58" s="5" t="s">
        <v>187</v>
      </c>
      <c r="D58" s="9">
        <v>4054.75</v>
      </c>
      <c r="E58" s="5" t="s">
        <v>188</v>
      </c>
      <c r="F58" s="5" t="s">
        <v>234</v>
      </c>
      <c r="G58" s="5">
        <v>12164</v>
      </c>
      <c r="H58" s="5">
        <v>2</v>
      </c>
      <c r="I58" s="5">
        <v>0</v>
      </c>
      <c r="J58" s="5">
        <f t="shared" si="2"/>
        <v>3</v>
      </c>
      <c r="N58" s="5">
        <f t="shared" si="3"/>
        <v>7.1999999999999993</v>
      </c>
      <c r="O58" s="5" t="s">
        <v>235</v>
      </c>
      <c r="Q58" s="5" t="s">
        <v>191</v>
      </c>
      <c r="V58" s="5" t="s">
        <v>237</v>
      </c>
    </row>
    <row r="59" spans="1:22" x14ac:dyDescent="0.2">
      <c r="A59" s="5">
        <v>1795</v>
      </c>
      <c r="B59" s="5" t="s">
        <v>236</v>
      </c>
      <c r="C59" s="5" t="s">
        <v>187</v>
      </c>
      <c r="D59" s="9">
        <v>13.25</v>
      </c>
      <c r="E59" s="5" t="s">
        <v>188</v>
      </c>
      <c r="F59" s="5" t="s">
        <v>234</v>
      </c>
      <c r="G59" s="5">
        <v>37</v>
      </c>
      <c r="H59" s="5">
        <v>4</v>
      </c>
      <c r="I59" s="5">
        <v>2</v>
      </c>
      <c r="J59" s="5">
        <f t="shared" si="2"/>
        <v>2.833333333333333</v>
      </c>
      <c r="N59" s="5">
        <f t="shared" si="3"/>
        <v>6.7999999999999989</v>
      </c>
      <c r="O59" s="5" t="s">
        <v>235</v>
      </c>
      <c r="Q59" s="5" t="s">
        <v>238</v>
      </c>
    </row>
    <row r="60" spans="1:22" x14ac:dyDescent="0.2">
      <c r="A60" s="5">
        <v>1814</v>
      </c>
      <c r="C60" s="5" t="s">
        <v>187</v>
      </c>
      <c r="D60" s="9">
        <v>80</v>
      </c>
      <c r="E60" s="5" t="s">
        <v>239</v>
      </c>
      <c r="F60" s="5" t="s">
        <v>240</v>
      </c>
      <c r="G60" s="5">
        <v>80</v>
      </c>
      <c r="H60" s="5">
        <v>0</v>
      </c>
      <c r="I60" s="5">
        <v>0</v>
      </c>
      <c r="J60" s="5">
        <f t="shared" si="2"/>
        <v>1</v>
      </c>
      <c r="N60" s="5">
        <f t="shared" si="3"/>
        <v>2.4</v>
      </c>
      <c r="O60" s="5" t="s">
        <v>241</v>
      </c>
    </row>
    <row r="61" spans="1:22" x14ac:dyDescent="0.2">
      <c r="A61" s="5">
        <v>1815</v>
      </c>
      <c r="C61" s="5" t="s">
        <v>187</v>
      </c>
      <c r="D61" s="9">
        <v>154</v>
      </c>
      <c r="E61" s="5" t="s">
        <v>188</v>
      </c>
      <c r="F61" s="5" t="s">
        <v>242</v>
      </c>
      <c r="G61" s="5">
        <v>850</v>
      </c>
      <c r="H61" s="5">
        <v>1</v>
      </c>
      <c r="I61" s="5">
        <v>0</v>
      </c>
      <c r="J61" s="5">
        <f t="shared" si="2"/>
        <v>5.5202922077922079</v>
      </c>
      <c r="N61" s="5">
        <f t="shared" si="3"/>
        <v>13.248701298701299</v>
      </c>
      <c r="O61" s="5" t="s">
        <v>241</v>
      </c>
    </row>
    <row r="62" spans="1:22" x14ac:dyDescent="0.2">
      <c r="A62" s="5">
        <v>1815</v>
      </c>
      <c r="C62" s="5" t="s">
        <v>187</v>
      </c>
      <c r="D62" s="9">
        <v>252</v>
      </c>
      <c r="E62" s="5" t="s">
        <v>188</v>
      </c>
      <c r="F62" s="5" t="s">
        <v>234</v>
      </c>
      <c r="G62" s="5">
        <v>2268</v>
      </c>
      <c r="H62" s="5">
        <v>6</v>
      </c>
      <c r="I62" s="5">
        <v>0</v>
      </c>
      <c r="J62" s="5">
        <f t="shared" si="2"/>
        <v>9.0029761904761898</v>
      </c>
      <c r="N62" s="5">
        <f t="shared" si="3"/>
        <v>21.607142857142854</v>
      </c>
      <c r="O62" s="5" t="s">
        <v>241</v>
      </c>
    </row>
    <row r="63" spans="1:22" x14ac:dyDescent="0.2">
      <c r="A63" s="5">
        <v>1815</v>
      </c>
      <c r="C63" s="5" t="s">
        <v>187</v>
      </c>
      <c r="D63" s="9">
        <v>4720</v>
      </c>
      <c r="E63" s="5" t="s">
        <v>193</v>
      </c>
      <c r="F63" s="5" t="s">
        <v>243</v>
      </c>
      <c r="G63" s="5">
        <v>3780</v>
      </c>
      <c r="H63" s="5">
        <v>1</v>
      </c>
      <c r="I63" s="5">
        <v>0</v>
      </c>
      <c r="J63" s="5">
        <f t="shared" si="2"/>
        <v>0.80087394067796613</v>
      </c>
      <c r="N63" s="5">
        <f t="shared" si="3"/>
        <v>1.9220974576271186</v>
      </c>
      <c r="O63" s="5" t="s">
        <v>241</v>
      </c>
    </row>
    <row r="64" spans="1:22" x14ac:dyDescent="0.2">
      <c r="A64" s="5">
        <v>1817</v>
      </c>
      <c r="B64" s="5" t="s">
        <v>244</v>
      </c>
      <c r="C64" s="5" t="s">
        <v>187</v>
      </c>
      <c r="D64" s="9">
        <v>100</v>
      </c>
      <c r="E64" s="5" t="s">
        <v>239</v>
      </c>
      <c r="F64" s="5" t="s">
        <v>245</v>
      </c>
      <c r="G64" s="5">
        <v>32</v>
      </c>
      <c r="H64" s="5">
        <v>0</v>
      </c>
      <c r="I64" s="5">
        <v>0</v>
      </c>
      <c r="J64" s="5">
        <f t="shared" si="2"/>
        <v>0.32</v>
      </c>
      <c r="N64" s="5">
        <f t="shared" si="3"/>
        <v>0.76800000000000002</v>
      </c>
      <c r="O64" s="5" t="s">
        <v>246</v>
      </c>
    </row>
    <row r="65" spans="1:16" x14ac:dyDescent="0.2">
      <c r="A65" s="5">
        <v>1817</v>
      </c>
      <c r="B65" s="5" t="s">
        <v>247</v>
      </c>
      <c r="C65" s="5" t="s">
        <v>187</v>
      </c>
      <c r="D65" s="9">
        <v>1</v>
      </c>
      <c r="E65" s="5" t="s">
        <v>239</v>
      </c>
      <c r="F65" s="5" t="s">
        <v>248</v>
      </c>
      <c r="G65" s="5">
        <v>0</v>
      </c>
      <c r="H65" s="5">
        <v>0</v>
      </c>
      <c r="I65" s="5">
        <v>12</v>
      </c>
      <c r="J65" s="5">
        <f t="shared" si="2"/>
        <v>0.25</v>
      </c>
      <c r="N65" s="5">
        <f t="shared" si="3"/>
        <v>0.6</v>
      </c>
      <c r="O65" s="5" t="s">
        <v>246</v>
      </c>
    </row>
    <row r="66" spans="1:16" x14ac:dyDescent="0.2">
      <c r="A66" s="5">
        <v>1817</v>
      </c>
      <c r="B66" s="5" t="s">
        <v>247</v>
      </c>
      <c r="C66" s="5" t="s">
        <v>187</v>
      </c>
      <c r="D66" s="9">
        <v>1</v>
      </c>
      <c r="E66" s="5" t="s">
        <v>239</v>
      </c>
      <c r="F66" s="5" t="s">
        <v>249</v>
      </c>
      <c r="G66" s="5">
        <v>0</v>
      </c>
      <c r="H66" s="5">
        <v>0</v>
      </c>
      <c r="I66" s="5">
        <v>6</v>
      </c>
      <c r="J66" s="5">
        <f t="shared" si="2"/>
        <v>0.125</v>
      </c>
      <c r="N66" s="5">
        <f t="shared" si="3"/>
        <v>0.3</v>
      </c>
      <c r="O66" s="5" t="s">
        <v>246</v>
      </c>
      <c r="P66" s="5">
        <f>AVERAGE(J66,J68,J69)</f>
        <v>9.0277777777777776E-2</v>
      </c>
    </row>
    <row r="67" spans="1:16" x14ac:dyDescent="0.2">
      <c r="A67" s="5">
        <v>1817</v>
      </c>
      <c r="B67" s="5" t="s">
        <v>247</v>
      </c>
      <c r="C67" s="5" t="s">
        <v>187</v>
      </c>
      <c r="D67" s="9">
        <v>1</v>
      </c>
      <c r="E67" s="5" t="s">
        <v>239</v>
      </c>
      <c r="F67" s="5" t="s">
        <v>250</v>
      </c>
      <c r="G67" s="5">
        <v>0</v>
      </c>
      <c r="H67" s="5">
        <v>0</v>
      </c>
      <c r="I67" s="5">
        <v>10</v>
      </c>
      <c r="J67" s="5">
        <f t="shared" si="2"/>
        <v>0.20833333333333334</v>
      </c>
      <c r="N67" s="5">
        <f t="shared" si="3"/>
        <v>0.5</v>
      </c>
      <c r="O67" s="5" t="s">
        <v>246</v>
      </c>
    </row>
    <row r="68" spans="1:16" x14ac:dyDescent="0.2">
      <c r="A68" s="5">
        <v>1817</v>
      </c>
      <c r="B68" s="5" t="s">
        <v>247</v>
      </c>
      <c r="C68" s="5" t="s">
        <v>187</v>
      </c>
      <c r="D68" s="9">
        <v>1</v>
      </c>
      <c r="E68" s="5" t="s">
        <v>239</v>
      </c>
      <c r="F68" s="5" t="s">
        <v>251</v>
      </c>
      <c r="G68" s="5">
        <v>0</v>
      </c>
      <c r="H68" s="5">
        <v>0</v>
      </c>
      <c r="I68" s="5">
        <v>4</v>
      </c>
      <c r="J68" s="5">
        <f t="shared" si="2"/>
        <v>8.3333333333333329E-2</v>
      </c>
      <c r="N68" s="5">
        <f t="shared" si="3"/>
        <v>0.19999999999999998</v>
      </c>
      <c r="O68" s="5" t="s">
        <v>246</v>
      </c>
    </row>
    <row r="69" spans="1:16" x14ac:dyDescent="0.2">
      <c r="A69" s="5">
        <v>1817</v>
      </c>
      <c r="B69" s="5" t="s">
        <v>247</v>
      </c>
      <c r="C69" s="5" t="s">
        <v>187</v>
      </c>
      <c r="D69" s="9">
        <v>2</v>
      </c>
      <c r="E69" s="5" t="s">
        <v>239</v>
      </c>
      <c r="F69" s="5" t="s">
        <v>252</v>
      </c>
      <c r="G69" s="5">
        <v>0</v>
      </c>
      <c r="H69" s="5">
        <v>0</v>
      </c>
      <c r="I69" s="5">
        <v>6</v>
      </c>
      <c r="J69" s="5">
        <f t="shared" si="2"/>
        <v>6.25E-2</v>
      </c>
      <c r="N69" s="5">
        <f t="shared" si="3"/>
        <v>0.15</v>
      </c>
      <c r="O69" s="5" t="s">
        <v>246</v>
      </c>
    </row>
    <row r="70" spans="1:16" x14ac:dyDescent="0.2">
      <c r="A70" s="5">
        <v>1819</v>
      </c>
      <c r="B70" s="5" t="s">
        <v>253</v>
      </c>
      <c r="C70" s="5" t="s">
        <v>187</v>
      </c>
      <c r="D70" s="9">
        <v>1</v>
      </c>
      <c r="E70" s="5" t="s">
        <v>239</v>
      </c>
      <c r="F70" s="5" t="s">
        <v>248</v>
      </c>
      <c r="G70" s="5">
        <v>0</v>
      </c>
      <c r="H70" s="5">
        <v>0</v>
      </c>
      <c r="I70" s="5">
        <v>12</v>
      </c>
      <c r="J70" s="5">
        <f t="shared" si="2"/>
        <v>0.25</v>
      </c>
      <c r="N70" s="5">
        <f t="shared" si="3"/>
        <v>0.6</v>
      </c>
      <c r="O70" s="5" t="s">
        <v>246</v>
      </c>
    </row>
    <row r="71" spans="1:16" x14ac:dyDescent="0.2">
      <c r="A71" s="5">
        <v>1819</v>
      </c>
      <c r="B71" s="5" t="s">
        <v>253</v>
      </c>
      <c r="C71" s="5" t="s">
        <v>187</v>
      </c>
      <c r="D71" s="9">
        <v>100</v>
      </c>
      <c r="E71" s="5" t="s">
        <v>239</v>
      </c>
      <c r="F71" s="5" t="s">
        <v>254</v>
      </c>
      <c r="G71" s="5">
        <v>30</v>
      </c>
      <c r="H71" s="5">
        <v>0</v>
      </c>
      <c r="I71" s="5">
        <v>0</v>
      </c>
      <c r="J71" s="5">
        <f t="shared" si="2"/>
        <v>0.3</v>
      </c>
      <c r="N71" s="5">
        <f t="shared" si="3"/>
        <v>0.72</v>
      </c>
      <c r="O71" s="5" t="s">
        <v>246</v>
      </c>
    </row>
    <row r="72" spans="1:16" x14ac:dyDescent="0.2">
      <c r="A72" s="5">
        <v>1819</v>
      </c>
      <c r="B72" s="5" t="s">
        <v>253</v>
      </c>
      <c r="C72" s="5" t="s">
        <v>187</v>
      </c>
      <c r="D72" s="9">
        <v>1</v>
      </c>
      <c r="E72" s="5" t="s">
        <v>255</v>
      </c>
      <c r="F72" s="5" t="s">
        <v>249</v>
      </c>
      <c r="G72" s="5">
        <v>0</v>
      </c>
      <c r="H72" s="5">
        <v>0</v>
      </c>
      <c r="I72" s="5">
        <v>8</v>
      </c>
      <c r="J72" s="5">
        <f t="shared" si="2"/>
        <v>0.16666666666666666</v>
      </c>
      <c r="N72" s="5">
        <f t="shared" si="3"/>
        <v>0.39999999999999997</v>
      </c>
      <c r="O72" s="5" t="s">
        <v>246</v>
      </c>
      <c r="P72" s="5">
        <f>AVERAGE(J72:J74)</f>
        <v>0.11805555555555554</v>
      </c>
    </row>
    <row r="73" spans="1:16" x14ac:dyDescent="0.2">
      <c r="A73" s="5">
        <v>1819</v>
      </c>
      <c r="B73" s="5" t="s">
        <v>253</v>
      </c>
      <c r="C73" s="5" t="s">
        <v>187</v>
      </c>
      <c r="D73" s="9">
        <v>1</v>
      </c>
      <c r="E73" s="5" t="s">
        <v>239</v>
      </c>
      <c r="F73" s="5" t="s">
        <v>251</v>
      </c>
      <c r="G73" s="5">
        <v>0</v>
      </c>
      <c r="H73" s="5">
        <v>0</v>
      </c>
      <c r="I73" s="5">
        <v>5</v>
      </c>
      <c r="J73" s="5">
        <f t="shared" si="2"/>
        <v>0.10416666666666667</v>
      </c>
      <c r="N73" s="5">
        <f t="shared" si="3"/>
        <v>0.25</v>
      </c>
      <c r="O73" s="5" t="s">
        <v>246</v>
      </c>
    </row>
    <row r="74" spans="1:16" x14ac:dyDescent="0.2">
      <c r="A74" s="5">
        <v>1819</v>
      </c>
      <c r="B74" s="5" t="s">
        <v>253</v>
      </c>
      <c r="C74" s="5" t="s">
        <v>187</v>
      </c>
      <c r="D74" s="9">
        <v>1</v>
      </c>
      <c r="E74" s="5" t="s">
        <v>239</v>
      </c>
      <c r="F74" s="5" t="s">
        <v>252</v>
      </c>
      <c r="G74" s="5">
        <v>0</v>
      </c>
      <c r="H74" s="5">
        <v>0</v>
      </c>
      <c r="I74" s="5">
        <v>4</v>
      </c>
      <c r="J74" s="5">
        <f t="shared" si="2"/>
        <v>8.3333333333333329E-2</v>
      </c>
      <c r="N74" s="5">
        <f t="shared" si="3"/>
        <v>0.19999999999999998</v>
      </c>
      <c r="O74" s="5" t="s">
        <v>246</v>
      </c>
    </row>
    <row r="75" spans="1:16" x14ac:dyDescent="0.2">
      <c r="A75" s="5">
        <v>1823</v>
      </c>
      <c r="B75" s="5" t="s">
        <v>186</v>
      </c>
      <c r="C75" s="5" t="s">
        <v>187</v>
      </c>
      <c r="D75" s="9">
        <v>1</v>
      </c>
      <c r="E75" s="5" t="s">
        <v>239</v>
      </c>
      <c r="F75" s="5" t="s">
        <v>248</v>
      </c>
      <c r="G75" s="5">
        <v>0</v>
      </c>
      <c r="H75" s="5">
        <v>0</v>
      </c>
      <c r="I75" s="5">
        <v>15</v>
      </c>
      <c r="J75" s="5">
        <f t="shared" si="2"/>
        <v>0.3125</v>
      </c>
      <c r="N75" s="5">
        <f t="shared" si="3"/>
        <v>0.75</v>
      </c>
      <c r="O75" s="5" t="s">
        <v>246</v>
      </c>
    </row>
    <row r="76" spans="1:16" x14ac:dyDescent="0.2">
      <c r="A76" s="5">
        <v>1823</v>
      </c>
      <c r="B76" s="5" t="s">
        <v>186</v>
      </c>
      <c r="C76" s="5" t="s">
        <v>187</v>
      </c>
      <c r="D76" s="9">
        <v>100</v>
      </c>
      <c r="E76" s="5" t="s">
        <v>239</v>
      </c>
      <c r="F76" s="5" t="s">
        <v>254</v>
      </c>
      <c r="G76" s="5">
        <v>27.5</v>
      </c>
      <c r="H76" s="5">
        <v>0</v>
      </c>
      <c r="I76" s="5">
        <v>0</v>
      </c>
      <c r="J76" s="5">
        <f t="shared" si="2"/>
        <v>0.27500000000000002</v>
      </c>
      <c r="N76" s="5">
        <f t="shared" si="3"/>
        <v>0.66</v>
      </c>
      <c r="O76" s="5" t="s">
        <v>246</v>
      </c>
    </row>
    <row r="77" spans="1:16" x14ac:dyDescent="0.2">
      <c r="A77" s="5">
        <v>1823</v>
      </c>
      <c r="B77" s="5" t="s">
        <v>186</v>
      </c>
      <c r="C77" s="5" t="s">
        <v>187</v>
      </c>
      <c r="D77" s="9">
        <v>1</v>
      </c>
      <c r="E77" s="5" t="s">
        <v>239</v>
      </c>
      <c r="F77" s="5" t="s">
        <v>249</v>
      </c>
      <c r="G77" s="5">
        <v>0</v>
      </c>
      <c r="H77" s="5">
        <v>0</v>
      </c>
      <c r="I77" s="5">
        <v>7</v>
      </c>
      <c r="J77" s="5">
        <f t="shared" si="2"/>
        <v>0.14583333333333334</v>
      </c>
      <c r="N77" s="5">
        <f t="shared" si="3"/>
        <v>0.35000000000000003</v>
      </c>
      <c r="O77" s="5" t="s">
        <v>246</v>
      </c>
      <c r="P77" s="5">
        <f>AVERAGE(J77,J80:J81)</f>
        <v>0.13541666666666666</v>
      </c>
    </row>
    <row r="78" spans="1:16" x14ac:dyDescent="0.2">
      <c r="A78" s="5">
        <v>1823</v>
      </c>
      <c r="B78" s="5" t="s">
        <v>186</v>
      </c>
      <c r="C78" s="5" t="s">
        <v>187</v>
      </c>
      <c r="D78" s="9">
        <v>1</v>
      </c>
      <c r="E78" s="5" t="s">
        <v>239</v>
      </c>
      <c r="F78" s="5" t="s">
        <v>256</v>
      </c>
      <c r="G78" s="5">
        <v>0</v>
      </c>
      <c r="H78" s="5">
        <v>0</v>
      </c>
      <c r="I78" s="5">
        <v>9</v>
      </c>
      <c r="J78" s="5">
        <f t="shared" si="2"/>
        <v>0.1875</v>
      </c>
      <c r="N78" s="5">
        <f t="shared" ref="N78:N109" si="4">((G78+(H78/8)+(I78/48))/D78)*2.4</f>
        <v>0.44999999999999996</v>
      </c>
      <c r="O78" s="5" t="s">
        <v>246</v>
      </c>
    </row>
    <row r="79" spans="1:16" x14ac:dyDescent="0.2">
      <c r="A79" s="5">
        <v>1823</v>
      </c>
      <c r="B79" s="5" t="s">
        <v>186</v>
      </c>
      <c r="C79" s="5" t="s">
        <v>187</v>
      </c>
      <c r="D79" s="9">
        <v>1</v>
      </c>
      <c r="E79" s="5" t="s">
        <v>239</v>
      </c>
      <c r="F79" s="5" t="s">
        <v>257</v>
      </c>
      <c r="G79" s="5">
        <v>0</v>
      </c>
      <c r="H79" s="5">
        <v>0</v>
      </c>
      <c r="I79" s="5">
        <v>13</v>
      </c>
      <c r="J79" s="5">
        <f t="shared" si="2"/>
        <v>0.27083333333333331</v>
      </c>
      <c r="N79" s="5">
        <f t="shared" si="4"/>
        <v>0.64999999999999991</v>
      </c>
      <c r="O79" s="5" t="s">
        <v>246</v>
      </c>
    </row>
    <row r="80" spans="1:16" x14ac:dyDescent="0.2">
      <c r="A80" s="5">
        <v>1823</v>
      </c>
      <c r="B80" s="5" t="s">
        <v>186</v>
      </c>
      <c r="C80" s="5" t="s">
        <v>187</v>
      </c>
      <c r="D80" s="9">
        <v>1</v>
      </c>
      <c r="E80" s="5" t="s">
        <v>239</v>
      </c>
      <c r="F80" s="5" t="s">
        <v>251</v>
      </c>
      <c r="G80" s="5">
        <v>0</v>
      </c>
      <c r="H80" s="5">
        <v>0</v>
      </c>
      <c r="I80" s="5">
        <v>7</v>
      </c>
      <c r="J80" s="5">
        <f t="shared" si="2"/>
        <v>0.14583333333333334</v>
      </c>
      <c r="N80" s="5">
        <f t="shared" si="4"/>
        <v>0.35000000000000003</v>
      </c>
      <c r="O80" s="5" t="s">
        <v>246</v>
      </c>
    </row>
    <row r="81" spans="1:16" x14ac:dyDescent="0.2">
      <c r="A81" s="5">
        <v>1823</v>
      </c>
      <c r="B81" s="5" t="s">
        <v>186</v>
      </c>
      <c r="C81" s="5" t="s">
        <v>187</v>
      </c>
      <c r="D81" s="9">
        <v>1</v>
      </c>
      <c r="E81" s="5" t="s">
        <v>239</v>
      </c>
      <c r="F81" s="5" t="s">
        <v>252</v>
      </c>
      <c r="G81" s="5">
        <v>0</v>
      </c>
      <c r="H81" s="5">
        <v>0</v>
      </c>
      <c r="I81" s="5">
        <v>5.5</v>
      </c>
      <c r="J81" s="5">
        <f t="shared" si="2"/>
        <v>0.11458333333333333</v>
      </c>
      <c r="N81" s="5">
        <f t="shared" si="4"/>
        <v>0.27499999999999997</v>
      </c>
      <c r="O81" s="5" t="s">
        <v>246</v>
      </c>
    </row>
    <row r="82" spans="1:16" x14ac:dyDescent="0.2">
      <c r="A82" s="5">
        <v>1818</v>
      </c>
      <c r="B82" s="5" t="s">
        <v>236</v>
      </c>
      <c r="C82" s="5" t="s">
        <v>187</v>
      </c>
      <c r="D82" s="9">
        <v>94</v>
      </c>
      <c r="E82" s="5" t="s">
        <v>188</v>
      </c>
      <c r="F82" s="5" t="s">
        <v>234</v>
      </c>
      <c r="G82" s="5">
        <v>2004</v>
      </c>
      <c r="H82" s="5">
        <v>4</v>
      </c>
      <c r="I82" s="5">
        <v>0</v>
      </c>
      <c r="J82" s="5">
        <f t="shared" si="2"/>
        <v>21.324468085106382</v>
      </c>
      <c r="N82" s="5">
        <f t="shared" si="4"/>
        <v>51.178723404255315</v>
      </c>
      <c r="O82" s="5" t="s">
        <v>258</v>
      </c>
    </row>
    <row r="83" spans="1:16" x14ac:dyDescent="0.2">
      <c r="A83" s="5">
        <v>1819</v>
      </c>
      <c r="B83" s="5" t="s">
        <v>192</v>
      </c>
      <c r="C83" s="5" t="s">
        <v>187</v>
      </c>
      <c r="D83" s="9">
        <v>1400</v>
      </c>
      <c r="E83" s="5" t="s">
        <v>193</v>
      </c>
      <c r="F83" s="5" t="s">
        <v>259</v>
      </c>
      <c r="G83" s="5">
        <v>280</v>
      </c>
      <c r="H83" s="5">
        <v>0</v>
      </c>
      <c r="I83" s="5">
        <v>0</v>
      </c>
      <c r="J83" s="5">
        <f t="shared" si="2"/>
        <v>0.2</v>
      </c>
      <c r="N83" s="5">
        <f t="shared" si="4"/>
        <v>0.48</v>
      </c>
      <c r="O83" s="5" t="s">
        <v>258</v>
      </c>
    </row>
    <row r="84" spans="1:16" x14ac:dyDescent="0.2">
      <c r="A84" s="5">
        <v>1819</v>
      </c>
      <c r="B84" s="5" t="s">
        <v>260</v>
      </c>
      <c r="C84" s="5" t="s">
        <v>187</v>
      </c>
      <c r="D84" s="9">
        <v>250</v>
      </c>
      <c r="E84" s="5" t="s">
        <v>188</v>
      </c>
      <c r="F84" s="5" t="s">
        <v>216</v>
      </c>
      <c r="G84" s="5">
        <v>4803</v>
      </c>
      <c r="H84" s="5">
        <v>7</v>
      </c>
      <c r="I84" s="5">
        <v>0</v>
      </c>
      <c r="J84" s="5">
        <f t="shared" si="2"/>
        <v>19.215499999999999</v>
      </c>
      <c r="N84" s="5">
        <f t="shared" si="4"/>
        <v>46.117199999999997</v>
      </c>
      <c r="O84" s="5" t="s">
        <v>258</v>
      </c>
    </row>
    <row r="85" spans="1:16" x14ac:dyDescent="0.2">
      <c r="A85" s="5">
        <v>1819</v>
      </c>
      <c r="B85" s="5" t="s">
        <v>192</v>
      </c>
      <c r="C85" s="5" t="s">
        <v>187</v>
      </c>
      <c r="D85" s="9">
        <v>43</v>
      </c>
      <c r="E85" s="5" t="s">
        <v>188</v>
      </c>
      <c r="F85" s="5" t="s">
        <v>216</v>
      </c>
      <c r="G85" s="5">
        <v>867</v>
      </c>
      <c r="H85" s="5">
        <v>3</v>
      </c>
      <c r="I85" s="5">
        <v>5</v>
      </c>
      <c r="J85" s="5">
        <f t="shared" si="2"/>
        <v>20.173934108527131</v>
      </c>
      <c r="N85" s="5">
        <f t="shared" si="4"/>
        <v>48.417441860465111</v>
      </c>
      <c r="O85" s="5" t="s">
        <v>258</v>
      </c>
    </row>
    <row r="86" spans="1:16" x14ac:dyDescent="0.2">
      <c r="A86" s="5">
        <v>1819</v>
      </c>
      <c r="B86" s="5" t="s">
        <v>186</v>
      </c>
      <c r="C86" s="5" t="s">
        <v>187</v>
      </c>
      <c r="D86" s="9">
        <v>17</v>
      </c>
      <c r="E86" s="5" t="s">
        <v>188</v>
      </c>
      <c r="F86" s="5" t="s">
        <v>216</v>
      </c>
      <c r="G86" s="5">
        <v>349</v>
      </c>
      <c r="H86" s="5">
        <v>4</v>
      </c>
      <c r="I86" s="5">
        <v>4</v>
      </c>
      <c r="J86" s="5">
        <f t="shared" si="2"/>
        <v>20.563725490196077</v>
      </c>
      <c r="N86" s="5">
        <f t="shared" si="4"/>
        <v>49.352941176470587</v>
      </c>
      <c r="O86" s="5" t="s">
        <v>258</v>
      </c>
    </row>
    <row r="87" spans="1:16" x14ac:dyDescent="0.2">
      <c r="A87" s="5">
        <v>1819</v>
      </c>
      <c r="B87" s="5" t="s">
        <v>197</v>
      </c>
      <c r="C87" s="5" t="s">
        <v>187</v>
      </c>
      <c r="D87" s="9">
        <v>86</v>
      </c>
      <c r="E87" s="5" t="s">
        <v>188</v>
      </c>
      <c r="F87" s="5" t="s">
        <v>234</v>
      </c>
      <c r="G87" s="5">
        <v>1367</v>
      </c>
      <c r="H87" s="5">
        <v>7</v>
      </c>
      <c r="I87" s="5">
        <v>4</v>
      </c>
      <c r="J87" s="5">
        <f t="shared" si="2"/>
        <v>15.906492248062015</v>
      </c>
      <c r="N87" s="5">
        <f t="shared" si="4"/>
        <v>38.175581395348836</v>
      </c>
      <c r="O87" s="5" t="s">
        <v>258</v>
      </c>
      <c r="P87" s="5">
        <f>AVERAGE(N87:N98)</f>
        <v>45.544223321158434</v>
      </c>
    </row>
    <row r="88" spans="1:16" x14ac:dyDescent="0.2">
      <c r="A88" s="5">
        <v>1819</v>
      </c>
      <c r="B88" s="5" t="s">
        <v>196</v>
      </c>
      <c r="C88" s="5" t="s">
        <v>187</v>
      </c>
      <c r="D88" s="9">
        <v>113</v>
      </c>
      <c r="E88" s="5" t="s">
        <v>188</v>
      </c>
      <c r="F88" s="5" t="s">
        <v>234</v>
      </c>
      <c r="G88" s="5">
        <v>1852</v>
      </c>
      <c r="H88" s="5">
        <v>1</v>
      </c>
      <c r="I88" s="5">
        <v>4</v>
      </c>
      <c r="J88" s="5">
        <f t="shared" si="2"/>
        <v>16.391224188790559</v>
      </c>
      <c r="N88" s="5">
        <f t="shared" si="4"/>
        <v>39.338938053097344</v>
      </c>
      <c r="O88" s="5" t="s">
        <v>258</v>
      </c>
    </row>
    <row r="89" spans="1:16" x14ac:dyDescent="0.2">
      <c r="A89" s="5">
        <v>1819</v>
      </c>
      <c r="B89" s="5" t="s">
        <v>253</v>
      </c>
      <c r="C89" s="5" t="s">
        <v>187</v>
      </c>
      <c r="D89" s="9">
        <v>110.5</v>
      </c>
      <c r="E89" s="5" t="s">
        <v>188</v>
      </c>
      <c r="F89" s="5" t="s">
        <v>234</v>
      </c>
      <c r="G89" s="5">
        <v>2177</v>
      </c>
      <c r="H89" s="5">
        <v>4</v>
      </c>
      <c r="I89" s="5">
        <v>0</v>
      </c>
      <c r="J89" s="5">
        <f t="shared" si="2"/>
        <v>19.705882352941178</v>
      </c>
      <c r="N89" s="5">
        <f t="shared" si="4"/>
        <v>47.294117647058826</v>
      </c>
      <c r="O89" s="5" t="s">
        <v>258</v>
      </c>
    </row>
    <row r="90" spans="1:16" x14ac:dyDescent="0.2">
      <c r="A90" s="5">
        <v>1819</v>
      </c>
      <c r="B90" s="5" t="s">
        <v>261</v>
      </c>
      <c r="C90" s="5" t="s">
        <v>187</v>
      </c>
      <c r="D90" s="9">
        <v>50</v>
      </c>
      <c r="E90" s="5" t="s">
        <v>188</v>
      </c>
      <c r="F90" s="5" t="s">
        <v>234</v>
      </c>
      <c r="G90" s="5">
        <v>1012</v>
      </c>
      <c r="H90" s="5">
        <v>2</v>
      </c>
      <c r="I90" s="5">
        <v>4</v>
      </c>
      <c r="J90" s="5">
        <f t="shared" si="2"/>
        <v>20.246666666666666</v>
      </c>
      <c r="N90" s="5">
        <f t="shared" si="4"/>
        <v>48.591999999999999</v>
      </c>
      <c r="O90" s="5" t="s">
        <v>258</v>
      </c>
    </row>
    <row r="91" spans="1:16" x14ac:dyDescent="0.2">
      <c r="A91" s="5">
        <v>1819</v>
      </c>
      <c r="B91" s="5" t="s">
        <v>260</v>
      </c>
      <c r="C91" s="5" t="s">
        <v>187</v>
      </c>
      <c r="D91" s="9">
        <v>69</v>
      </c>
      <c r="E91" s="5" t="s">
        <v>188</v>
      </c>
      <c r="F91" s="5" t="s">
        <v>234</v>
      </c>
      <c r="G91" s="5">
        <v>1929</v>
      </c>
      <c r="H91" s="5">
        <v>7</v>
      </c>
      <c r="I91" s="5">
        <v>2</v>
      </c>
      <c r="J91" s="5">
        <f t="shared" si="2"/>
        <v>27.969806763285025</v>
      </c>
      <c r="N91" s="5">
        <f t="shared" si="4"/>
        <v>67.127536231884051</v>
      </c>
      <c r="O91" s="5" t="s">
        <v>258</v>
      </c>
    </row>
    <row r="92" spans="1:16" x14ac:dyDescent="0.2">
      <c r="A92" s="5">
        <v>1819</v>
      </c>
      <c r="B92" s="5" t="s">
        <v>244</v>
      </c>
      <c r="C92" s="5" t="s">
        <v>187</v>
      </c>
      <c r="D92" s="9">
        <v>127</v>
      </c>
      <c r="E92" s="5" t="s">
        <v>188</v>
      </c>
      <c r="F92" s="5" t="s">
        <v>234</v>
      </c>
      <c r="G92" s="5">
        <v>2328</v>
      </c>
      <c r="H92" s="5">
        <v>6</v>
      </c>
      <c r="I92" s="5">
        <v>0</v>
      </c>
      <c r="J92" s="5">
        <f t="shared" si="2"/>
        <v>18.336614173228348</v>
      </c>
      <c r="N92" s="5">
        <f t="shared" si="4"/>
        <v>44.007874015748037</v>
      </c>
      <c r="O92" s="5" t="s">
        <v>258</v>
      </c>
    </row>
    <row r="93" spans="1:16" x14ac:dyDescent="0.2">
      <c r="A93" s="5">
        <v>1819</v>
      </c>
      <c r="B93" s="5" t="s">
        <v>247</v>
      </c>
      <c r="C93" s="5" t="s">
        <v>187</v>
      </c>
      <c r="D93" s="9">
        <v>130</v>
      </c>
      <c r="E93" s="5" t="s">
        <v>188</v>
      </c>
      <c r="F93" s="5" t="s">
        <v>234</v>
      </c>
      <c r="G93" s="5">
        <v>2400</v>
      </c>
      <c r="H93" s="5">
        <v>6</v>
      </c>
      <c r="I93" s="5">
        <v>4</v>
      </c>
      <c r="J93" s="5">
        <f t="shared" si="2"/>
        <v>18.467948717948719</v>
      </c>
      <c r="N93" s="5">
        <f t="shared" si="4"/>
        <v>44.323076923076925</v>
      </c>
      <c r="O93" s="5" t="s">
        <v>258</v>
      </c>
    </row>
    <row r="94" spans="1:16" x14ac:dyDescent="0.2">
      <c r="A94" s="5">
        <v>1819</v>
      </c>
      <c r="B94" s="5" t="s">
        <v>226</v>
      </c>
      <c r="C94" s="5" t="s">
        <v>187</v>
      </c>
      <c r="D94" s="9">
        <v>50</v>
      </c>
      <c r="E94" s="5" t="s">
        <v>188</v>
      </c>
      <c r="F94" s="5" t="s">
        <v>234</v>
      </c>
      <c r="G94" s="5">
        <v>943</v>
      </c>
      <c r="H94" s="5">
        <v>5</v>
      </c>
      <c r="I94" s="5">
        <v>5</v>
      </c>
      <c r="J94" s="5">
        <f t="shared" si="2"/>
        <v>18.874583333333334</v>
      </c>
      <c r="N94" s="5">
        <f t="shared" si="4"/>
        <v>45.298999999999999</v>
      </c>
      <c r="O94" s="5" t="s">
        <v>258</v>
      </c>
    </row>
    <row r="95" spans="1:16" x14ac:dyDescent="0.2">
      <c r="A95" s="5">
        <v>1819</v>
      </c>
      <c r="B95" s="5" t="s">
        <v>200</v>
      </c>
      <c r="C95" s="5" t="s">
        <v>187</v>
      </c>
      <c r="D95" s="9">
        <v>78</v>
      </c>
      <c r="E95" s="5" t="s">
        <v>188</v>
      </c>
      <c r="F95" s="5" t="s">
        <v>234</v>
      </c>
      <c r="G95" s="5">
        <v>1476</v>
      </c>
      <c r="H95" s="5">
        <v>5</v>
      </c>
      <c r="I95" s="5">
        <v>3</v>
      </c>
      <c r="J95" s="5">
        <f t="shared" si="2"/>
        <v>18.931891025641026</v>
      </c>
      <c r="N95" s="5">
        <f t="shared" si="4"/>
        <v>45.436538461538461</v>
      </c>
      <c r="O95" s="5" t="s">
        <v>258</v>
      </c>
    </row>
    <row r="96" spans="1:16" x14ac:dyDescent="0.2">
      <c r="A96" s="5">
        <v>1819</v>
      </c>
      <c r="B96" s="5" t="s">
        <v>192</v>
      </c>
      <c r="C96" s="5" t="s">
        <v>187</v>
      </c>
      <c r="D96" s="9">
        <v>76</v>
      </c>
      <c r="E96" s="5" t="s">
        <v>188</v>
      </c>
      <c r="F96" s="5" t="s">
        <v>234</v>
      </c>
      <c r="G96" s="5">
        <v>1384</v>
      </c>
      <c r="H96" s="5">
        <v>3</v>
      </c>
      <c r="I96" s="5">
        <v>1</v>
      </c>
      <c r="J96" s="5">
        <f t="shared" si="2"/>
        <v>18.215734649122805</v>
      </c>
      <c r="N96" s="5">
        <f t="shared" si="4"/>
        <v>43.71776315789473</v>
      </c>
      <c r="O96" s="5" t="s">
        <v>258</v>
      </c>
    </row>
    <row r="97" spans="1:16" x14ac:dyDescent="0.2">
      <c r="A97" s="5">
        <v>1819</v>
      </c>
      <c r="B97" s="5" t="s">
        <v>186</v>
      </c>
      <c r="C97" s="5" t="s">
        <v>187</v>
      </c>
      <c r="D97" s="9">
        <v>84</v>
      </c>
      <c r="E97" s="5" t="s">
        <v>188</v>
      </c>
      <c r="F97" s="5" t="s">
        <v>234</v>
      </c>
      <c r="G97" s="5">
        <v>1440</v>
      </c>
      <c r="H97" s="5">
        <v>1</v>
      </c>
      <c r="I97" s="5">
        <v>4</v>
      </c>
      <c r="J97" s="5">
        <f t="shared" si="2"/>
        <v>17.145337301587301</v>
      </c>
      <c r="N97" s="5">
        <f t="shared" si="4"/>
        <v>41.148809523809518</v>
      </c>
      <c r="O97" s="5" t="s">
        <v>258</v>
      </c>
    </row>
    <row r="98" spans="1:16" x14ac:dyDescent="0.2">
      <c r="A98" s="5">
        <v>1819</v>
      </c>
      <c r="B98" s="5" t="s">
        <v>236</v>
      </c>
      <c r="C98" s="5" t="s">
        <v>187</v>
      </c>
      <c r="D98" s="9">
        <v>108</v>
      </c>
      <c r="E98" s="5" t="s">
        <v>188</v>
      </c>
      <c r="F98" s="5" t="s">
        <v>234</v>
      </c>
      <c r="G98" s="5">
        <v>1893</v>
      </c>
      <c r="H98" s="5">
        <v>1</v>
      </c>
      <c r="I98" s="5">
        <v>0</v>
      </c>
      <c r="J98" s="5">
        <f t="shared" si="2"/>
        <v>17.528935185185187</v>
      </c>
      <c r="N98" s="5">
        <f t="shared" si="4"/>
        <v>42.06944444444445</v>
      </c>
      <c r="O98" s="5" t="s">
        <v>258</v>
      </c>
    </row>
    <row r="99" spans="1:16" x14ac:dyDescent="0.2">
      <c r="A99" s="5">
        <v>1820</v>
      </c>
      <c r="B99" s="5" t="s">
        <v>261</v>
      </c>
      <c r="C99" s="5" t="s">
        <v>187</v>
      </c>
      <c r="D99" s="9">
        <v>142</v>
      </c>
      <c r="E99" s="5" t="s">
        <v>188</v>
      </c>
      <c r="F99" s="5" t="s">
        <v>234</v>
      </c>
      <c r="G99" s="5">
        <v>1136</v>
      </c>
      <c r="H99" s="5">
        <v>0</v>
      </c>
      <c r="I99" s="5">
        <v>0</v>
      </c>
      <c r="J99" s="5">
        <f t="shared" si="2"/>
        <v>8</v>
      </c>
      <c r="N99" s="5">
        <f t="shared" si="4"/>
        <v>19.2</v>
      </c>
      <c r="O99" s="5" t="s">
        <v>262</v>
      </c>
      <c r="P99" s="5">
        <f>AVERAGE(N99:N107)</f>
        <v>17.031070584262075</v>
      </c>
    </row>
    <row r="100" spans="1:16" x14ac:dyDescent="0.2">
      <c r="A100" s="5">
        <v>1820</v>
      </c>
      <c r="B100" s="5" t="s">
        <v>260</v>
      </c>
      <c r="C100" s="5" t="s">
        <v>187</v>
      </c>
      <c r="D100" s="9">
        <v>100</v>
      </c>
      <c r="E100" s="5" t="s">
        <v>188</v>
      </c>
      <c r="F100" s="5" t="s">
        <v>234</v>
      </c>
      <c r="G100" s="5">
        <v>800</v>
      </c>
      <c r="H100" s="5">
        <v>0</v>
      </c>
      <c r="I100" s="5">
        <v>0</v>
      </c>
      <c r="J100" s="5">
        <f t="shared" si="2"/>
        <v>8</v>
      </c>
      <c r="N100" s="5">
        <f t="shared" si="4"/>
        <v>19.2</v>
      </c>
      <c r="O100" s="5" t="s">
        <v>262</v>
      </c>
    </row>
    <row r="101" spans="1:16" x14ac:dyDescent="0.2">
      <c r="A101" s="5">
        <v>1820</v>
      </c>
      <c r="B101" s="5" t="s">
        <v>244</v>
      </c>
      <c r="C101" s="5" t="s">
        <v>187</v>
      </c>
      <c r="D101" s="9">
        <v>329</v>
      </c>
      <c r="E101" s="5" t="s">
        <v>188</v>
      </c>
      <c r="F101" s="5" t="s">
        <v>234</v>
      </c>
      <c r="G101" s="5">
        <v>2434</v>
      </c>
      <c r="H101" s="5">
        <v>0</v>
      </c>
      <c r="I101" s="5">
        <v>0</v>
      </c>
      <c r="J101" s="5">
        <f t="shared" si="2"/>
        <v>7.3981762917933134</v>
      </c>
      <c r="N101" s="5">
        <f t="shared" si="4"/>
        <v>17.75562310030395</v>
      </c>
      <c r="O101" s="5" t="s">
        <v>262</v>
      </c>
    </row>
    <row r="102" spans="1:16" x14ac:dyDescent="0.2">
      <c r="A102" s="5">
        <v>1820</v>
      </c>
      <c r="B102" s="5" t="s">
        <v>247</v>
      </c>
      <c r="C102" s="5" t="s">
        <v>187</v>
      </c>
      <c r="D102" s="9">
        <v>141</v>
      </c>
      <c r="E102" s="5" t="s">
        <v>188</v>
      </c>
      <c r="F102" s="5" t="s">
        <v>234</v>
      </c>
      <c r="G102" s="5">
        <v>1048</v>
      </c>
      <c r="H102" s="5">
        <v>0</v>
      </c>
      <c r="I102" s="5">
        <v>0</v>
      </c>
      <c r="J102" s="5">
        <f t="shared" si="2"/>
        <v>7.4326241134751774</v>
      </c>
      <c r="N102" s="5">
        <f t="shared" si="4"/>
        <v>17.838297872340426</v>
      </c>
      <c r="O102" s="5" t="s">
        <v>262</v>
      </c>
    </row>
    <row r="103" spans="1:16" x14ac:dyDescent="0.2">
      <c r="A103" s="5">
        <v>1820</v>
      </c>
      <c r="B103" s="5" t="s">
        <v>226</v>
      </c>
      <c r="C103" s="5" t="s">
        <v>187</v>
      </c>
      <c r="D103" s="9">
        <v>26</v>
      </c>
      <c r="E103" s="5" t="s">
        <v>188</v>
      </c>
      <c r="F103" s="5" t="s">
        <v>234</v>
      </c>
      <c r="G103" s="5">
        <v>156</v>
      </c>
      <c r="H103" s="5">
        <v>0</v>
      </c>
      <c r="I103" s="5">
        <v>0</v>
      </c>
      <c r="J103" s="5">
        <f t="shared" si="2"/>
        <v>6</v>
      </c>
      <c r="N103" s="5">
        <f t="shared" si="4"/>
        <v>14.399999999999999</v>
      </c>
      <c r="O103" s="5" t="s">
        <v>262</v>
      </c>
    </row>
    <row r="104" spans="1:16" x14ac:dyDescent="0.2">
      <c r="A104" s="5">
        <v>1820</v>
      </c>
      <c r="B104" s="5" t="s">
        <v>200</v>
      </c>
      <c r="C104" s="5" t="s">
        <v>187</v>
      </c>
      <c r="D104" s="9">
        <v>35</v>
      </c>
      <c r="E104" s="5" t="s">
        <v>188</v>
      </c>
      <c r="F104" s="5" t="s">
        <v>234</v>
      </c>
      <c r="G104" s="5">
        <v>210</v>
      </c>
      <c r="H104" s="5">
        <v>0</v>
      </c>
      <c r="I104" s="5">
        <v>0</v>
      </c>
      <c r="J104" s="5">
        <f t="shared" si="2"/>
        <v>6</v>
      </c>
      <c r="N104" s="5">
        <f t="shared" si="4"/>
        <v>14.399999999999999</v>
      </c>
      <c r="O104" s="5" t="s">
        <v>262</v>
      </c>
    </row>
    <row r="105" spans="1:16" x14ac:dyDescent="0.2">
      <c r="A105" s="5">
        <v>1820</v>
      </c>
      <c r="B105" s="5" t="s">
        <v>192</v>
      </c>
      <c r="C105" s="5" t="s">
        <v>187</v>
      </c>
      <c r="D105" s="9">
        <v>35</v>
      </c>
      <c r="E105" s="5" t="s">
        <v>188</v>
      </c>
      <c r="F105" s="5" t="s">
        <v>234</v>
      </c>
      <c r="G105" s="5">
        <v>315</v>
      </c>
      <c r="H105" s="5">
        <v>0</v>
      </c>
      <c r="I105" s="5">
        <v>0</v>
      </c>
      <c r="J105" s="5">
        <f t="shared" si="2"/>
        <v>9</v>
      </c>
      <c r="N105" s="5">
        <f t="shared" si="4"/>
        <v>21.599999999999998</v>
      </c>
      <c r="O105" s="5" t="s">
        <v>262</v>
      </c>
    </row>
    <row r="106" spans="1:16" x14ac:dyDescent="0.2">
      <c r="A106" s="5">
        <v>1820</v>
      </c>
      <c r="B106" s="5" t="s">
        <v>186</v>
      </c>
      <c r="C106" s="5" t="s">
        <v>187</v>
      </c>
      <c r="D106" s="9">
        <v>20</v>
      </c>
      <c r="E106" s="5" t="s">
        <v>188</v>
      </c>
      <c r="F106" s="5" t="s">
        <v>234</v>
      </c>
      <c r="G106" s="5">
        <v>120</v>
      </c>
      <c r="H106" s="5">
        <v>0</v>
      </c>
      <c r="I106" s="5">
        <v>0</v>
      </c>
      <c r="J106" s="5">
        <f t="shared" si="2"/>
        <v>6</v>
      </c>
      <c r="N106" s="5">
        <f t="shared" si="4"/>
        <v>14.399999999999999</v>
      </c>
      <c r="O106" s="5" t="s">
        <v>262</v>
      </c>
    </row>
    <row r="107" spans="1:16" x14ac:dyDescent="0.2">
      <c r="A107" s="5">
        <v>1820</v>
      </c>
      <c r="B107" s="5" t="s">
        <v>236</v>
      </c>
      <c r="C107" s="5" t="s">
        <v>187</v>
      </c>
      <c r="D107" s="9">
        <v>14</v>
      </c>
      <c r="E107" s="5" t="s">
        <v>188</v>
      </c>
      <c r="F107" s="5" t="s">
        <v>234</v>
      </c>
      <c r="G107" s="5">
        <v>84</v>
      </c>
      <c r="H107" s="5">
        <v>4</v>
      </c>
      <c r="I107" s="5">
        <v>0</v>
      </c>
      <c r="J107" s="5">
        <f t="shared" si="2"/>
        <v>6.0357142857142856</v>
      </c>
      <c r="N107" s="5">
        <f t="shared" si="4"/>
        <v>14.485714285714284</v>
      </c>
      <c r="O107" s="5" t="s">
        <v>262</v>
      </c>
    </row>
    <row r="108" spans="1:16" x14ac:dyDescent="0.2">
      <c r="A108" s="5">
        <v>1821</v>
      </c>
      <c r="B108" s="5" t="s">
        <v>197</v>
      </c>
      <c r="C108" s="5" t="s">
        <v>187</v>
      </c>
      <c r="D108" s="9">
        <v>10</v>
      </c>
      <c r="E108" s="5" t="s">
        <v>188</v>
      </c>
      <c r="F108" s="5" t="s">
        <v>234</v>
      </c>
      <c r="G108" s="5">
        <v>190</v>
      </c>
      <c r="H108" s="5">
        <v>0</v>
      </c>
      <c r="I108" s="5">
        <v>0</v>
      </c>
      <c r="J108" s="5">
        <f t="shared" si="2"/>
        <v>19</v>
      </c>
      <c r="N108" s="5">
        <f t="shared" si="4"/>
        <v>45.6</v>
      </c>
      <c r="O108" s="5" t="s">
        <v>262</v>
      </c>
      <c r="P108" s="5">
        <f>AVERAGE(N108:N111)</f>
        <v>46.56545454545455</v>
      </c>
    </row>
    <row r="109" spans="1:16" x14ac:dyDescent="0.2">
      <c r="A109" s="5">
        <v>1821</v>
      </c>
      <c r="B109" s="5" t="s">
        <v>196</v>
      </c>
      <c r="C109" s="5" t="s">
        <v>187</v>
      </c>
      <c r="D109" s="9">
        <v>10</v>
      </c>
      <c r="E109" s="5" t="s">
        <v>188</v>
      </c>
      <c r="F109" s="5" t="s">
        <v>234</v>
      </c>
      <c r="G109" s="5">
        <v>190</v>
      </c>
      <c r="H109" s="5">
        <v>0</v>
      </c>
      <c r="I109" s="5">
        <v>0</v>
      </c>
      <c r="J109" s="5">
        <f t="shared" si="2"/>
        <v>19</v>
      </c>
      <c r="N109" s="5">
        <f t="shared" si="4"/>
        <v>45.6</v>
      </c>
      <c r="O109" s="5" t="s">
        <v>262</v>
      </c>
    </row>
    <row r="110" spans="1:16" x14ac:dyDescent="0.2">
      <c r="A110" s="5">
        <v>1821</v>
      </c>
      <c r="B110" s="5" t="s">
        <v>253</v>
      </c>
      <c r="C110" s="5" t="s">
        <v>187</v>
      </c>
      <c r="D110" s="9">
        <v>50</v>
      </c>
      <c r="E110" s="5" t="s">
        <v>188</v>
      </c>
      <c r="F110" s="5" t="s">
        <v>234</v>
      </c>
      <c r="G110" s="5">
        <v>950</v>
      </c>
      <c r="H110" s="5">
        <v>0</v>
      </c>
      <c r="I110" s="5">
        <v>0</v>
      </c>
      <c r="J110" s="5">
        <f t="shared" si="2"/>
        <v>19</v>
      </c>
      <c r="N110" s="5">
        <f t="shared" ref="N110:N118" si="5">((G110+(H110/8)+(I110/48))/D110)*2.4</f>
        <v>45.6</v>
      </c>
      <c r="O110" s="5" t="s">
        <v>262</v>
      </c>
    </row>
    <row r="111" spans="1:16" x14ac:dyDescent="0.2">
      <c r="A111" s="5">
        <v>1821</v>
      </c>
      <c r="B111" s="5" t="s">
        <v>236</v>
      </c>
      <c r="C111" s="5" t="s">
        <v>187</v>
      </c>
      <c r="D111" s="9">
        <v>110</v>
      </c>
      <c r="E111" s="5" t="s">
        <v>188</v>
      </c>
      <c r="F111" s="5" t="s">
        <v>234</v>
      </c>
      <c r="G111" s="5">
        <v>2267</v>
      </c>
      <c r="H111" s="5">
        <v>0</v>
      </c>
      <c r="I111" s="5">
        <v>0</v>
      </c>
      <c r="J111" s="5">
        <f t="shared" ref="J111:J118" si="6">((G111+(H111/8)+(I111/48))/D111)</f>
        <v>20.609090909090909</v>
      </c>
      <c r="N111" s="5">
        <f t="shared" si="5"/>
        <v>49.461818181818181</v>
      </c>
      <c r="O111" s="5" t="s">
        <v>262</v>
      </c>
    </row>
    <row r="112" spans="1:16" x14ac:dyDescent="0.2">
      <c r="A112" s="5">
        <v>1822</v>
      </c>
      <c r="B112" s="5" t="s">
        <v>197</v>
      </c>
      <c r="C112" s="5" t="s">
        <v>187</v>
      </c>
      <c r="D112" s="9">
        <v>20</v>
      </c>
      <c r="E112" s="5" t="s">
        <v>188</v>
      </c>
      <c r="F112" s="5" t="s">
        <v>234</v>
      </c>
      <c r="G112" s="5">
        <v>410</v>
      </c>
      <c r="H112" s="5">
        <v>0</v>
      </c>
      <c r="I112" s="5">
        <v>0</v>
      </c>
      <c r="J112" s="5">
        <f t="shared" si="6"/>
        <v>20.5</v>
      </c>
      <c r="N112" s="5">
        <f t="shared" si="5"/>
        <v>49.199999999999996</v>
      </c>
      <c r="O112" s="5" t="s">
        <v>262</v>
      </c>
      <c r="P112" s="5">
        <f>AVERAGE(N112,N114:N115)</f>
        <v>50.160000000000004</v>
      </c>
    </row>
    <row r="113" spans="1:15" x14ac:dyDescent="0.2">
      <c r="A113" s="5">
        <v>1822</v>
      </c>
      <c r="B113" s="5" t="s">
        <v>196</v>
      </c>
      <c r="C113" s="5" t="s">
        <v>187</v>
      </c>
      <c r="D113" s="9">
        <v>78</v>
      </c>
      <c r="E113" s="5" t="s">
        <v>188</v>
      </c>
      <c r="F113" s="5" t="s">
        <v>234</v>
      </c>
      <c r="G113" s="5">
        <v>211</v>
      </c>
      <c r="H113" s="5">
        <v>0</v>
      </c>
      <c r="I113" s="5">
        <v>0</v>
      </c>
      <c r="J113" s="5">
        <f t="shared" si="6"/>
        <v>2.7051282051282053</v>
      </c>
      <c r="N113" s="5">
        <f t="shared" si="5"/>
        <v>6.4923076923076923</v>
      </c>
      <c r="O113" s="5" t="s">
        <v>262</v>
      </c>
    </row>
    <row r="114" spans="1:15" x14ac:dyDescent="0.2">
      <c r="A114" s="5">
        <v>1822</v>
      </c>
      <c r="B114" s="5" t="s">
        <v>263</v>
      </c>
      <c r="C114" s="5" t="s">
        <v>187</v>
      </c>
      <c r="D114" s="9">
        <v>20</v>
      </c>
      <c r="E114" s="5" t="s">
        <v>188</v>
      </c>
      <c r="F114" s="5" t="s">
        <v>234</v>
      </c>
      <c r="G114" s="5">
        <v>422</v>
      </c>
      <c r="H114" s="5">
        <v>0</v>
      </c>
      <c r="I114" s="5">
        <v>0</v>
      </c>
      <c r="J114" s="5">
        <f t="shared" si="6"/>
        <v>21.1</v>
      </c>
      <c r="N114" s="5">
        <f t="shared" si="5"/>
        <v>50.64</v>
      </c>
      <c r="O114" s="5" t="s">
        <v>262</v>
      </c>
    </row>
    <row r="115" spans="1:15" x14ac:dyDescent="0.2">
      <c r="A115" s="5">
        <v>1822</v>
      </c>
      <c r="B115" s="5" t="s">
        <v>260</v>
      </c>
      <c r="C115" s="5" t="s">
        <v>187</v>
      </c>
      <c r="D115" s="9">
        <v>20</v>
      </c>
      <c r="E115" s="5" t="s">
        <v>188</v>
      </c>
      <c r="F115" s="5" t="s">
        <v>234</v>
      </c>
      <c r="G115" s="5">
        <v>422</v>
      </c>
      <c r="H115" s="5">
        <v>0</v>
      </c>
      <c r="I115" s="5">
        <v>0</v>
      </c>
      <c r="J115" s="5">
        <f t="shared" si="6"/>
        <v>21.1</v>
      </c>
      <c r="N115" s="5">
        <f t="shared" si="5"/>
        <v>50.64</v>
      </c>
      <c r="O115" s="5" t="s">
        <v>262</v>
      </c>
    </row>
    <row r="116" spans="1:15" x14ac:dyDescent="0.2">
      <c r="A116" s="5">
        <v>1805</v>
      </c>
      <c r="B116" s="5" t="s">
        <v>197</v>
      </c>
      <c r="C116" s="5" t="s">
        <v>187</v>
      </c>
      <c r="D116" s="9">
        <v>92</v>
      </c>
      <c r="E116" s="5" t="s">
        <v>232</v>
      </c>
      <c r="F116" s="5" t="s">
        <v>233</v>
      </c>
      <c r="G116" s="5">
        <v>414</v>
      </c>
      <c r="H116" s="5">
        <v>0</v>
      </c>
      <c r="I116" s="5">
        <v>0</v>
      </c>
      <c r="J116" s="5">
        <f t="shared" si="6"/>
        <v>4.5</v>
      </c>
      <c r="N116" s="5">
        <f t="shared" si="5"/>
        <v>10.799999999999999</v>
      </c>
      <c r="O116" s="5" t="s">
        <v>264</v>
      </c>
    </row>
    <row r="117" spans="1:15" x14ac:dyDescent="0.2">
      <c r="A117" s="5">
        <v>1805</v>
      </c>
      <c r="B117" s="5" t="s">
        <v>197</v>
      </c>
      <c r="C117" s="5" t="s">
        <v>187</v>
      </c>
      <c r="D117" s="9">
        <v>1</v>
      </c>
      <c r="E117" s="5" t="s">
        <v>193</v>
      </c>
      <c r="F117" s="5" t="s">
        <v>265</v>
      </c>
      <c r="G117" s="5">
        <v>0</v>
      </c>
      <c r="H117" s="5">
        <v>0</v>
      </c>
      <c r="I117" s="5">
        <v>5</v>
      </c>
      <c r="J117" s="5">
        <f t="shared" si="6"/>
        <v>0.10416666666666667</v>
      </c>
      <c r="N117" s="5">
        <f t="shared" si="5"/>
        <v>0.25</v>
      </c>
      <c r="O117" s="5" t="s">
        <v>264</v>
      </c>
    </row>
    <row r="118" spans="1:15" x14ac:dyDescent="0.2">
      <c r="A118" s="5">
        <v>1805</v>
      </c>
      <c r="B118" s="5" t="s">
        <v>197</v>
      </c>
      <c r="C118" s="5" t="s">
        <v>187</v>
      </c>
      <c r="D118" s="9">
        <v>550</v>
      </c>
      <c r="E118" s="5" t="s">
        <v>188</v>
      </c>
      <c r="F118" s="5" t="s">
        <v>189</v>
      </c>
      <c r="G118" s="5">
        <v>2502</v>
      </c>
      <c r="H118" s="5">
        <v>0</v>
      </c>
      <c r="I118" s="5">
        <v>0</v>
      </c>
      <c r="J118" s="5">
        <f t="shared" si="6"/>
        <v>4.5490909090909089</v>
      </c>
      <c r="N118" s="5">
        <f t="shared" si="5"/>
        <v>10.917818181818181</v>
      </c>
      <c r="O118" s="5" t="s">
        <v>264</v>
      </c>
    </row>
  </sheetData>
  <sortState ref="A2:W118">
    <sortCondition ref="O2:O118"/>
    <sortCondition ref="A2:A118"/>
  </sortState>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30"/>
  <sheetViews>
    <sheetView workbookViewId="0">
      <pane ySplit="1" topLeftCell="A715" activePane="bottomLeft" state="frozen"/>
      <selection activeCell="J51" sqref="J51"/>
      <selection pane="bottomLeft" activeCell="J684" sqref="J684"/>
    </sheetView>
  </sheetViews>
  <sheetFormatPr baseColWidth="10" defaultColWidth="8.83203125" defaultRowHeight="13" x14ac:dyDescent="0.15"/>
  <cols>
    <col min="6" max="6" width="20.5" customWidth="1"/>
  </cols>
  <sheetData>
    <row r="1" spans="1:14" ht="15" x14ac:dyDescent="0.2">
      <c r="A1" s="11" t="s">
        <v>171</v>
      </c>
      <c r="B1" s="11" t="s">
        <v>172</v>
      </c>
      <c r="C1" s="11" t="s">
        <v>173</v>
      </c>
      <c r="D1" s="32" t="s">
        <v>174</v>
      </c>
      <c r="E1" s="11" t="s">
        <v>175</v>
      </c>
      <c r="F1" s="11" t="s">
        <v>176</v>
      </c>
      <c r="G1" s="11" t="s">
        <v>85</v>
      </c>
      <c r="H1" s="11" t="s">
        <v>180</v>
      </c>
      <c r="I1" s="11" t="s">
        <v>181</v>
      </c>
      <c r="J1" s="11" t="s">
        <v>266</v>
      </c>
      <c r="K1" s="11" t="s">
        <v>183</v>
      </c>
      <c r="L1" s="11" t="s">
        <v>267</v>
      </c>
      <c r="M1" s="11" t="s">
        <v>184</v>
      </c>
      <c r="N1" s="11" t="s">
        <v>185</v>
      </c>
    </row>
    <row r="2" spans="1:14" x14ac:dyDescent="0.15">
      <c r="A2" s="107">
        <v>1718</v>
      </c>
      <c r="B2" s="107" t="s">
        <v>253</v>
      </c>
      <c r="C2" s="107" t="s">
        <v>268</v>
      </c>
      <c r="D2" s="25">
        <v>6</v>
      </c>
      <c r="E2" s="107" t="s">
        <v>188</v>
      </c>
      <c r="F2" s="107" t="s">
        <v>269</v>
      </c>
      <c r="G2" s="107">
        <v>81</v>
      </c>
      <c r="H2" s="107">
        <v>0</v>
      </c>
      <c r="I2" s="107">
        <v>0</v>
      </c>
      <c r="J2" s="107">
        <f t="shared" ref="J2:J65" si="0">(G2+H2/20+I2/320)/D2</f>
        <v>13.5</v>
      </c>
      <c r="K2" s="107">
        <v>5702</v>
      </c>
      <c r="L2" s="107"/>
      <c r="M2" s="107"/>
      <c r="N2" s="107"/>
    </row>
    <row r="3" spans="1:14" x14ac:dyDescent="0.15">
      <c r="A3" s="107">
        <v>1742</v>
      </c>
      <c r="B3" s="107" t="s">
        <v>196</v>
      </c>
      <c r="C3" s="107" t="s">
        <v>268</v>
      </c>
      <c r="D3" s="25">
        <v>8</v>
      </c>
      <c r="E3" s="107" t="s">
        <v>188</v>
      </c>
      <c r="F3" s="107" t="s">
        <v>269</v>
      </c>
      <c r="G3" s="107">
        <v>54</v>
      </c>
      <c r="H3" s="107">
        <v>0</v>
      </c>
      <c r="I3" s="107">
        <v>0</v>
      </c>
      <c r="J3" s="107">
        <f t="shared" si="0"/>
        <v>6.75</v>
      </c>
      <c r="K3" s="107">
        <v>6123</v>
      </c>
      <c r="L3" s="107"/>
      <c r="M3" s="107"/>
      <c r="N3" s="107"/>
    </row>
    <row r="4" spans="1:14" x14ac:dyDescent="0.15">
      <c r="A4" s="107">
        <v>1744</v>
      </c>
      <c r="B4" s="107" t="s">
        <v>253</v>
      </c>
      <c r="C4" s="107" t="s">
        <v>268</v>
      </c>
      <c r="D4" s="25">
        <v>10</v>
      </c>
      <c r="E4" s="107" t="s">
        <v>188</v>
      </c>
      <c r="F4" s="107" t="s">
        <v>269</v>
      </c>
      <c r="G4" s="107">
        <v>54</v>
      </c>
      <c r="H4" s="107">
        <v>0</v>
      </c>
      <c r="I4" s="107">
        <v>0</v>
      </c>
      <c r="J4" s="107">
        <f t="shared" si="0"/>
        <v>5.4</v>
      </c>
      <c r="K4" s="107">
        <v>6160</v>
      </c>
      <c r="L4" s="107"/>
      <c r="M4" s="107"/>
      <c r="N4" s="107"/>
    </row>
    <row r="5" spans="1:14" x14ac:dyDescent="0.15">
      <c r="A5" s="107">
        <v>1745</v>
      </c>
      <c r="B5" s="107" t="s">
        <v>261</v>
      </c>
      <c r="C5" s="107" t="s">
        <v>268</v>
      </c>
      <c r="D5" s="25">
        <v>10</v>
      </c>
      <c r="E5" s="107" t="s">
        <v>188</v>
      </c>
      <c r="F5" s="107" t="s">
        <v>269</v>
      </c>
      <c r="G5" s="107">
        <v>54</v>
      </c>
      <c r="H5" s="107">
        <v>0</v>
      </c>
      <c r="I5" s="107">
        <v>0</v>
      </c>
      <c r="J5" s="107">
        <f t="shared" si="0"/>
        <v>5.4</v>
      </c>
      <c r="K5" s="107">
        <v>6176</v>
      </c>
      <c r="L5" s="107"/>
      <c r="M5" s="107"/>
      <c r="N5" s="107"/>
    </row>
    <row r="6" spans="1:14" x14ac:dyDescent="0.15">
      <c r="A6" s="107">
        <v>1747</v>
      </c>
      <c r="B6" s="107" t="s">
        <v>247</v>
      </c>
      <c r="C6" s="107" t="s">
        <v>268</v>
      </c>
      <c r="D6" s="25">
        <v>10</v>
      </c>
      <c r="E6" s="107" t="s">
        <v>188</v>
      </c>
      <c r="F6" s="107" t="s">
        <v>269</v>
      </c>
      <c r="G6" s="107">
        <v>54</v>
      </c>
      <c r="H6" s="107">
        <v>0</v>
      </c>
      <c r="I6" s="107">
        <v>0</v>
      </c>
      <c r="J6" s="107">
        <f t="shared" si="0"/>
        <v>5.4</v>
      </c>
      <c r="K6" s="107">
        <v>6207</v>
      </c>
      <c r="L6" s="107"/>
      <c r="M6" s="107"/>
      <c r="N6" s="107"/>
    </row>
    <row r="7" spans="1:14" x14ac:dyDescent="0.15">
      <c r="A7" s="107">
        <v>1748</v>
      </c>
      <c r="B7" s="107" t="s">
        <v>260</v>
      </c>
      <c r="C7" s="107" t="s">
        <v>268</v>
      </c>
      <c r="D7" s="25">
        <v>10</v>
      </c>
      <c r="E7" s="107" t="s">
        <v>188</v>
      </c>
      <c r="F7" s="107" t="s">
        <v>269</v>
      </c>
      <c r="G7" s="107">
        <v>54</v>
      </c>
      <c r="H7" s="107">
        <v>0</v>
      </c>
      <c r="I7" s="107">
        <v>0</v>
      </c>
      <c r="J7" s="107">
        <f t="shared" si="0"/>
        <v>5.4</v>
      </c>
      <c r="K7" s="107">
        <v>6218</v>
      </c>
      <c r="L7" s="107"/>
      <c r="M7" s="107"/>
      <c r="N7" s="107"/>
    </row>
    <row r="8" spans="1:14" x14ac:dyDescent="0.15">
      <c r="A8" s="107">
        <v>1749</v>
      </c>
      <c r="B8" s="107" t="s">
        <v>253</v>
      </c>
      <c r="C8" s="107" t="s">
        <v>268</v>
      </c>
      <c r="D8" s="25">
        <v>10</v>
      </c>
      <c r="E8" s="107" t="s">
        <v>188</v>
      </c>
      <c r="F8" s="107" t="s">
        <v>269</v>
      </c>
      <c r="G8" s="107">
        <v>54</v>
      </c>
      <c r="H8" s="107">
        <v>0</v>
      </c>
      <c r="I8" s="107">
        <v>0</v>
      </c>
      <c r="J8" s="107">
        <f t="shared" si="0"/>
        <v>5.4</v>
      </c>
      <c r="K8" s="107">
        <v>6233</v>
      </c>
      <c r="L8" s="107"/>
      <c r="M8" s="107"/>
      <c r="N8" s="107"/>
    </row>
    <row r="9" spans="1:14" x14ac:dyDescent="0.15">
      <c r="A9" s="107">
        <v>1750</v>
      </c>
      <c r="B9" s="107" t="s">
        <v>197</v>
      </c>
      <c r="C9" s="107" t="s">
        <v>268</v>
      </c>
      <c r="D9" s="25">
        <v>10</v>
      </c>
      <c r="E9" s="107" t="s">
        <v>188</v>
      </c>
      <c r="F9" s="107" t="s">
        <v>269</v>
      </c>
      <c r="G9" s="107">
        <v>54</v>
      </c>
      <c r="H9" s="107">
        <v>0</v>
      </c>
      <c r="I9" s="107">
        <v>0</v>
      </c>
      <c r="J9" s="107">
        <f t="shared" si="0"/>
        <v>5.4</v>
      </c>
      <c r="K9" s="107">
        <v>6254</v>
      </c>
      <c r="L9" s="107"/>
      <c r="M9" s="107"/>
      <c r="N9" s="107"/>
    </row>
    <row r="10" spans="1:14" x14ac:dyDescent="0.15">
      <c r="A10" s="107">
        <v>1751</v>
      </c>
      <c r="B10" s="107" t="s">
        <v>196</v>
      </c>
      <c r="C10" s="107" t="s">
        <v>268</v>
      </c>
      <c r="D10" s="25">
        <v>10</v>
      </c>
      <c r="E10" s="107" t="s">
        <v>188</v>
      </c>
      <c r="F10" s="107" t="s">
        <v>269</v>
      </c>
      <c r="G10" s="107">
        <v>54</v>
      </c>
      <c r="H10" s="107">
        <v>0</v>
      </c>
      <c r="I10" s="107">
        <v>0</v>
      </c>
      <c r="J10" s="107">
        <f t="shared" si="0"/>
        <v>5.4</v>
      </c>
      <c r="K10" s="107">
        <v>6270</v>
      </c>
      <c r="L10" s="107"/>
      <c r="M10" s="107"/>
      <c r="N10" s="107"/>
    </row>
    <row r="11" spans="1:14" x14ac:dyDescent="0.15">
      <c r="A11" s="107">
        <v>1752</v>
      </c>
      <c r="B11" s="107" t="s">
        <v>260</v>
      </c>
      <c r="C11" s="107" t="s">
        <v>268</v>
      </c>
      <c r="D11" s="25">
        <v>10</v>
      </c>
      <c r="E11" s="107" t="s">
        <v>188</v>
      </c>
      <c r="F11" s="107" t="s">
        <v>269</v>
      </c>
      <c r="G11" s="107">
        <v>54</v>
      </c>
      <c r="H11" s="107">
        <v>0</v>
      </c>
      <c r="I11" s="107">
        <v>0</v>
      </c>
      <c r="J11" s="107">
        <f t="shared" si="0"/>
        <v>5.4</v>
      </c>
      <c r="K11" s="107">
        <v>6286</v>
      </c>
      <c r="L11" s="107"/>
      <c r="M11" s="107"/>
      <c r="N11" s="107"/>
    </row>
    <row r="12" spans="1:14" x14ac:dyDescent="0.15">
      <c r="A12" s="107">
        <v>1753</v>
      </c>
      <c r="B12" s="107" t="s">
        <v>196</v>
      </c>
      <c r="C12" s="107" t="s">
        <v>268</v>
      </c>
      <c r="D12" s="25">
        <v>10</v>
      </c>
      <c r="E12" s="107" t="s">
        <v>188</v>
      </c>
      <c r="F12" s="107" t="s">
        <v>269</v>
      </c>
      <c r="G12" s="107">
        <v>54</v>
      </c>
      <c r="H12" s="107">
        <v>0</v>
      </c>
      <c r="I12" s="107">
        <v>0</v>
      </c>
      <c r="J12" s="107">
        <f t="shared" si="0"/>
        <v>5.4</v>
      </c>
      <c r="K12" s="107">
        <v>6303</v>
      </c>
      <c r="L12" s="107"/>
      <c r="M12" s="107"/>
      <c r="N12" s="107"/>
    </row>
    <row r="13" spans="1:14" x14ac:dyDescent="0.15">
      <c r="A13" s="107">
        <v>1754</v>
      </c>
      <c r="B13" s="107" t="s">
        <v>196</v>
      </c>
      <c r="C13" s="107" t="s">
        <v>268</v>
      </c>
      <c r="D13" s="25">
        <v>10</v>
      </c>
      <c r="E13" s="107" t="s">
        <v>188</v>
      </c>
      <c r="F13" s="107" t="s">
        <v>269</v>
      </c>
      <c r="G13" s="107">
        <v>54</v>
      </c>
      <c r="H13" s="107">
        <v>0</v>
      </c>
      <c r="I13" s="107">
        <v>0</v>
      </c>
      <c r="J13" s="107">
        <f t="shared" si="0"/>
        <v>5.4</v>
      </c>
      <c r="K13" s="107">
        <v>6314</v>
      </c>
      <c r="L13" s="107"/>
      <c r="M13" s="107"/>
      <c r="N13" s="107"/>
    </row>
    <row r="14" spans="1:14" x14ac:dyDescent="0.15">
      <c r="A14" s="107">
        <v>1755</v>
      </c>
      <c r="B14" s="107" t="s">
        <v>226</v>
      </c>
      <c r="C14" s="107" t="s">
        <v>268</v>
      </c>
      <c r="D14" s="25">
        <v>8</v>
      </c>
      <c r="E14" s="107" t="s">
        <v>188</v>
      </c>
      <c r="F14" s="107" t="s">
        <v>269</v>
      </c>
      <c r="G14" s="107">
        <v>43</v>
      </c>
      <c r="H14" s="107">
        <v>4</v>
      </c>
      <c r="I14" s="107">
        <v>0</v>
      </c>
      <c r="J14" s="107">
        <f t="shared" si="0"/>
        <v>5.4</v>
      </c>
      <c r="K14" s="107">
        <v>6316</v>
      </c>
      <c r="L14" s="107"/>
      <c r="M14" s="107"/>
      <c r="N14" s="107"/>
    </row>
    <row r="15" spans="1:14" x14ac:dyDescent="0.15">
      <c r="A15" s="107">
        <v>1756</v>
      </c>
      <c r="B15" s="107" t="s">
        <v>197</v>
      </c>
      <c r="C15" s="107" t="s">
        <v>268</v>
      </c>
      <c r="D15" s="25">
        <v>10</v>
      </c>
      <c r="E15" s="107" t="s">
        <v>188</v>
      </c>
      <c r="F15" s="107" t="s">
        <v>269</v>
      </c>
      <c r="G15" s="107">
        <v>54</v>
      </c>
      <c r="H15" s="107">
        <v>0</v>
      </c>
      <c r="I15" s="107">
        <v>0</v>
      </c>
      <c r="J15" s="107">
        <f t="shared" si="0"/>
        <v>5.4</v>
      </c>
      <c r="K15" s="107">
        <v>6333</v>
      </c>
      <c r="L15" s="107"/>
      <c r="M15" s="107"/>
      <c r="N15" s="107"/>
    </row>
    <row r="16" spans="1:14" x14ac:dyDescent="0.15">
      <c r="A16" s="107">
        <v>1757</v>
      </c>
      <c r="B16" s="107" t="s">
        <v>186</v>
      </c>
      <c r="C16" s="107" t="s">
        <v>268</v>
      </c>
      <c r="D16" s="25">
        <v>10</v>
      </c>
      <c r="E16" s="107" t="s">
        <v>188</v>
      </c>
      <c r="F16" s="107" t="s">
        <v>269</v>
      </c>
      <c r="G16" s="107">
        <v>54</v>
      </c>
      <c r="H16" s="107">
        <v>0</v>
      </c>
      <c r="I16" s="107">
        <v>0</v>
      </c>
      <c r="J16" s="107">
        <f t="shared" si="0"/>
        <v>5.4</v>
      </c>
      <c r="K16" s="107">
        <v>6354</v>
      </c>
      <c r="L16" s="107"/>
      <c r="M16" s="107"/>
      <c r="N16" s="107"/>
    </row>
    <row r="17" spans="1:11" x14ac:dyDescent="0.15">
      <c r="A17" s="107">
        <v>1759</v>
      </c>
      <c r="B17" s="107" t="s">
        <v>261</v>
      </c>
      <c r="C17" s="107" t="s">
        <v>268</v>
      </c>
      <c r="D17" s="25">
        <v>15</v>
      </c>
      <c r="E17" s="107" t="s">
        <v>188</v>
      </c>
      <c r="F17" s="107" t="s">
        <v>269</v>
      </c>
      <c r="G17" s="107">
        <v>81</v>
      </c>
      <c r="H17" s="107">
        <v>0</v>
      </c>
      <c r="I17" s="107">
        <v>0</v>
      </c>
      <c r="J17" s="107">
        <f t="shared" si="0"/>
        <v>5.4</v>
      </c>
      <c r="K17" s="107">
        <v>6364</v>
      </c>
    </row>
    <row r="18" spans="1:11" x14ac:dyDescent="0.15">
      <c r="A18" s="107">
        <v>1759</v>
      </c>
      <c r="B18" s="107" t="s">
        <v>261</v>
      </c>
      <c r="C18" s="107" t="s">
        <v>268</v>
      </c>
      <c r="D18" s="25">
        <v>10</v>
      </c>
      <c r="E18" s="107" t="s">
        <v>188</v>
      </c>
      <c r="F18" s="107" t="s">
        <v>269</v>
      </c>
      <c r="G18" s="107">
        <v>54</v>
      </c>
      <c r="H18" s="107">
        <v>0</v>
      </c>
      <c r="I18" s="107">
        <v>0</v>
      </c>
      <c r="J18" s="107">
        <f t="shared" si="0"/>
        <v>5.4</v>
      </c>
      <c r="K18" s="107">
        <v>6374</v>
      </c>
    </row>
    <row r="19" spans="1:11" x14ac:dyDescent="0.15">
      <c r="A19" s="107">
        <v>1760</v>
      </c>
      <c r="B19" s="107" t="s">
        <v>244</v>
      </c>
      <c r="C19" s="107" t="s">
        <v>268</v>
      </c>
      <c r="D19" s="25">
        <v>5</v>
      </c>
      <c r="E19" s="107" t="s">
        <v>188</v>
      </c>
      <c r="F19" s="107" t="s">
        <v>269</v>
      </c>
      <c r="G19" s="107">
        <v>27</v>
      </c>
      <c r="H19" s="107">
        <v>0</v>
      </c>
      <c r="I19" s="107">
        <v>0</v>
      </c>
      <c r="J19" s="107">
        <f t="shared" si="0"/>
        <v>5.4</v>
      </c>
      <c r="K19" s="107">
        <v>6374</v>
      </c>
    </row>
    <row r="20" spans="1:11" x14ac:dyDescent="0.15">
      <c r="A20" s="107">
        <v>1761</v>
      </c>
      <c r="B20" s="107" t="s">
        <v>260</v>
      </c>
      <c r="C20" s="107" t="s">
        <v>268</v>
      </c>
      <c r="D20" s="25">
        <v>5</v>
      </c>
      <c r="E20" s="107" t="s">
        <v>188</v>
      </c>
      <c r="F20" s="107" t="s">
        <v>269</v>
      </c>
      <c r="G20" s="107">
        <v>27</v>
      </c>
      <c r="H20" s="107">
        <v>0</v>
      </c>
      <c r="I20" s="107">
        <v>0</v>
      </c>
      <c r="J20" s="107">
        <f t="shared" si="0"/>
        <v>5.4</v>
      </c>
      <c r="K20" s="107">
        <v>6388</v>
      </c>
    </row>
    <row r="21" spans="1:11" x14ac:dyDescent="0.15">
      <c r="A21" s="107">
        <v>1761</v>
      </c>
      <c r="B21" s="107" t="s">
        <v>261</v>
      </c>
      <c r="C21" s="107" t="s">
        <v>268</v>
      </c>
      <c r="D21" s="25">
        <v>5</v>
      </c>
      <c r="E21" s="107" t="s">
        <v>188</v>
      </c>
      <c r="F21" s="107" t="s">
        <v>269</v>
      </c>
      <c r="G21" s="107">
        <v>27</v>
      </c>
      <c r="H21" s="107">
        <v>0</v>
      </c>
      <c r="I21" s="107">
        <v>0</v>
      </c>
      <c r="J21" s="107">
        <f t="shared" si="0"/>
        <v>5.4</v>
      </c>
      <c r="K21" s="107">
        <v>6387</v>
      </c>
    </row>
    <row r="22" spans="1:11" x14ac:dyDescent="0.15">
      <c r="A22" s="107">
        <v>1762</v>
      </c>
      <c r="B22" s="107" t="s">
        <v>261</v>
      </c>
      <c r="C22" s="107" t="s">
        <v>268</v>
      </c>
      <c r="D22" s="25">
        <v>5</v>
      </c>
      <c r="E22" s="107" t="s">
        <v>188</v>
      </c>
      <c r="F22" s="107" t="s">
        <v>269</v>
      </c>
      <c r="G22" s="107">
        <v>27</v>
      </c>
      <c r="H22" s="107">
        <v>0</v>
      </c>
      <c r="I22" s="107">
        <v>0</v>
      </c>
      <c r="J22" s="107">
        <f t="shared" si="0"/>
        <v>5.4</v>
      </c>
      <c r="K22" s="107">
        <v>6394</v>
      </c>
    </row>
    <row r="23" spans="1:11" x14ac:dyDescent="0.15">
      <c r="A23" s="107">
        <v>1763</v>
      </c>
      <c r="B23" s="107" t="s">
        <v>197</v>
      </c>
      <c r="C23" s="107" t="s">
        <v>268</v>
      </c>
      <c r="D23" s="25">
        <v>2.5</v>
      </c>
      <c r="E23" s="107" t="s">
        <v>193</v>
      </c>
      <c r="F23" s="107" t="s">
        <v>269</v>
      </c>
      <c r="G23" s="107">
        <v>13</v>
      </c>
      <c r="H23" s="107">
        <v>10</v>
      </c>
      <c r="I23" s="107">
        <v>0</v>
      </c>
      <c r="J23" s="107">
        <f t="shared" si="0"/>
        <v>5.4</v>
      </c>
      <c r="K23" s="107">
        <v>6423</v>
      </c>
    </row>
    <row r="24" spans="1:11" x14ac:dyDescent="0.15">
      <c r="A24" s="107">
        <v>1763</v>
      </c>
      <c r="B24" s="107" t="s">
        <v>244</v>
      </c>
      <c r="C24" s="107" t="s">
        <v>268</v>
      </c>
      <c r="D24" s="25">
        <v>5</v>
      </c>
      <c r="E24" s="107" t="s">
        <v>188</v>
      </c>
      <c r="F24" s="107" t="s">
        <v>269</v>
      </c>
      <c r="G24" s="107">
        <v>27</v>
      </c>
      <c r="H24" s="107">
        <v>0</v>
      </c>
      <c r="I24" s="107">
        <v>0</v>
      </c>
      <c r="J24" s="107">
        <f t="shared" si="0"/>
        <v>5.4</v>
      </c>
      <c r="K24" s="107">
        <v>6413</v>
      </c>
    </row>
    <row r="25" spans="1:11" x14ac:dyDescent="0.15">
      <c r="A25" s="107">
        <v>1764</v>
      </c>
      <c r="B25" s="107" t="s">
        <v>244</v>
      </c>
      <c r="C25" s="107" t="s">
        <v>268</v>
      </c>
      <c r="D25" s="25">
        <v>5</v>
      </c>
      <c r="E25" s="107" t="s">
        <v>188</v>
      </c>
      <c r="F25" s="107" t="s">
        <v>269</v>
      </c>
      <c r="G25" s="107">
        <v>27</v>
      </c>
      <c r="H25" s="107">
        <v>0</v>
      </c>
      <c r="I25" s="107">
        <v>0</v>
      </c>
      <c r="J25" s="107">
        <f t="shared" si="0"/>
        <v>5.4</v>
      </c>
      <c r="K25" s="107">
        <v>6419</v>
      </c>
    </row>
    <row r="26" spans="1:11" x14ac:dyDescent="0.15">
      <c r="A26" s="107">
        <v>1764</v>
      </c>
      <c r="B26" s="107" t="s">
        <v>261</v>
      </c>
      <c r="C26" s="107" t="s">
        <v>268</v>
      </c>
      <c r="D26" s="25">
        <v>5</v>
      </c>
      <c r="E26" s="107" t="s">
        <v>188</v>
      </c>
      <c r="F26" s="107" t="s">
        <v>269</v>
      </c>
      <c r="G26" s="107">
        <v>27</v>
      </c>
      <c r="H26" s="107">
        <v>0</v>
      </c>
      <c r="I26" s="107">
        <v>0</v>
      </c>
      <c r="J26" s="107">
        <f t="shared" si="0"/>
        <v>5.4</v>
      </c>
      <c r="K26" s="107">
        <v>6423</v>
      </c>
    </row>
    <row r="27" spans="1:11" x14ac:dyDescent="0.15">
      <c r="A27" s="107">
        <v>1766</v>
      </c>
      <c r="B27" s="107" t="s">
        <v>261</v>
      </c>
      <c r="C27" s="107" t="s">
        <v>268</v>
      </c>
      <c r="D27" s="25">
        <v>2.5</v>
      </c>
      <c r="E27" s="107" t="s">
        <v>188</v>
      </c>
      <c r="F27" s="107" t="s">
        <v>269</v>
      </c>
      <c r="G27" s="107">
        <v>13</v>
      </c>
      <c r="H27" s="107">
        <v>10</v>
      </c>
      <c r="I27" s="107">
        <v>0</v>
      </c>
      <c r="J27" s="107">
        <f t="shared" si="0"/>
        <v>5.4</v>
      </c>
      <c r="K27" s="107">
        <v>6457</v>
      </c>
    </row>
    <row r="28" spans="1:11" x14ac:dyDescent="0.15">
      <c r="A28" s="107">
        <v>1767</v>
      </c>
      <c r="B28" s="107" t="s">
        <v>197</v>
      </c>
      <c r="C28" s="107" t="s">
        <v>268</v>
      </c>
      <c r="D28" s="25">
        <v>2.5</v>
      </c>
      <c r="E28" s="107" t="s">
        <v>188</v>
      </c>
      <c r="F28" s="107" t="s">
        <v>269</v>
      </c>
      <c r="G28" s="107">
        <v>13</v>
      </c>
      <c r="H28" s="107">
        <v>10</v>
      </c>
      <c r="I28" s="107">
        <v>0</v>
      </c>
      <c r="J28" s="107">
        <f t="shared" si="0"/>
        <v>5.4</v>
      </c>
      <c r="K28" s="107">
        <v>6475</v>
      </c>
    </row>
    <row r="29" spans="1:11" x14ac:dyDescent="0.15">
      <c r="A29" s="107">
        <v>1768</v>
      </c>
      <c r="B29" s="107" t="s">
        <v>260</v>
      </c>
      <c r="C29" s="107" t="s">
        <v>268</v>
      </c>
      <c r="D29" s="25">
        <v>2.5</v>
      </c>
      <c r="E29" s="107" t="s">
        <v>188</v>
      </c>
      <c r="F29" s="107" t="s">
        <v>269</v>
      </c>
      <c r="G29" s="107">
        <v>13</v>
      </c>
      <c r="H29" s="107">
        <v>10</v>
      </c>
      <c r="I29" s="107">
        <v>0</v>
      </c>
      <c r="J29" s="107">
        <f t="shared" si="0"/>
        <v>5.4</v>
      </c>
      <c r="K29" s="107">
        <v>6489</v>
      </c>
    </row>
    <row r="30" spans="1:11" x14ac:dyDescent="0.15">
      <c r="A30" s="107">
        <v>1771</v>
      </c>
      <c r="B30" s="107" t="s">
        <v>261</v>
      </c>
      <c r="C30" s="107" t="s">
        <v>268</v>
      </c>
      <c r="D30" s="25">
        <v>2.5</v>
      </c>
      <c r="E30" s="107" t="s">
        <v>188</v>
      </c>
      <c r="F30" s="107" t="s">
        <v>269</v>
      </c>
      <c r="G30" s="107">
        <v>12</v>
      </c>
      <c r="H30" s="107">
        <v>7</v>
      </c>
      <c r="I30" s="107">
        <v>8</v>
      </c>
      <c r="J30" s="107">
        <f t="shared" si="0"/>
        <v>4.95</v>
      </c>
      <c r="K30" s="107">
        <v>6540</v>
      </c>
    </row>
    <row r="31" spans="1:11" x14ac:dyDescent="0.15">
      <c r="A31" s="107">
        <v>1779</v>
      </c>
      <c r="B31" s="107" t="s">
        <v>260</v>
      </c>
      <c r="C31" s="107" t="s">
        <v>268</v>
      </c>
      <c r="D31" s="25">
        <v>2</v>
      </c>
      <c r="E31" s="107" t="s">
        <v>188</v>
      </c>
      <c r="F31" s="107" t="s">
        <v>269</v>
      </c>
      <c r="G31" s="107">
        <v>9</v>
      </c>
      <c r="H31" s="107">
        <v>18</v>
      </c>
      <c r="I31" s="107">
        <v>0</v>
      </c>
      <c r="J31" s="107">
        <f t="shared" si="0"/>
        <v>4.95</v>
      </c>
      <c r="K31" s="107">
        <v>6669</v>
      </c>
    </row>
    <row r="32" spans="1:11" x14ac:dyDescent="0.15">
      <c r="A32" s="107">
        <v>1780</v>
      </c>
      <c r="B32" s="107" t="s">
        <v>196</v>
      </c>
      <c r="C32" s="107" t="s">
        <v>268</v>
      </c>
      <c r="D32" s="25">
        <v>2.5</v>
      </c>
      <c r="E32" s="107" t="s">
        <v>188</v>
      </c>
      <c r="F32" s="107" t="s">
        <v>269</v>
      </c>
      <c r="G32" s="107">
        <v>12</v>
      </c>
      <c r="H32" s="107">
        <v>7</v>
      </c>
      <c r="I32" s="107">
        <v>8</v>
      </c>
      <c r="J32" s="107">
        <f t="shared" si="0"/>
        <v>4.95</v>
      </c>
      <c r="K32" s="107">
        <v>6679</v>
      </c>
    </row>
    <row r="33" spans="1:15" x14ac:dyDescent="0.15">
      <c r="A33" s="107">
        <v>1786</v>
      </c>
      <c r="B33" s="107" t="s">
        <v>261</v>
      </c>
      <c r="C33" s="107" t="s">
        <v>268</v>
      </c>
      <c r="D33" s="25">
        <v>1</v>
      </c>
      <c r="E33" s="107" t="s">
        <v>188</v>
      </c>
      <c r="F33" s="107" t="s">
        <v>269</v>
      </c>
      <c r="G33" s="107">
        <v>4</v>
      </c>
      <c r="H33" s="107">
        <v>19</v>
      </c>
      <c r="I33" s="107">
        <v>0</v>
      </c>
      <c r="J33" s="107">
        <f t="shared" si="0"/>
        <v>4.95</v>
      </c>
      <c r="K33" s="107">
        <v>6746</v>
      </c>
      <c r="L33" s="107"/>
      <c r="M33" s="107"/>
      <c r="N33" s="107"/>
      <c r="O33" s="107"/>
    </row>
    <row r="34" spans="1:15" x14ac:dyDescent="0.15">
      <c r="A34" s="107">
        <v>1787</v>
      </c>
      <c r="B34" s="107" t="s">
        <v>197</v>
      </c>
      <c r="C34" s="107" t="s">
        <v>268</v>
      </c>
      <c r="D34" s="25">
        <v>1</v>
      </c>
      <c r="E34" s="107" t="s">
        <v>188</v>
      </c>
      <c r="F34" s="107" t="s">
        <v>269</v>
      </c>
      <c r="G34" s="107">
        <v>4</v>
      </c>
      <c r="H34" s="107">
        <v>19</v>
      </c>
      <c r="I34" s="107">
        <v>0</v>
      </c>
      <c r="J34" s="107">
        <f t="shared" si="0"/>
        <v>4.95</v>
      </c>
      <c r="K34" s="107">
        <v>6752</v>
      </c>
      <c r="L34" s="107"/>
      <c r="M34" s="107"/>
      <c r="N34" s="107"/>
      <c r="O34" s="107"/>
    </row>
    <row r="35" spans="1:15" x14ac:dyDescent="0.15">
      <c r="A35" s="107">
        <v>1791</v>
      </c>
      <c r="B35" s="107" t="s">
        <v>197</v>
      </c>
      <c r="C35" s="107" t="s">
        <v>268</v>
      </c>
      <c r="D35" s="25">
        <v>1.5</v>
      </c>
      <c r="E35" s="107" t="s">
        <v>188</v>
      </c>
      <c r="F35" s="107" t="s">
        <v>269</v>
      </c>
      <c r="G35" s="107">
        <v>7</v>
      </c>
      <c r="H35" s="107">
        <v>8</v>
      </c>
      <c r="I35" s="107">
        <v>3</v>
      </c>
      <c r="J35" s="107">
        <f t="shared" si="0"/>
        <v>4.9395833333333341</v>
      </c>
      <c r="K35" s="107">
        <v>6804</v>
      </c>
      <c r="L35" s="107"/>
      <c r="M35" s="107"/>
      <c r="N35" s="107"/>
      <c r="O35" s="107"/>
    </row>
    <row r="36" spans="1:15" x14ac:dyDescent="0.15">
      <c r="A36" s="107">
        <v>1793</v>
      </c>
      <c r="B36" s="107" t="s">
        <v>192</v>
      </c>
      <c r="C36" s="107" t="s">
        <v>268</v>
      </c>
      <c r="D36" s="25">
        <v>1</v>
      </c>
      <c r="E36" s="107" t="s">
        <v>188</v>
      </c>
      <c r="F36" s="107" t="s">
        <v>269</v>
      </c>
      <c r="G36" s="107">
        <v>3</v>
      </c>
      <c r="H36" s="107">
        <v>11</v>
      </c>
      <c r="I36" s="107">
        <v>8</v>
      </c>
      <c r="J36" s="107">
        <f t="shared" si="0"/>
        <v>3.5749999999999997</v>
      </c>
      <c r="K36" s="107">
        <v>6826</v>
      </c>
      <c r="L36" s="107"/>
      <c r="M36" s="107"/>
      <c r="N36" s="107"/>
      <c r="O36" s="107"/>
    </row>
    <row r="37" spans="1:15" x14ac:dyDescent="0.15">
      <c r="A37" s="107">
        <v>1793</v>
      </c>
      <c r="B37" s="107" t="s">
        <v>247</v>
      </c>
      <c r="C37" s="107" t="s">
        <v>270</v>
      </c>
      <c r="D37" s="25">
        <v>1.5</v>
      </c>
      <c r="E37" s="107" t="s">
        <v>188</v>
      </c>
      <c r="F37" s="107" t="s">
        <v>269</v>
      </c>
      <c r="G37" s="107">
        <v>5</v>
      </c>
      <c r="H37" s="107">
        <v>7</v>
      </c>
      <c r="I37" s="107">
        <v>8</v>
      </c>
      <c r="J37" s="107">
        <f t="shared" si="0"/>
        <v>3.5833333333333335</v>
      </c>
      <c r="K37" s="107">
        <v>6826</v>
      </c>
      <c r="L37" s="107"/>
      <c r="M37" s="107"/>
      <c r="N37" s="107"/>
      <c r="O37" s="107"/>
    </row>
    <row r="38" spans="1:15" x14ac:dyDescent="0.15">
      <c r="A38" s="107">
        <v>1794</v>
      </c>
      <c r="B38" s="107" t="s">
        <v>260</v>
      </c>
      <c r="C38" s="107" t="s">
        <v>270</v>
      </c>
      <c r="D38" s="25">
        <v>1</v>
      </c>
      <c r="E38" s="107" t="s">
        <v>188</v>
      </c>
      <c r="F38" s="107" t="s">
        <v>269</v>
      </c>
      <c r="G38" s="107">
        <v>1</v>
      </c>
      <c r="H38" s="107">
        <v>6</v>
      </c>
      <c r="I38" s="107">
        <v>9</v>
      </c>
      <c r="J38" s="107">
        <f t="shared" si="0"/>
        <v>1.328125</v>
      </c>
      <c r="K38" s="107">
        <v>6840</v>
      </c>
      <c r="L38" s="107"/>
      <c r="M38" s="107"/>
      <c r="N38" s="107"/>
      <c r="O38" s="107"/>
    </row>
    <row r="39" spans="1:15" x14ac:dyDescent="0.15">
      <c r="A39" s="107">
        <v>1794</v>
      </c>
      <c r="B39" s="107" t="s">
        <v>261</v>
      </c>
      <c r="C39" s="107" t="s">
        <v>268</v>
      </c>
      <c r="D39" s="25">
        <v>5</v>
      </c>
      <c r="E39" s="107" t="s">
        <v>188</v>
      </c>
      <c r="F39" s="107" t="s">
        <v>269</v>
      </c>
      <c r="G39" s="107">
        <v>17</v>
      </c>
      <c r="H39" s="107">
        <v>17</v>
      </c>
      <c r="I39" s="107">
        <v>8</v>
      </c>
      <c r="J39" s="107">
        <f t="shared" si="0"/>
        <v>3.5750000000000002</v>
      </c>
      <c r="K39" s="107">
        <v>6839</v>
      </c>
      <c r="L39" s="107"/>
      <c r="M39" s="107"/>
      <c r="N39" s="107"/>
      <c r="O39" s="107"/>
    </row>
    <row r="40" spans="1:15" x14ac:dyDescent="0.15">
      <c r="A40" s="107">
        <v>1700</v>
      </c>
      <c r="B40" s="107" t="s">
        <v>200</v>
      </c>
      <c r="C40" s="107" t="s">
        <v>271</v>
      </c>
      <c r="D40" s="107">
        <v>15</v>
      </c>
      <c r="E40" s="107" t="s">
        <v>193</v>
      </c>
      <c r="F40" s="107" t="s">
        <v>202</v>
      </c>
      <c r="G40" s="107">
        <v>3</v>
      </c>
      <c r="H40" s="107">
        <v>3</v>
      </c>
      <c r="I40" s="107">
        <v>0</v>
      </c>
      <c r="J40" s="107">
        <f t="shared" si="0"/>
        <v>0.21</v>
      </c>
      <c r="K40" s="107">
        <v>4047</v>
      </c>
      <c r="L40" s="107">
        <v>1855</v>
      </c>
      <c r="M40" s="107">
        <v>528</v>
      </c>
      <c r="N40" s="107" t="s">
        <v>272</v>
      </c>
      <c r="O40" s="107"/>
    </row>
    <row r="41" spans="1:15" x14ac:dyDescent="0.15">
      <c r="A41" s="107">
        <v>1701</v>
      </c>
      <c r="B41" s="107" t="s">
        <v>197</v>
      </c>
      <c r="C41" s="107" t="s">
        <v>271</v>
      </c>
      <c r="D41" s="107">
        <v>6</v>
      </c>
      <c r="E41" s="107" t="s">
        <v>193</v>
      </c>
      <c r="F41" s="107" t="s">
        <v>202</v>
      </c>
      <c r="G41" s="107">
        <v>1</v>
      </c>
      <c r="H41" s="107">
        <v>7</v>
      </c>
      <c r="I41" s="107">
        <v>0</v>
      </c>
      <c r="J41" s="107">
        <f t="shared" si="0"/>
        <v>0.22500000000000001</v>
      </c>
      <c r="K41" s="107">
        <v>4047</v>
      </c>
      <c r="L41" s="107">
        <v>1855</v>
      </c>
      <c r="M41" s="107">
        <v>557</v>
      </c>
      <c r="N41" s="107" t="s">
        <v>273</v>
      </c>
      <c r="O41" s="107"/>
    </row>
    <row r="42" spans="1:15" x14ac:dyDescent="0.15">
      <c r="A42" s="107">
        <v>1655</v>
      </c>
      <c r="B42" s="107" t="s">
        <v>226</v>
      </c>
      <c r="C42" s="107" t="s">
        <v>274</v>
      </c>
      <c r="D42" s="107">
        <v>1</v>
      </c>
      <c r="E42" s="107"/>
      <c r="F42" s="107" t="s">
        <v>275</v>
      </c>
      <c r="G42" s="107">
        <v>16</v>
      </c>
      <c r="H42" s="107">
        <v>0</v>
      </c>
      <c r="I42" s="107">
        <v>0</v>
      </c>
      <c r="J42" s="107">
        <f t="shared" si="0"/>
        <v>16</v>
      </c>
      <c r="K42" s="107">
        <v>3990</v>
      </c>
      <c r="L42" s="107">
        <v>1788</v>
      </c>
      <c r="M42" s="107">
        <v>208</v>
      </c>
      <c r="N42" s="107" t="s">
        <v>276</v>
      </c>
      <c r="O42" s="107" t="s">
        <v>277</v>
      </c>
    </row>
    <row r="43" spans="1:15" x14ac:dyDescent="0.15">
      <c r="A43" s="107">
        <v>1655</v>
      </c>
      <c r="B43" s="107" t="s">
        <v>226</v>
      </c>
      <c r="C43" s="107" t="s">
        <v>274</v>
      </c>
      <c r="D43" s="107">
        <v>2</v>
      </c>
      <c r="E43" s="107" t="s">
        <v>278</v>
      </c>
      <c r="F43" s="107" t="s">
        <v>279</v>
      </c>
      <c r="G43" s="107">
        <v>180</v>
      </c>
      <c r="H43" s="107">
        <v>0</v>
      </c>
      <c r="I43" s="107">
        <v>0</v>
      </c>
      <c r="J43" s="107">
        <f t="shared" si="0"/>
        <v>90</v>
      </c>
      <c r="K43" s="107">
        <v>3990</v>
      </c>
      <c r="L43" s="107">
        <v>1788</v>
      </c>
      <c r="M43" s="107">
        <v>207</v>
      </c>
      <c r="N43" s="107" t="s">
        <v>276</v>
      </c>
      <c r="O43" s="107" t="s">
        <v>277</v>
      </c>
    </row>
    <row r="44" spans="1:15" x14ac:dyDescent="0.15">
      <c r="A44" s="107">
        <v>1655</v>
      </c>
      <c r="B44" s="107" t="s">
        <v>197</v>
      </c>
      <c r="C44" s="107" t="s">
        <v>274</v>
      </c>
      <c r="D44" s="107">
        <v>0.25</v>
      </c>
      <c r="E44" s="107" t="s">
        <v>280</v>
      </c>
      <c r="F44" s="107" t="s">
        <v>279</v>
      </c>
      <c r="G44" s="107">
        <v>12</v>
      </c>
      <c r="H44" s="107">
        <v>0</v>
      </c>
      <c r="I44" s="107">
        <v>0</v>
      </c>
      <c r="J44" s="107">
        <f t="shared" si="0"/>
        <v>48</v>
      </c>
      <c r="K44" s="107">
        <v>3990</v>
      </c>
      <c r="L44" s="107">
        <v>1788</v>
      </c>
      <c r="M44" s="107">
        <v>209</v>
      </c>
      <c r="N44" s="107" t="s">
        <v>281</v>
      </c>
      <c r="O44" s="107" t="s">
        <v>282</v>
      </c>
    </row>
    <row r="45" spans="1:15" x14ac:dyDescent="0.15">
      <c r="A45" s="107">
        <v>1656</v>
      </c>
      <c r="B45" s="107" t="s">
        <v>283</v>
      </c>
      <c r="C45" s="107" t="s">
        <v>274</v>
      </c>
      <c r="D45" s="107">
        <v>3.5</v>
      </c>
      <c r="E45" s="107" t="s">
        <v>280</v>
      </c>
      <c r="F45" s="107" t="s">
        <v>279</v>
      </c>
      <c r="G45" s="107">
        <v>214</v>
      </c>
      <c r="H45" s="107">
        <v>0</v>
      </c>
      <c r="I45" s="107">
        <v>0</v>
      </c>
      <c r="J45" s="107">
        <f t="shared" si="0"/>
        <v>61.142857142857146</v>
      </c>
      <c r="K45" s="107">
        <v>3991</v>
      </c>
      <c r="L45" s="107">
        <v>1788</v>
      </c>
      <c r="M45" s="107">
        <v>150</v>
      </c>
      <c r="N45" s="107" t="s">
        <v>284</v>
      </c>
      <c r="O45" s="107"/>
    </row>
    <row r="46" spans="1:15" x14ac:dyDescent="0.15">
      <c r="A46" s="107">
        <v>1653</v>
      </c>
      <c r="B46" s="107" t="s">
        <v>197</v>
      </c>
      <c r="C46" s="107" t="s">
        <v>274</v>
      </c>
      <c r="D46" s="107">
        <v>12</v>
      </c>
      <c r="E46" s="107" t="s">
        <v>280</v>
      </c>
      <c r="F46" s="107" t="s">
        <v>285</v>
      </c>
      <c r="G46" s="107">
        <v>1080</v>
      </c>
      <c r="H46" s="107">
        <v>0</v>
      </c>
      <c r="I46" s="107">
        <v>0</v>
      </c>
      <c r="J46" s="107">
        <f t="shared" si="0"/>
        <v>90</v>
      </c>
      <c r="K46" s="107">
        <v>3989</v>
      </c>
      <c r="L46" s="107">
        <v>1784</v>
      </c>
      <c r="M46" s="107">
        <v>147</v>
      </c>
      <c r="N46" s="107"/>
      <c r="O46" s="107"/>
    </row>
    <row r="47" spans="1:15" x14ac:dyDescent="0.15">
      <c r="A47" s="107">
        <v>1655</v>
      </c>
      <c r="B47" s="107" t="s">
        <v>236</v>
      </c>
      <c r="C47" s="107" t="s">
        <v>274</v>
      </c>
      <c r="D47" s="107">
        <v>2.6666666999999999</v>
      </c>
      <c r="E47" s="107" t="s">
        <v>280</v>
      </c>
      <c r="F47" s="107" t="s">
        <v>285</v>
      </c>
      <c r="G47" s="107">
        <v>240</v>
      </c>
      <c r="H47" s="107">
        <v>0</v>
      </c>
      <c r="I47" s="107">
        <v>0</v>
      </c>
      <c r="J47" s="107">
        <f t="shared" si="0"/>
        <v>89.999998875000017</v>
      </c>
      <c r="K47" s="107">
        <v>3990</v>
      </c>
      <c r="L47" s="107">
        <v>1788</v>
      </c>
      <c r="M47" s="107">
        <v>204</v>
      </c>
      <c r="N47" s="107" t="s">
        <v>286</v>
      </c>
      <c r="O47" s="107"/>
    </row>
    <row r="48" spans="1:15" x14ac:dyDescent="0.15">
      <c r="A48" s="107">
        <v>1655</v>
      </c>
      <c r="B48" s="107" t="s">
        <v>197</v>
      </c>
      <c r="C48" s="107" t="s">
        <v>274</v>
      </c>
      <c r="D48" s="107">
        <v>0.16666666666666666</v>
      </c>
      <c r="E48" s="107" t="s">
        <v>280</v>
      </c>
      <c r="F48" s="107" t="s">
        <v>285</v>
      </c>
      <c r="G48" s="107">
        <v>8</v>
      </c>
      <c r="H48" s="107">
        <v>0</v>
      </c>
      <c r="I48" s="107">
        <v>0</v>
      </c>
      <c r="J48" s="107">
        <f t="shared" si="0"/>
        <v>48</v>
      </c>
      <c r="K48" s="107">
        <v>3990</v>
      </c>
      <c r="L48" s="107">
        <v>1788</v>
      </c>
      <c r="M48" s="107">
        <v>205</v>
      </c>
      <c r="N48" s="107" t="s">
        <v>287</v>
      </c>
      <c r="O48" s="107" t="s">
        <v>277</v>
      </c>
    </row>
    <row r="49" spans="1:15" x14ac:dyDescent="0.15">
      <c r="A49" s="107">
        <v>1655</v>
      </c>
      <c r="B49" s="107" t="s">
        <v>196</v>
      </c>
      <c r="C49" s="107" t="s">
        <v>274</v>
      </c>
      <c r="D49" s="107">
        <v>0.5</v>
      </c>
      <c r="E49" s="107" t="s">
        <v>280</v>
      </c>
      <c r="F49" s="107" t="s">
        <v>285</v>
      </c>
      <c r="G49" s="107">
        <v>24</v>
      </c>
      <c r="H49" s="107">
        <v>0</v>
      </c>
      <c r="I49" s="107">
        <v>0</v>
      </c>
      <c r="J49" s="107">
        <f t="shared" si="0"/>
        <v>48</v>
      </c>
      <c r="K49" s="107">
        <v>3990</v>
      </c>
      <c r="L49" s="107">
        <v>1788</v>
      </c>
      <c r="M49" s="107">
        <v>206</v>
      </c>
      <c r="N49" s="107" t="s">
        <v>288</v>
      </c>
      <c r="O49" s="107" t="s">
        <v>277</v>
      </c>
    </row>
    <row r="50" spans="1:15" x14ac:dyDescent="0.15">
      <c r="A50" s="107">
        <v>1655</v>
      </c>
      <c r="B50" s="107" t="s">
        <v>197</v>
      </c>
      <c r="C50" s="107" t="s">
        <v>274</v>
      </c>
      <c r="D50" s="107">
        <v>11</v>
      </c>
      <c r="E50" s="107" t="s">
        <v>280</v>
      </c>
      <c r="F50" s="107" t="s">
        <v>285</v>
      </c>
      <c r="G50" s="107">
        <v>615</v>
      </c>
      <c r="H50" s="107">
        <v>0</v>
      </c>
      <c r="I50" s="107">
        <v>0</v>
      </c>
      <c r="J50" s="107">
        <f t="shared" si="0"/>
        <v>55.909090909090907</v>
      </c>
      <c r="K50" s="107">
        <v>3990</v>
      </c>
      <c r="L50" s="107">
        <v>1788</v>
      </c>
      <c r="M50" s="107">
        <v>149</v>
      </c>
      <c r="N50" s="107"/>
      <c r="O50" s="107"/>
    </row>
    <row r="51" spans="1:15" x14ac:dyDescent="0.15">
      <c r="A51" s="107">
        <v>1656</v>
      </c>
      <c r="B51" s="107" t="s">
        <v>197</v>
      </c>
      <c r="C51" s="107" t="s">
        <v>274</v>
      </c>
      <c r="D51" s="107">
        <v>3.5</v>
      </c>
      <c r="E51" s="107" t="s">
        <v>280</v>
      </c>
      <c r="F51" s="107" t="s">
        <v>285</v>
      </c>
      <c r="G51" s="107">
        <v>214</v>
      </c>
      <c r="H51" s="107">
        <v>0</v>
      </c>
      <c r="I51" s="107">
        <v>0</v>
      </c>
      <c r="J51" s="107">
        <f t="shared" si="0"/>
        <v>61.142857142857146</v>
      </c>
      <c r="K51" s="107">
        <v>3991</v>
      </c>
      <c r="L51" s="107">
        <v>1788</v>
      </c>
      <c r="M51" s="107">
        <v>149</v>
      </c>
      <c r="N51" s="107"/>
      <c r="O51" s="107"/>
    </row>
    <row r="52" spans="1:15" x14ac:dyDescent="0.15">
      <c r="A52" s="107">
        <v>1657</v>
      </c>
      <c r="B52" s="107" t="s">
        <v>197</v>
      </c>
      <c r="C52" s="107" t="s">
        <v>274</v>
      </c>
      <c r="D52" s="107">
        <v>6</v>
      </c>
      <c r="E52" s="107" t="s">
        <v>280</v>
      </c>
      <c r="F52" s="107" t="s">
        <v>285</v>
      </c>
      <c r="G52" s="107">
        <v>540</v>
      </c>
      <c r="H52" s="107">
        <v>0</v>
      </c>
      <c r="I52" s="107">
        <v>0</v>
      </c>
      <c r="J52" s="107">
        <f t="shared" si="0"/>
        <v>90</v>
      </c>
      <c r="K52" s="107">
        <v>3992</v>
      </c>
      <c r="L52" s="107">
        <v>1789</v>
      </c>
      <c r="M52" s="107">
        <v>228</v>
      </c>
      <c r="N52" s="107"/>
      <c r="O52" s="107"/>
    </row>
    <row r="53" spans="1:15" x14ac:dyDescent="0.15">
      <c r="A53" s="107">
        <v>1660</v>
      </c>
      <c r="B53" s="107" t="s">
        <v>253</v>
      </c>
      <c r="C53" s="107" t="s">
        <v>274</v>
      </c>
      <c r="D53" s="107">
        <v>12.25</v>
      </c>
      <c r="E53" s="107" t="s">
        <v>289</v>
      </c>
      <c r="F53" s="107" t="s">
        <v>285</v>
      </c>
      <c r="G53" s="107">
        <v>551</v>
      </c>
      <c r="H53" s="107">
        <v>0</v>
      </c>
      <c r="I53" s="107">
        <v>0</v>
      </c>
      <c r="J53" s="107">
        <f t="shared" si="0"/>
        <v>44.979591836734691</v>
      </c>
      <c r="K53" s="107">
        <v>3995</v>
      </c>
      <c r="L53" s="107">
        <v>1793</v>
      </c>
      <c r="M53" s="107">
        <v>203</v>
      </c>
      <c r="N53" s="107"/>
      <c r="O53" s="107"/>
    </row>
    <row r="54" spans="1:15" x14ac:dyDescent="0.15">
      <c r="A54" s="107">
        <v>1661</v>
      </c>
      <c r="B54" s="107" t="s">
        <v>197</v>
      </c>
      <c r="C54" s="107" t="s">
        <v>274</v>
      </c>
      <c r="D54" s="107">
        <v>1</v>
      </c>
      <c r="E54" s="107" t="s">
        <v>280</v>
      </c>
      <c r="F54" s="107" t="s">
        <v>285</v>
      </c>
      <c r="G54" s="107">
        <v>90</v>
      </c>
      <c r="H54" s="107">
        <v>0</v>
      </c>
      <c r="I54" s="107">
        <v>0</v>
      </c>
      <c r="J54" s="107">
        <f t="shared" si="0"/>
        <v>90</v>
      </c>
      <c r="K54" s="107">
        <v>3996</v>
      </c>
      <c r="L54" s="107">
        <v>1794</v>
      </c>
      <c r="M54" s="107" t="s">
        <v>290</v>
      </c>
      <c r="N54" s="107"/>
      <c r="O54" s="107"/>
    </row>
    <row r="55" spans="1:15" x14ac:dyDescent="0.15">
      <c r="A55" s="107">
        <v>1662</v>
      </c>
      <c r="B55" s="107" t="s">
        <v>197</v>
      </c>
      <c r="C55" s="107" t="s">
        <v>274</v>
      </c>
      <c r="D55" s="107">
        <v>1</v>
      </c>
      <c r="E55" s="107" t="s">
        <v>280</v>
      </c>
      <c r="F55" s="107" t="s">
        <v>285</v>
      </c>
      <c r="G55" s="107">
        <v>90</v>
      </c>
      <c r="H55" s="107">
        <v>0</v>
      </c>
      <c r="I55" s="107">
        <v>0</v>
      </c>
      <c r="J55" s="107">
        <f t="shared" si="0"/>
        <v>90</v>
      </c>
      <c r="K55" s="107">
        <v>3997</v>
      </c>
      <c r="L55" s="107">
        <v>1795</v>
      </c>
      <c r="M55" s="107">
        <v>306</v>
      </c>
      <c r="N55" s="107"/>
      <c r="O55" s="107"/>
    </row>
    <row r="56" spans="1:15" x14ac:dyDescent="0.15">
      <c r="A56" s="107">
        <v>1663</v>
      </c>
      <c r="B56" s="107" t="s">
        <v>197</v>
      </c>
      <c r="C56" s="107" t="s">
        <v>274</v>
      </c>
      <c r="D56" s="107">
        <v>0.75</v>
      </c>
      <c r="E56" s="107" t="s">
        <v>280</v>
      </c>
      <c r="F56" s="107" t="s">
        <v>285</v>
      </c>
      <c r="G56" s="107">
        <v>146</v>
      </c>
      <c r="H56" s="107">
        <v>5</v>
      </c>
      <c r="I56" s="107">
        <v>0</v>
      </c>
      <c r="J56" s="107">
        <f t="shared" si="0"/>
        <v>195</v>
      </c>
      <c r="K56" s="107">
        <v>3998</v>
      </c>
      <c r="L56" s="107">
        <v>1797</v>
      </c>
      <c r="M56" s="107" t="s">
        <v>290</v>
      </c>
      <c r="N56" s="107"/>
      <c r="O56" s="107"/>
    </row>
    <row r="57" spans="1:15" x14ac:dyDescent="0.15">
      <c r="A57" s="107">
        <v>1665</v>
      </c>
      <c r="B57" s="107" t="s">
        <v>197</v>
      </c>
      <c r="C57" s="107" t="s">
        <v>274</v>
      </c>
      <c r="D57" s="107">
        <v>10</v>
      </c>
      <c r="E57" s="107" t="s">
        <v>280</v>
      </c>
      <c r="F57" s="107" t="s">
        <v>285</v>
      </c>
      <c r="G57" s="107">
        <v>1800</v>
      </c>
      <c r="H57" s="107">
        <v>0</v>
      </c>
      <c r="I57" s="107">
        <v>0</v>
      </c>
      <c r="J57" s="107">
        <f t="shared" si="0"/>
        <v>180</v>
      </c>
      <c r="K57" s="107">
        <v>4000</v>
      </c>
      <c r="L57" s="107">
        <v>1798</v>
      </c>
      <c r="M57" s="107">
        <v>65</v>
      </c>
      <c r="N57" s="107"/>
      <c r="O57" s="107"/>
    </row>
    <row r="58" spans="1:15" x14ac:dyDescent="0.15">
      <c r="A58" s="107">
        <v>1666</v>
      </c>
      <c r="B58" s="107" t="s">
        <v>197</v>
      </c>
      <c r="C58" s="107" t="s">
        <v>274</v>
      </c>
      <c r="D58" s="107">
        <v>1</v>
      </c>
      <c r="E58" s="107" t="s">
        <v>291</v>
      </c>
      <c r="F58" s="107" t="s">
        <v>285</v>
      </c>
      <c r="G58" s="107">
        <v>22</v>
      </c>
      <c r="H58" s="107">
        <v>10</v>
      </c>
      <c r="I58" s="107">
        <v>0</v>
      </c>
      <c r="J58" s="107">
        <f t="shared" si="0"/>
        <v>22.5</v>
      </c>
      <c r="K58" s="107">
        <v>4001</v>
      </c>
      <c r="L58" s="107">
        <v>1800</v>
      </c>
      <c r="M58" s="107">
        <v>40</v>
      </c>
      <c r="N58" s="107"/>
      <c r="O58" s="107"/>
    </row>
    <row r="59" spans="1:15" x14ac:dyDescent="0.15">
      <c r="A59" s="107">
        <v>1667</v>
      </c>
      <c r="B59" s="107" t="s">
        <v>197</v>
      </c>
      <c r="C59" s="107" t="s">
        <v>274</v>
      </c>
      <c r="D59" s="107">
        <v>0.5</v>
      </c>
      <c r="E59" s="107" t="s">
        <v>292</v>
      </c>
      <c r="F59" s="107" t="s">
        <v>285</v>
      </c>
      <c r="G59" s="107">
        <v>42</v>
      </c>
      <c r="H59" s="107">
        <v>0</v>
      </c>
      <c r="I59" s="107">
        <v>0</v>
      </c>
      <c r="J59" s="107">
        <f t="shared" si="0"/>
        <v>84</v>
      </c>
      <c r="K59" s="107">
        <v>4002</v>
      </c>
      <c r="L59" s="107">
        <v>1802</v>
      </c>
      <c r="M59" s="107">
        <v>774</v>
      </c>
      <c r="N59" s="107"/>
      <c r="O59" s="107"/>
    </row>
    <row r="60" spans="1:15" x14ac:dyDescent="0.15">
      <c r="A60" s="107">
        <v>1668</v>
      </c>
      <c r="B60" s="107" t="s">
        <v>196</v>
      </c>
      <c r="C60" s="107" t="s">
        <v>274</v>
      </c>
      <c r="D60" s="107">
        <v>12.5</v>
      </c>
      <c r="E60" s="107" t="s">
        <v>291</v>
      </c>
      <c r="F60" s="107" t="s">
        <v>285</v>
      </c>
      <c r="G60" s="107">
        <v>637</v>
      </c>
      <c r="H60" s="107">
        <v>10</v>
      </c>
      <c r="I60" s="107">
        <v>0</v>
      </c>
      <c r="J60" s="107">
        <f t="shared" si="0"/>
        <v>51</v>
      </c>
      <c r="K60" s="107">
        <v>4003</v>
      </c>
      <c r="L60" s="107">
        <v>1802</v>
      </c>
      <c r="M60" s="107">
        <v>46</v>
      </c>
      <c r="N60" s="107"/>
      <c r="O60" s="107"/>
    </row>
    <row r="61" spans="1:15" x14ac:dyDescent="0.15">
      <c r="A61" s="107">
        <v>1669</v>
      </c>
      <c r="B61" s="107" t="s">
        <v>196</v>
      </c>
      <c r="C61" s="107" t="s">
        <v>274</v>
      </c>
      <c r="D61" s="107">
        <v>128</v>
      </c>
      <c r="E61" s="107" t="s">
        <v>293</v>
      </c>
      <c r="F61" s="107" t="s">
        <v>285</v>
      </c>
      <c r="G61" s="107">
        <v>204</v>
      </c>
      <c r="H61" s="107">
        <v>16</v>
      </c>
      <c r="I61" s="107">
        <v>0</v>
      </c>
      <c r="J61" s="107">
        <f t="shared" si="0"/>
        <v>1.6</v>
      </c>
      <c r="K61" s="107">
        <v>4004</v>
      </c>
      <c r="L61" s="107">
        <v>1805</v>
      </c>
      <c r="M61" s="107">
        <v>570</v>
      </c>
      <c r="N61" s="107"/>
      <c r="O61" s="107"/>
    </row>
    <row r="62" spans="1:15" x14ac:dyDescent="0.15">
      <c r="A62" s="107">
        <v>1670</v>
      </c>
      <c r="B62" s="107" t="s">
        <v>197</v>
      </c>
      <c r="C62" s="107" t="s">
        <v>274</v>
      </c>
      <c r="D62" s="107">
        <v>1</v>
      </c>
      <c r="E62" s="107" t="s">
        <v>280</v>
      </c>
      <c r="F62" s="107" t="s">
        <v>285</v>
      </c>
      <c r="G62" s="107">
        <v>66</v>
      </c>
      <c r="H62" s="107">
        <v>0</v>
      </c>
      <c r="I62" s="107">
        <v>0</v>
      </c>
      <c r="J62" s="107">
        <f t="shared" si="0"/>
        <v>66</v>
      </c>
      <c r="K62" s="107">
        <v>4006</v>
      </c>
      <c r="L62" s="107">
        <v>1808</v>
      </c>
      <c r="M62" s="107">
        <v>635</v>
      </c>
      <c r="N62" s="107"/>
      <c r="O62" s="107"/>
    </row>
    <row r="63" spans="1:15" x14ac:dyDescent="0.15">
      <c r="A63" s="107">
        <v>1673</v>
      </c>
      <c r="B63" s="107" t="s">
        <v>197</v>
      </c>
      <c r="C63" s="107" t="s">
        <v>274</v>
      </c>
      <c r="D63" s="107">
        <v>16</v>
      </c>
      <c r="E63" s="107" t="s">
        <v>293</v>
      </c>
      <c r="F63" s="107" t="s">
        <v>285</v>
      </c>
      <c r="G63" s="107">
        <v>4</v>
      </c>
      <c r="H63" s="107">
        <v>0</v>
      </c>
      <c r="I63" s="107">
        <v>0</v>
      </c>
      <c r="J63" s="107">
        <f t="shared" si="0"/>
        <v>0.25</v>
      </c>
      <c r="K63" s="107">
        <v>4010</v>
      </c>
      <c r="L63" s="107">
        <v>1812</v>
      </c>
      <c r="M63" s="107">
        <v>548</v>
      </c>
      <c r="N63" s="107"/>
      <c r="O63" s="107"/>
    </row>
    <row r="64" spans="1:15" x14ac:dyDescent="0.15">
      <c r="A64" s="107">
        <v>1674</v>
      </c>
      <c r="B64" s="107" t="s">
        <v>197</v>
      </c>
      <c r="C64" s="107" t="s">
        <v>274</v>
      </c>
      <c r="D64" s="107">
        <v>12</v>
      </c>
      <c r="E64" s="107" t="s">
        <v>293</v>
      </c>
      <c r="F64" s="107" t="s">
        <v>285</v>
      </c>
      <c r="G64" s="107">
        <v>3</v>
      </c>
      <c r="H64" s="107">
        <v>12</v>
      </c>
      <c r="I64" s="107">
        <v>0</v>
      </c>
      <c r="J64" s="107">
        <f t="shared" si="0"/>
        <v>0.3</v>
      </c>
      <c r="K64" s="107">
        <v>4011</v>
      </c>
      <c r="L64" s="107">
        <v>1814</v>
      </c>
      <c r="M64" s="107">
        <v>595</v>
      </c>
      <c r="N64" s="107" t="s">
        <v>294</v>
      </c>
      <c r="O64" s="107"/>
    </row>
    <row r="65" spans="1:14" x14ac:dyDescent="0.15">
      <c r="A65" s="107">
        <v>1676</v>
      </c>
      <c r="B65" s="107" t="s">
        <v>197</v>
      </c>
      <c r="C65" s="107" t="s">
        <v>274</v>
      </c>
      <c r="D65" s="107">
        <v>24.625</v>
      </c>
      <c r="E65" s="107" t="s">
        <v>293</v>
      </c>
      <c r="F65" s="107" t="s">
        <v>285</v>
      </c>
      <c r="G65" s="107">
        <v>9</v>
      </c>
      <c r="H65" s="107">
        <v>4</v>
      </c>
      <c r="I65" s="107">
        <v>11</v>
      </c>
      <c r="J65" s="107">
        <f t="shared" si="0"/>
        <v>0.375</v>
      </c>
      <c r="K65" s="107">
        <v>4012</v>
      </c>
      <c r="L65" s="107">
        <v>1814</v>
      </c>
      <c r="M65" s="107">
        <v>427</v>
      </c>
      <c r="N65" s="107"/>
    </row>
    <row r="66" spans="1:14" x14ac:dyDescent="0.15">
      <c r="A66" s="107">
        <v>1677</v>
      </c>
      <c r="B66" s="107" t="s">
        <v>197</v>
      </c>
      <c r="C66" s="107" t="s">
        <v>274</v>
      </c>
      <c r="D66" s="107">
        <v>64</v>
      </c>
      <c r="E66" s="107" t="s">
        <v>293</v>
      </c>
      <c r="F66" s="107" t="s">
        <v>285</v>
      </c>
      <c r="G66" s="107">
        <v>24</v>
      </c>
      <c r="H66" s="107">
        <v>16</v>
      </c>
      <c r="I66" s="107">
        <v>0</v>
      </c>
      <c r="J66" s="107">
        <f t="shared" ref="J66:J129" si="1">(G66+H66/20+I66/320)/D66</f>
        <v>0.38750000000000001</v>
      </c>
      <c r="K66" s="107">
        <v>4013</v>
      </c>
      <c r="L66" s="107">
        <v>1816</v>
      </c>
      <c r="M66" s="107">
        <v>754</v>
      </c>
      <c r="N66" s="107"/>
    </row>
    <row r="67" spans="1:14" x14ac:dyDescent="0.15">
      <c r="A67" s="107">
        <v>1678</v>
      </c>
      <c r="B67" s="107" t="s">
        <v>197</v>
      </c>
      <c r="C67" s="107" t="s">
        <v>295</v>
      </c>
      <c r="D67" s="107">
        <v>0.5</v>
      </c>
      <c r="E67" s="107" t="s">
        <v>280</v>
      </c>
      <c r="F67" s="107" t="s">
        <v>285</v>
      </c>
      <c r="G67" s="107">
        <v>95</v>
      </c>
      <c r="H67" s="107">
        <v>0</v>
      </c>
      <c r="I67" s="107">
        <v>0</v>
      </c>
      <c r="J67" s="107">
        <f t="shared" si="1"/>
        <v>190</v>
      </c>
      <c r="K67" s="107">
        <v>4014</v>
      </c>
      <c r="L67" s="107">
        <v>4903</v>
      </c>
      <c r="M67" s="107">
        <v>666</v>
      </c>
      <c r="N67" s="107"/>
    </row>
    <row r="68" spans="1:14" x14ac:dyDescent="0.15">
      <c r="A68" s="107">
        <v>1678</v>
      </c>
      <c r="B68" s="107" t="s">
        <v>197</v>
      </c>
      <c r="C68" s="107" t="s">
        <v>295</v>
      </c>
      <c r="D68" s="107">
        <v>0.5</v>
      </c>
      <c r="E68" s="107" t="s">
        <v>296</v>
      </c>
      <c r="F68" s="107" t="s">
        <v>285</v>
      </c>
      <c r="G68" s="107">
        <v>20</v>
      </c>
      <c r="H68" s="107">
        <v>0</v>
      </c>
      <c r="I68" s="107">
        <v>0</v>
      </c>
      <c r="J68" s="107">
        <f t="shared" si="1"/>
        <v>40</v>
      </c>
      <c r="K68" s="107">
        <v>4014</v>
      </c>
      <c r="L68" s="107">
        <v>4903</v>
      </c>
      <c r="M68" s="107">
        <v>666</v>
      </c>
      <c r="N68" s="107"/>
    </row>
    <row r="69" spans="1:14" x14ac:dyDescent="0.15">
      <c r="A69" s="107">
        <v>1681</v>
      </c>
      <c r="B69" s="107" t="s">
        <v>197</v>
      </c>
      <c r="C69" s="107" t="s">
        <v>271</v>
      </c>
      <c r="D69" s="107">
        <v>9</v>
      </c>
      <c r="E69" s="107" t="s">
        <v>293</v>
      </c>
      <c r="F69" s="107" t="s">
        <v>285</v>
      </c>
      <c r="G69" s="107">
        <v>2</v>
      </c>
      <c r="H69" s="107">
        <v>18</v>
      </c>
      <c r="I69" s="107">
        <v>8</v>
      </c>
      <c r="J69" s="107">
        <f t="shared" si="1"/>
        <v>0.32499999999999996</v>
      </c>
      <c r="K69" s="107">
        <v>4017</v>
      </c>
      <c r="L69" s="107">
        <v>1819</v>
      </c>
      <c r="M69" s="107">
        <v>425</v>
      </c>
      <c r="N69" s="107"/>
    </row>
    <row r="70" spans="1:14" x14ac:dyDescent="0.15">
      <c r="A70" s="107">
        <v>1682</v>
      </c>
      <c r="B70" s="107" t="s">
        <v>197</v>
      </c>
      <c r="C70" s="107" t="s">
        <v>271</v>
      </c>
      <c r="D70" s="107">
        <v>3</v>
      </c>
      <c r="E70" s="107" t="s">
        <v>293</v>
      </c>
      <c r="F70" s="107" t="s">
        <v>285</v>
      </c>
      <c r="G70" s="107">
        <v>0</v>
      </c>
      <c r="H70" s="107">
        <v>17</v>
      </c>
      <c r="I70" s="107">
        <v>4</v>
      </c>
      <c r="J70" s="107">
        <f t="shared" si="1"/>
        <v>0.28749999999999998</v>
      </c>
      <c r="K70" s="107">
        <v>4018</v>
      </c>
      <c r="L70" s="107">
        <v>1820</v>
      </c>
      <c r="M70" s="107">
        <v>756</v>
      </c>
      <c r="N70" s="107" t="s">
        <v>294</v>
      </c>
    </row>
    <row r="71" spans="1:14" x14ac:dyDescent="0.15">
      <c r="A71" s="107">
        <v>1683</v>
      </c>
      <c r="B71" s="107" t="s">
        <v>197</v>
      </c>
      <c r="C71" s="107" t="s">
        <v>271</v>
      </c>
      <c r="D71" s="107">
        <v>575</v>
      </c>
      <c r="E71" s="107" t="s">
        <v>293</v>
      </c>
      <c r="F71" s="107" t="s">
        <v>285</v>
      </c>
      <c r="G71" s="107">
        <v>165</v>
      </c>
      <c r="H71" s="107">
        <v>7</v>
      </c>
      <c r="I71" s="107">
        <v>8</v>
      </c>
      <c r="J71" s="107">
        <f t="shared" si="1"/>
        <v>0.2876086956521739</v>
      </c>
      <c r="K71" s="107">
        <v>4019</v>
      </c>
      <c r="L71" s="107">
        <v>1822</v>
      </c>
      <c r="M71" s="107">
        <v>600</v>
      </c>
      <c r="N71" s="107"/>
    </row>
    <row r="72" spans="1:14" x14ac:dyDescent="0.15">
      <c r="A72" s="107">
        <v>1684</v>
      </c>
      <c r="B72" s="107" t="s">
        <v>244</v>
      </c>
      <c r="C72" s="107" t="s">
        <v>271</v>
      </c>
      <c r="D72" s="107">
        <v>36</v>
      </c>
      <c r="E72" s="107" t="s">
        <v>293</v>
      </c>
      <c r="F72" s="107" t="s">
        <v>285</v>
      </c>
      <c r="G72" s="107">
        <v>7</v>
      </c>
      <c r="H72" s="107">
        <v>4</v>
      </c>
      <c r="I72" s="107">
        <v>0</v>
      </c>
      <c r="J72" s="107">
        <f t="shared" si="1"/>
        <v>0.2</v>
      </c>
      <c r="K72" s="107">
        <v>4021</v>
      </c>
      <c r="L72" s="107">
        <v>1825</v>
      </c>
      <c r="M72" s="107">
        <v>697</v>
      </c>
      <c r="N72" s="107"/>
    </row>
    <row r="73" spans="1:14" x14ac:dyDescent="0.15">
      <c r="A73" s="107">
        <v>1685</v>
      </c>
      <c r="B73" s="107" t="s">
        <v>196</v>
      </c>
      <c r="C73" s="107" t="s">
        <v>271</v>
      </c>
      <c r="D73" s="107">
        <v>90</v>
      </c>
      <c r="E73" s="107" t="s">
        <v>280</v>
      </c>
      <c r="F73" s="107" t="s">
        <v>285</v>
      </c>
      <c r="G73" s="107">
        <v>3137</v>
      </c>
      <c r="H73" s="107">
        <v>5</v>
      </c>
      <c r="I73" s="107">
        <v>1</v>
      </c>
      <c r="J73" s="107">
        <f t="shared" si="1"/>
        <v>34.858368055555559</v>
      </c>
      <c r="K73" s="107">
        <v>4022</v>
      </c>
      <c r="L73" s="107">
        <v>1827</v>
      </c>
      <c r="M73" s="107">
        <v>600</v>
      </c>
      <c r="N73" s="107"/>
    </row>
    <row r="74" spans="1:14" x14ac:dyDescent="0.15">
      <c r="A74" s="107">
        <v>1686</v>
      </c>
      <c r="B74" s="107" t="s">
        <v>197</v>
      </c>
      <c r="C74" s="107" t="s">
        <v>271</v>
      </c>
      <c r="D74" s="107">
        <v>2</v>
      </c>
      <c r="E74" s="107" t="s">
        <v>280</v>
      </c>
      <c r="F74" s="107" t="s">
        <v>285</v>
      </c>
      <c r="G74" s="107">
        <v>182</v>
      </c>
      <c r="H74" s="107">
        <v>0</v>
      </c>
      <c r="I74" s="107">
        <v>0</v>
      </c>
      <c r="J74" s="107">
        <f t="shared" si="1"/>
        <v>91</v>
      </c>
      <c r="K74" s="107">
        <v>4023</v>
      </c>
      <c r="L74" s="107">
        <v>1829</v>
      </c>
      <c r="M74" s="107">
        <v>706</v>
      </c>
      <c r="N74" s="107"/>
    </row>
    <row r="75" spans="1:14" x14ac:dyDescent="0.15">
      <c r="A75" s="107">
        <v>1688</v>
      </c>
      <c r="B75" s="107" t="s">
        <v>260</v>
      </c>
      <c r="C75" s="107" t="s">
        <v>271</v>
      </c>
      <c r="D75" s="107">
        <v>1</v>
      </c>
      <c r="E75" s="107" t="s">
        <v>280</v>
      </c>
      <c r="F75" s="107" t="s">
        <v>285</v>
      </c>
      <c r="G75" s="107">
        <v>126</v>
      </c>
      <c r="H75" s="107">
        <v>0</v>
      </c>
      <c r="I75" s="107">
        <v>0</v>
      </c>
      <c r="J75" s="107">
        <f t="shared" si="1"/>
        <v>126</v>
      </c>
      <c r="K75" s="107">
        <v>4025</v>
      </c>
      <c r="L75" s="107">
        <v>1831</v>
      </c>
      <c r="M75" s="107">
        <v>579</v>
      </c>
      <c r="N75" s="107"/>
    </row>
    <row r="76" spans="1:14" x14ac:dyDescent="0.15">
      <c r="A76" s="107">
        <v>1689</v>
      </c>
      <c r="B76" s="107" t="s">
        <v>197</v>
      </c>
      <c r="C76" s="107" t="s">
        <v>271</v>
      </c>
      <c r="D76" s="107">
        <v>120.5</v>
      </c>
      <c r="E76" s="107" t="s">
        <v>293</v>
      </c>
      <c r="F76" s="107" t="s">
        <v>285</v>
      </c>
      <c r="G76" s="107">
        <v>30</v>
      </c>
      <c r="H76" s="107">
        <v>0</v>
      </c>
      <c r="I76" s="107">
        <v>0</v>
      </c>
      <c r="J76" s="107">
        <f t="shared" si="1"/>
        <v>0.24896265560165975</v>
      </c>
      <c r="K76" s="107">
        <v>4027</v>
      </c>
      <c r="L76" s="107">
        <v>1832</v>
      </c>
      <c r="M76" s="107">
        <v>482</v>
      </c>
      <c r="N76" s="107"/>
    </row>
    <row r="77" spans="1:14" x14ac:dyDescent="0.15">
      <c r="A77" s="107">
        <v>1691</v>
      </c>
      <c r="B77" s="107" t="s">
        <v>244</v>
      </c>
      <c r="C77" s="107" t="s">
        <v>271</v>
      </c>
      <c r="D77" s="107">
        <v>1536</v>
      </c>
      <c r="E77" s="107" t="s">
        <v>293</v>
      </c>
      <c r="F77" s="107" t="s">
        <v>285</v>
      </c>
      <c r="G77" s="107">
        <v>845</v>
      </c>
      <c r="H77" s="107">
        <v>16</v>
      </c>
      <c r="I77" s="107">
        <v>0</v>
      </c>
      <c r="J77" s="107">
        <f t="shared" si="1"/>
        <v>0.55065104166666667</v>
      </c>
      <c r="K77" s="107">
        <v>4028</v>
      </c>
      <c r="L77" s="107">
        <v>1834</v>
      </c>
      <c r="M77" s="107">
        <v>383</v>
      </c>
      <c r="N77" s="107"/>
    </row>
    <row r="78" spans="1:14" x14ac:dyDescent="0.15">
      <c r="A78" s="107">
        <v>1692</v>
      </c>
      <c r="B78" s="107" t="s">
        <v>247</v>
      </c>
      <c r="C78" s="107" t="s">
        <v>271</v>
      </c>
      <c r="D78" s="107">
        <v>1024</v>
      </c>
      <c r="E78" s="107" t="s">
        <v>293</v>
      </c>
      <c r="F78" s="107" t="s">
        <v>285</v>
      </c>
      <c r="G78" s="107">
        <v>204</v>
      </c>
      <c r="H78" s="107">
        <v>16</v>
      </c>
      <c r="I78" s="107">
        <v>0</v>
      </c>
      <c r="J78" s="107">
        <f t="shared" si="1"/>
        <v>0.2</v>
      </c>
      <c r="K78" s="107">
        <v>4030</v>
      </c>
      <c r="L78" s="107">
        <v>1836</v>
      </c>
      <c r="M78" s="107">
        <v>242</v>
      </c>
      <c r="N78" s="107"/>
    </row>
    <row r="79" spans="1:14" x14ac:dyDescent="0.15">
      <c r="A79" s="107">
        <v>1693</v>
      </c>
      <c r="B79" s="107" t="s">
        <v>261</v>
      </c>
      <c r="C79" s="107" t="s">
        <v>271</v>
      </c>
      <c r="D79" s="107">
        <v>2</v>
      </c>
      <c r="E79" s="107" t="s">
        <v>280</v>
      </c>
      <c r="F79" s="107" t="s">
        <v>285</v>
      </c>
      <c r="G79" s="107">
        <v>174</v>
      </c>
      <c r="H79" s="107">
        <v>0</v>
      </c>
      <c r="I79" s="107">
        <v>0</v>
      </c>
      <c r="J79" s="107">
        <f t="shared" si="1"/>
        <v>87</v>
      </c>
      <c r="K79" s="107">
        <v>4032</v>
      </c>
      <c r="L79" s="107">
        <v>1839</v>
      </c>
      <c r="M79" s="107">
        <v>260</v>
      </c>
      <c r="N79" s="107"/>
    </row>
    <row r="80" spans="1:14" x14ac:dyDescent="0.15">
      <c r="A80" s="107">
        <v>1697</v>
      </c>
      <c r="B80" s="107" t="s">
        <v>197</v>
      </c>
      <c r="C80" s="107" t="s">
        <v>271</v>
      </c>
      <c r="D80" s="107">
        <v>144</v>
      </c>
      <c r="E80" s="107" t="s">
        <v>293</v>
      </c>
      <c r="F80" s="107" t="s">
        <v>285</v>
      </c>
      <c r="G80" s="107">
        <v>32</v>
      </c>
      <c r="H80" s="107">
        <v>8</v>
      </c>
      <c r="I80" s="107">
        <v>0</v>
      </c>
      <c r="J80" s="107">
        <f t="shared" si="1"/>
        <v>0.22499999999999998</v>
      </c>
      <c r="K80" s="107">
        <v>4038</v>
      </c>
      <c r="L80" s="107">
        <v>1846</v>
      </c>
      <c r="M80" s="107">
        <v>714</v>
      </c>
      <c r="N80" s="107" t="s">
        <v>294</v>
      </c>
    </row>
    <row r="81" spans="1:14" x14ac:dyDescent="0.15">
      <c r="A81" s="107">
        <v>1698</v>
      </c>
      <c r="B81" s="107" t="s">
        <v>200</v>
      </c>
      <c r="C81" s="107" t="s">
        <v>271</v>
      </c>
      <c r="D81" s="107">
        <v>107</v>
      </c>
      <c r="E81" s="107" t="s">
        <v>293</v>
      </c>
      <c r="F81" s="107" t="s">
        <v>285</v>
      </c>
      <c r="G81" s="107">
        <v>21</v>
      </c>
      <c r="H81" s="107">
        <v>8</v>
      </c>
      <c r="I81" s="107">
        <v>0</v>
      </c>
      <c r="J81" s="107">
        <f t="shared" si="1"/>
        <v>0.19999999999999998</v>
      </c>
      <c r="K81" s="107">
        <v>4043</v>
      </c>
      <c r="L81" s="107">
        <v>1851</v>
      </c>
      <c r="M81" s="107">
        <v>827</v>
      </c>
      <c r="N81" s="107"/>
    </row>
    <row r="82" spans="1:14" x14ac:dyDescent="0.15">
      <c r="A82" s="107">
        <v>1699</v>
      </c>
      <c r="B82" s="107" t="s">
        <v>197</v>
      </c>
      <c r="C82" s="107" t="s">
        <v>271</v>
      </c>
      <c r="D82" s="107">
        <v>262</v>
      </c>
      <c r="E82" s="107" t="s">
        <v>293</v>
      </c>
      <c r="F82" s="107" t="s">
        <v>285</v>
      </c>
      <c r="G82" s="107">
        <v>52</v>
      </c>
      <c r="H82" s="107">
        <v>8</v>
      </c>
      <c r="I82" s="107">
        <v>0</v>
      </c>
      <c r="J82" s="107">
        <f t="shared" si="1"/>
        <v>0.19999999999999998</v>
      </c>
      <c r="K82" s="107">
        <v>4043</v>
      </c>
      <c r="L82" s="107">
        <v>1851</v>
      </c>
      <c r="M82" s="107">
        <v>851</v>
      </c>
      <c r="N82" s="107"/>
    </row>
    <row r="83" spans="1:14" x14ac:dyDescent="0.15">
      <c r="A83" s="107">
        <v>1700</v>
      </c>
      <c r="B83" s="107" t="s">
        <v>200</v>
      </c>
      <c r="C83" s="107" t="s">
        <v>271</v>
      </c>
      <c r="D83" s="107">
        <v>244</v>
      </c>
      <c r="E83" s="107" t="s">
        <v>293</v>
      </c>
      <c r="F83" s="107" t="s">
        <v>285</v>
      </c>
      <c r="G83" s="107">
        <v>67</v>
      </c>
      <c r="H83" s="107">
        <v>2</v>
      </c>
      <c r="I83" s="107">
        <v>0</v>
      </c>
      <c r="J83" s="107">
        <f t="shared" si="1"/>
        <v>0.27499999999999997</v>
      </c>
      <c r="K83" s="107">
        <v>4047</v>
      </c>
      <c r="L83" s="107">
        <v>1855</v>
      </c>
      <c r="M83" s="107">
        <v>525</v>
      </c>
      <c r="N83" s="107" t="s">
        <v>272</v>
      </c>
    </row>
    <row r="84" spans="1:14" x14ac:dyDescent="0.15">
      <c r="A84" s="107">
        <v>1701</v>
      </c>
      <c r="B84" s="107" t="s">
        <v>197</v>
      </c>
      <c r="C84" s="107" t="s">
        <v>271</v>
      </c>
      <c r="D84" s="107">
        <v>239.5</v>
      </c>
      <c r="E84" s="107" t="s">
        <v>293</v>
      </c>
      <c r="F84" s="107" t="s">
        <v>285</v>
      </c>
      <c r="G84" s="107">
        <v>65</v>
      </c>
      <c r="H84" s="107">
        <v>17</v>
      </c>
      <c r="I84" s="107">
        <v>14</v>
      </c>
      <c r="J84" s="107">
        <f t="shared" si="1"/>
        <v>0.27513048016701458</v>
      </c>
      <c r="K84" s="107">
        <v>4047</v>
      </c>
      <c r="L84" s="107">
        <v>1855</v>
      </c>
      <c r="M84" s="107">
        <v>556</v>
      </c>
      <c r="N84" s="107" t="s">
        <v>294</v>
      </c>
    </row>
    <row r="85" spans="1:14" x14ac:dyDescent="0.15">
      <c r="A85" s="107">
        <v>1702</v>
      </c>
      <c r="B85" s="107" t="s">
        <v>244</v>
      </c>
      <c r="C85" s="107" t="s">
        <v>271</v>
      </c>
      <c r="D85" s="107">
        <v>1</v>
      </c>
      <c r="E85" s="107" t="s">
        <v>289</v>
      </c>
      <c r="F85" s="107" t="s">
        <v>285</v>
      </c>
      <c r="G85" s="107">
        <v>27</v>
      </c>
      <c r="H85" s="107">
        <v>12</v>
      </c>
      <c r="I85" s="107">
        <v>0</v>
      </c>
      <c r="J85" s="107">
        <f t="shared" si="1"/>
        <v>27.6</v>
      </c>
      <c r="K85" s="107">
        <v>4049</v>
      </c>
      <c r="L85" s="107">
        <v>1856</v>
      </c>
      <c r="M85" s="107">
        <v>497</v>
      </c>
      <c r="N85" s="107"/>
    </row>
    <row r="86" spans="1:14" x14ac:dyDescent="0.15">
      <c r="A86" s="107">
        <v>1702</v>
      </c>
      <c r="B86" s="107" t="s">
        <v>226</v>
      </c>
      <c r="C86" s="107" t="s">
        <v>271</v>
      </c>
      <c r="D86" s="107">
        <v>382.25</v>
      </c>
      <c r="E86" s="107" t="s">
        <v>212</v>
      </c>
      <c r="F86" s="107" t="s">
        <v>285</v>
      </c>
      <c r="G86" s="107">
        <v>76</v>
      </c>
      <c r="H86" s="107">
        <v>9</v>
      </c>
      <c r="I86" s="107">
        <v>0</v>
      </c>
      <c r="J86" s="107">
        <f t="shared" si="1"/>
        <v>0.2</v>
      </c>
      <c r="K86" s="107">
        <v>4049</v>
      </c>
      <c r="L86" s="107">
        <v>1856</v>
      </c>
      <c r="M86" s="107">
        <v>503</v>
      </c>
      <c r="N86" s="107"/>
    </row>
    <row r="87" spans="1:14" x14ac:dyDescent="0.15">
      <c r="A87" s="107">
        <v>1703</v>
      </c>
      <c r="B87" s="107" t="s">
        <v>226</v>
      </c>
      <c r="C87" s="107" t="s">
        <v>271</v>
      </c>
      <c r="D87" s="107">
        <v>1381</v>
      </c>
      <c r="E87" s="107" t="s">
        <v>212</v>
      </c>
      <c r="F87" s="107" t="s">
        <v>285</v>
      </c>
      <c r="G87" s="107">
        <v>310</v>
      </c>
      <c r="H87" s="107">
        <v>14</v>
      </c>
      <c r="I87" s="107">
        <v>8</v>
      </c>
      <c r="J87" s="107">
        <f t="shared" si="1"/>
        <v>0.22499999999999998</v>
      </c>
      <c r="K87" s="107">
        <v>4050</v>
      </c>
      <c r="L87" s="107">
        <v>1858</v>
      </c>
      <c r="M87" s="107">
        <v>543</v>
      </c>
      <c r="N87" s="107"/>
    </row>
    <row r="88" spans="1:14" x14ac:dyDescent="0.15">
      <c r="A88" s="107">
        <v>1708</v>
      </c>
      <c r="B88" s="107" t="s">
        <v>253</v>
      </c>
      <c r="C88" s="107" t="s">
        <v>268</v>
      </c>
      <c r="D88" s="25">
        <v>238</v>
      </c>
      <c r="E88" s="107" t="s">
        <v>212</v>
      </c>
      <c r="F88" s="107" t="s">
        <v>285</v>
      </c>
      <c r="G88" s="107">
        <v>75</v>
      </c>
      <c r="H88" s="107">
        <v>17</v>
      </c>
      <c r="I88" s="107">
        <v>0</v>
      </c>
      <c r="J88" s="107">
        <f t="shared" si="1"/>
        <v>0.31869747899159662</v>
      </c>
      <c r="K88" s="107">
        <v>5571</v>
      </c>
      <c r="L88" s="107"/>
      <c r="M88" s="107"/>
      <c r="N88" s="107"/>
    </row>
    <row r="89" spans="1:14" x14ac:dyDescent="0.15">
      <c r="A89" s="107">
        <v>1716</v>
      </c>
      <c r="B89" s="107" t="s">
        <v>197</v>
      </c>
      <c r="C89" s="107" t="s">
        <v>268</v>
      </c>
      <c r="D89" s="25">
        <v>1020</v>
      </c>
      <c r="E89" s="107" t="s">
        <v>212</v>
      </c>
      <c r="F89" s="107" t="s">
        <v>285</v>
      </c>
      <c r="G89" s="107">
        <v>312</v>
      </c>
      <c r="H89" s="107">
        <v>7</v>
      </c>
      <c r="I89" s="107">
        <v>8</v>
      </c>
      <c r="J89" s="107">
        <f t="shared" si="1"/>
        <v>0.30625000000000002</v>
      </c>
      <c r="K89" s="107">
        <v>5670</v>
      </c>
      <c r="L89" s="107"/>
      <c r="M89" s="107"/>
      <c r="N89" s="107"/>
    </row>
    <row r="90" spans="1:14" x14ac:dyDescent="0.15">
      <c r="A90" s="107">
        <v>1717</v>
      </c>
      <c r="B90" s="107" t="s">
        <v>192</v>
      </c>
      <c r="C90" s="107" t="s">
        <v>268</v>
      </c>
      <c r="D90" s="25">
        <v>153</v>
      </c>
      <c r="E90" s="107" t="s">
        <v>212</v>
      </c>
      <c r="F90" s="107" t="s">
        <v>285</v>
      </c>
      <c r="G90" s="107">
        <v>46</v>
      </c>
      <c r="H90" s="107">
        <v>17</v>
      </c>
      <c r="I90" s="107">
        <v>0</v>
      </c>
      <c r="J90" s="107">
        <f t="shared" si="1"/>
        <v>0.30620915032679741</v>
      </c>
      <c r="K90" s="107">
        <v>5683</v>
      </c>
      <c r="L90" s="107"/>
      <c r="M90" s="107"/>
      <c r="N90" s="107"/>
    </row>
    <row r="91" spans="1:14" x14ac:dyDescent="0.15">
      <c r="A91" s="107">
        <v>1720</v>
      </c>
      <c r="B91" s="107" t="s">
        <v>253</v>
      </c>
      <c r="C91" s="107" t="s">
        <v>268</v>
      </c>
      <c r="D91" s="25">
        <v>2346</v>
      </c>
      <c r="E91" s="107" t="s">
        <v>212</v>
      </c>
      <c r="F91" s="107" t="s">
        <v>285</v>
      </c>
      <c r="G91" s="107">
        <v>579</v>
      </c>
      <c r="H91" s="107">
        <v>3</v>
      </c>
      <c r="I91" s="107">
        <v>8</v>
      </c>
      <c r="J91" s="107">
        <f t="shared" si="1"/>
        <v>0.2468776641091219</v>
      </c>
      <c r="K91" s="107">
        <v>5731</v>
      </c>
      <c r="L91" s="107"/>
      <c r="M91" s="107"/>
      <c r="N91" s="107"/>
    </row>
    <row r="92" spans="1:14" x14ac:dyDescent="0.15">
      <c r="A92" s="107">
        <v>1741</v>
      </c>
      <c r="B92" s="107" t="s">
        <v>196</v>
      </c>
      <c r="C92" s="107" t="s">
        <v>268</v>
      </c>
      <c r="D92" s="25">
        <v>204</v>
      </c>
      <c r="E92" s="107" t="s">
        <v>212</v>
      </c>
      <c r="F92" s="107" t="s">
        <v>285</v>
      </c>
      <c r="G92" s="107">
        <v>56</v>
      </c>
      <c r="H92" s="107">
        <v>2</v>
      </c>
      <c r="I92" s="107">
        <v>0</v>
      </c>
      <c r="J92" s="107">
        <f t="shared" si="1"/>
        <v>0.27500000000000002</v>
      </c>
      <c r="K92" s="107">
        <v>6115</v>
      </c>
      <c r="L92" s="107"/>
      <c r="M92" s="107"/>
      <c r="N92" s="107"/>
    </row>
    <row r="93" spans="1:14" x14ac:dyDescent="0.15">
      <c r="A93" s="107">
        <v>1745</v>
      </c>
      <c r="B93" s="107" t="s">
        <v>200</v>
      </c>
      <c r="C93" s="107" t="s">
        <v>268</v>
      </c>
      <c r="D93" s="25">
        <v>408</v>
      </c>
      <c r="E93" s="107" t="s">
        <v>212</v>
      </c>
      <c r="F93" s="107" t="s">
        <v>285</v>
      </c>
      <c r="G93" s="107">
        <v>121</v>
      </c>
      <c r="H93" s="107">
        <v>2</v>
      </c>
      <c r="I93" s="107">
        <v>8</v>
      </c>
      <c r="J93" s="107">
        <f t="shared" si="1"/>
        <v>0.296875</v>
      </c>
      <c r="K93" s="107">
        <v>6177</v>
      </c>
      <c r="L93" s="107"/>
      <c r="M93" s="107"/>
      <c r="N93" s="107"/>
    </row>
    <row r="94" spans="1:14" x14ac:dyDescent="0.15">
      <c r="A94" s="107">
        <v>1760</v>
      </c>
      <c r="B94" s="107" t="s">
        <v>244</v>
      </c>
      <c r="C94" s="107" t="s">
        <v>268</v>
      </c>
      <c r="D94" s="25">
        <v>388</v>
      </c>
      <c r="E94" s="107" t="s">
        <v>212</v>
      </c>
      <c r="F94" s="107" t="s">
        <v>285</v>
      </c>
      <c r="G94" s="107">
        <v>84</v>
      </c>
      <c r="H94" s="107">
        <v>17</v>
      </c>
      <c r="I94" s="107">
        <v>8</v>
      </c>
      <c r="J94" s="107">
        <f t="shared" si="1"/>
        <v>0.21875</v>
      </c>
      <c r="K94" s="107">
        <v>6374</v>
      </c>
      <c r="L94" s="107"/>
      <c r="M94" s="107"/>
      <c r="N94" s="107"/>
    </row>
    <row r="95" spans="1:14" x14ac:dyDescent="0.15">
      <c r="A95" s="107">
        <v>1765</v>
      </c>
      <c r="B95" s="107" t="s">
        <v>196</v>
      </c>
      <c r="C95" s="107" t="s">
        <v>268</v>
      </c>
      <c r="D95" s="25">
        <v>388</v>
      </c>
      <c r="E95" s="107" t="s">
        <v>212</v>
      </c>
      <c r="F95" s="107" t="s">
        <v>285</v>
      </c>
      <c r="G95" s="107">
        <v>86</v>
      </c>
      <c r="H95" s="107">
        <v>2</v>
      </c>
      <c r="I95" s="107">
        <v>0</v>
      </c>
      <c r="J95" s="107">
        <f t="shared" si="1"/>
        <v>0.22190721649484535</v>
      </c>
      <c r="K95" s="107">
        <v>6454</v>
      </c>
      <c r="L95" s="107"/>
      <c r="M95" s="107"/>
      <c r="N95" s="107"/>
    </row>
    <row r="96" spans="1:14" x14ac:dyDescent="0.15">
      <c r="A96" s="107">
        <v>1766</v>
      </c>
      <c r="B96" s="107" t="s">
        <v>261</v>
      </c>
      <c r="C96" s="107" t="s">
        <v>268</v>
      </c>
      <c r="D96" s="25">
        <v>388</v>
      </c>
      <c r="E96" s="107" t="s">
        <v>212</v>
      </c>
      <c r="F96" s="107" t="s">
        <v>285</v>
      </c>
      <c r="G96" s="107">
        <v>84</v>
      </c>
      <c r="H96" s="107">
        <v>17</v>
      </c>
      <c r="I96" s="107">
        <v>8</v>
      </c>
      <c r="J96" s="107">
        <f t="shared" si="1"/>
        <v>0.21875</v>
      </c>
      <c r="K96" s="107">
        <v>6457</v>
      </c>
      <c r="L96" s="107"/>
      <c r="M96" s="107"/>
      <c r="N96" s="107"/>
    </row>
    <row r="97" spans="1:11" x14ac:dyDescent="0.15">
      <c r="A97" s="107">
        <v>1767</v>
      </c>
      <c r="B97" s="107" t="s">
        <v>197</v>
      </c>
      <c r="C97" s="107" t="s">
        <v>268</v>
      </c>
      <c r="D97" s="25">
        <v>776</v>
      </c>
      <c r="E97" s="107" t="s">
        <v>212</v>
      </c>
      <c r="F97" s="107" t="s">
        <v>285</v>
      </c>
      <c r="G97" s="107">
        <v>169</v>
      </c>
      <c r="H97" s="107">
        <v>15</v>
      </c>
      <c r="I97" s="107">
        <v>0</v>
      </c>
      <c r="J97" s="107">
        <f t="shared" si="1"/>
        <v>0.21875</v>
      </c>
      <c r="K97" s="107">
        <v>6475</v>
      </c>
    </row>
    <row r="98" spans="1:11" x14ac:dyDescent="0.15">
      <c r="A98" s="107">
        <v>1768</v>
      </c>
      <c r="B98" s="107" t="s">
        <v>260</v>
      </c>
      <c r="C98" s="107" t="s">
        <v>268</v>
      </c>
      <c r="D98" s="25">
        <v>776</v>
      </c>
      <c r="E98" s="107" t="s">
        <v>212</v>
      </c>
      <c r="F98" s="107" t="s">
        <v>285</v>
      </c>
      <c r="G98" s="107">
        <v>169</v>
      </c>
      <c r="H98" s="107">
        <v>15</v>
      </c>
      <c r="I98" s="107">
        <v>0</v>
      </c>
      <c r="J98" s="107">
        <f t="shared" si="1"/>
        <v>0.21875</v>
      </c>
      <c r="K98" s="107">
        <v>6489</v>
      </c>
    </row>
    <row r="99" spans="1:11" x14ac:dyDescent="0.15">
      <c r="A99" s="107">
        <v>1769</v>
      </c>
      <c r="B99" s="107" t="s">
        <v>260</v>
      </c>
      <c r="C99" s="107" t="s">
        <v>268</v>
      </c>
      <c r="D99" s="25">
        <v>582</v>
      </c>
      <c r="E99" s="107" t="s">
        <v>212</v>
      </c>
      <c r="F99" s="107" t="s">
        <v>285</v>
      </c>
      <c r="G99" s="107">
        <v>132</v>
      </c>
      <c r="H99" s="107">
        <v>15</v>
      </c>
      <c r="I99" s="107">
        <v>8</v>
      </c>
      <c r="J99" s="107">
        <f t="shared" si="1"/>
        <v>0.22813573883161514</v>
      </c>
      <c r="K99" s="107">
        <v>6518</v>
      </c>
    </row>
    <row r="100" spans="1:11" x14ac:dyDescent="0.15">
      <c r="A100" s="107">
        <v>1770</v>
      </c>
      <c r="B100" s="107" t="s">
        <v>200</v>
      </c>
      <c r="C100" s="107" t="s">
        <v>268</v>
      </c>
      <c r="D100" s="25">
        <v>388</v>
      </c>
      <c r="E100" s="107" t="s">
        <v>212</v>
      </c>
      <c r="F100" s="107" t="s">
        <v>285</v>
      </c>
      <c r="G100" s="107">
        <v>70</v>
      </c>
      <c r="H100" s="107">
        <v>6</v>
      </c>
      <c r="I100" s="107">
        <v>8</v>
      </c>
      <c r="J100" s="107">
        <f t="shared" si="1"/>
        <v>0.18124999999999999</v>
      </c>
      <c r="K100" s="107">
        <v>6535</v>
      </c>
    </row>
    <row r="101" spans="1:11" x14ac:dyDescent="0.15">
      <c r="A101" s="107">
        <v>1771</v>
      </c>
      <c r="B101" s="107" t="s">
        <v>261</v>
      </c>
      <c r="C101" s="107" t="s">
        <v>268</v>
      </c>
      <c r="D101" s="25">
        <v>194</v>
      </c>
      <c r="E101" s="107" t="s">
        <v>212</v>
      </c>
      <c r="F101" s="107" t="s">
        <v>285</v>
      </c>
      <c r="G101" s="107">
        <v>35</v>
      </c>
      <c r="H101" s="107">
        <v>15</v>
      </c>
      <c r="I101" s="107">
        <v>8</v>
      </c>
      <c r="J101" s="107">
        <f t="shared" si="1"/>
        <v>0.18440721649484534</v>
      </c>
      <c r="K101" s="107">
        <v>6540</v>
      </c>
    </row>
    <row r="102" spans="1:11" x14ac:dyDescent="0.15">
      <c r="A102" s="107">
        <v>1772</v>
      </c>
      <c r="B102" s="107" t="s">
        <v>197</v>
      </c>
      <c r="C102" s="107" t="s">
        <v>268</v>
      </c>
      <c r="D102" s="25">
        <v>582</v>
      </c>
      <c r="E102" s="107" t="s">
        <v>212</v>
      </c>
      <c r="F102" s="107" t="s">
        <v>285</v>
      </c>
      <c r="G102" s="107">
        <v>105</v>
      </c>
      <c r="H102" s="107">
        <v>10</v>
      </c>
      <c r="I102" s="107">
        <v>0</v>
      </c>
      <c r="J102" s="107">
        <f t="shared" si="1"/>
        <v>0.18127147766323023</v>
      </c>
      <c r="K102" s="107">
        <v>6551</v>
      </c>
    </row>
    <row r="103" spans="1:11" x14ac:dyDescent="0.15">
      <c r="A103" s="107">
        <v>1773</v>
      </c>
      <c r="B103" s="107" t="s">
        <v>260</v>
      </c>
      <c r="C103" s="107" t="s">
        <v>268</v>
      </c>
      <c r="D103" s="25">
        <v>388</v>
      </c>
      <c r="E103" s="107" t="s">
        <v>212</v>
      </c>
      <c r="F103" s="107" t="s">
        <v>285</v>
      </c>
      <c r="G103" s="107">
        <v>70</v>
      </c>
      <c r="H103" s="107">
        <v>6</v>
      </c>
      <c r="I103" s="107">
        <v>8</v>
      </c>
      <c r="J103" s="107">
        <f t="shared" si="1"/>
        <v>0.18124999999999999</v>
      </c>
      <c r="K103" s="107">
        <v>6566</v>
      </c>
    </row>
    <row r="104" spans="1:11" x14ac:dyDescent="0.15">
      <c r="A104" s="107">
        <v>1774</v>
      </c>
      <c r="B104" s="107" t="s">
        <v>260</v>
      </c>
      <c r="C104" s="107" t="s">
        <v>268</v>
      </c>
      <c r="D104" s="25">
        <v>194</v>
      </c>
      <c r="E104" s="107" t="s">
        <v>212</v>
      </c>
      <c r="F104" s="107" t="s">
        <v>285</v>
      </c>
      <c r="G104" s="107">
        <v>95</v>
      </c>
      <c r="H104" s="107">
        <v>3</v>
      </c>
      <c r="I104" s="107">
        <v>0</v>
      </c>
      <c r="J104" s="107">
        <f t="shared" si="1"/>
        <v>0.49046391752577323</v>
      </c>
      <c r="K104" s="25">
        <v>6589</v>
      </c>
    </row>
    <row r="105" spans="1:11" x14ac:dyDescent="0.15">
      <c r="A105" s="107">
        <v>1775</v>
      </c>
      <c r="B105" s="107" t="s">
        <v>196</v>
      </c>
      <c r="C105" s="107" t="s">
        <v>268</v>
      </c>
      <c r="D105" s="25">
        <v>388</v>
      </c>
      <c r="E105" s="107" t="s">
        <v>212</v>
      </c>
      <c r="F105" s="107" t="s">
        <v>285</v>
      </c>
      <c r="G105" s="107">
        <v>73</v>
      </c>
      <c r="H105" s="107">
        <v>19</v>
      </c>
      <c r="I105" s="107">
        <v>0</v>
      </c>
      <c r="J105" s="107">
        <f t="shared" si="1"/>
        <v>0.19059278350515466</v>
      </c>
      <c r="K105" s="107">
        <v>6611</v>
      </c>
    </row>
    <row r="106" spans="1:11" x14ac:dyDescent="0.15">
      <c r="A106" s="107">
        <v>1776</v>
      </c>
      <c r="B106" s="107" t="s">
        <v>253</v>
      </c>
      <c r="C106" s="107" t="s">
        <v>268</v>
      </c>
      <c r="D106" s="25">
        <v>194</v>
      </c>
      <c r="E106" s="107" t="s">
        <v>212</v>
      </c>
      <c r="F106" s="107" t="s">
        <v>285</v>
      </c>
      <c r="G106" s="107">
        <v>35</v>
      </c>
      <c r="H106" s="107">
        <v>3</v>
      </c>
      <c r="I106" s="107">
        <v>8</v>
      </c>
      <c r="J106" s="107">
        <f t="shared" si="1"/>
        <v>0.18131443298969072</v>
      </c>
      <c r="K106" s="107">
        <v>6627</v>
      </c>
    </row>
    <row r="107" spans="1:11" x14ac:dyDescent="0.15">
      <c r="A107" s="107">
        <v>1777</v>
      </c>
      <c r="B107" s="107" t="s">
        <v>253</v>
      </c>
      <c r="C107" s="107" t="s">
        <v>268</v>
      </c>
      <c r="D107" s="25">
        <v>388</v>
      </c>
      <c r="E107" s="107" t="s">
        <v>212</v>
      </c>
      <c r="F107" s="107" t="s">
        <v>285</v>
      </c>
      <c r="G107" s="107">
        <v>71</v>
      </c>
      <c r="H107" s="107">
        <v>11</v>
      </c>
      <c r="I107" s="107">
        <v>0</v>
      </c>
      <c r="J107" s="107">
        <f t="shared" si="1"/>
        <v>0.18440721649484534</v>
      </c>
      <c r="K107" s="107">
        <v>6643</v>
      </c>
    </row>
    <row r="108" spans="1:11" x14ac:dyDescent="0.15">
      <c r="A108" s="107">
        <v>1778</v>
      </c>
      <c r="B108" s="107" t="s">
        <v>192</v>
      </c>
      <c r="C108" s="107" t="s">
        <v>268</v>
      </c>
      <c r="D108" s="25">
        <v>388</v>
      </c>
      <c r="E108" s="107" t="s">
        <v>212</v>
      </c>
      <c r="F108" s="107" t="s">
        <v>285</v>
      </c>
      <c r="G108" s="107">
        <v>70</v>
      </c>
      <c r="H108" s="107">
        <v>6</v>
      </c>
      <c r="I108" s="107">
        <v>8</v>
      </c>
      <c r="J108" s="107">
        <f t="shared" si="1"/>
        <v>0.18124999999999999</v>
      </c>
      <c r="K108" s="107">
        <v>6663</v>
      </c>
    </row>
    <row r="109" spans="1:11" x14ac:dyDescent="0.15">
      <c r="A109" s="107">
        <v>1780</v>
      </c>
      <c r="B109" s="107" t="s">
        <v>196</v>
      </c>
      <c r="C109" s="107" t="s">
        <v>268</v>
      </c>
      <c r="D109" s="25">
        <v>194</v>
      </c>
      <c r="E109" s="107" t="s">
        <v>212</v>
      </c>
      <c r="F109" s="107" t="s">
        <v>285</v>
      </c>
      <c r="G109" s="107">
        <v>35</v>
      </c>
      <c r="H109" s="107">
        <v>3</v>
      </c>
      <c r="I109" s="107">
        <v>8</v>
      </c>
      <c r="J109" s="107">
        <f t="shared" si="1"/>
        <v>0.18131443298969072</v>
      </c>
      <c r="K109" s="107">
        <v>6679</v>
      </c>
    </row>
    <row r="110" spans="1:11" x14ac:dyDescent="0.15">
      <c r="A110" s="107">
        <v>1780</v>
      </c>
      <c r="B110" s="107" t="s">
        <v>200</v>
      </c>
      <c r="C110" s="107" t="s">
        <v>268</v>
      </c>
      <c r="D110" s="25">
        <v>388</v>
      </c>
      <c r="E110" s="107" t="s">
        <v>212</v>
      </c>
      <c r="F110" s="107" t="s">
        <v>285</v>
      </c>
      <c r="G110" s="107">
        <v>70</v>
      </c>
      <c r="H110" s="107">
        <v>6</v>
      </c>
      <c r="I110" s="107">
        <v>8</v>
      </c>
      <c r="J110" s="107">
        <f t="shared" si="1"/>
        <v>0.18124999999999999</v>
      </c>
      <c r="K110" s="107">
        <v>6689</v>
      </c>
    </row>
    <row r="111" spans="1:11" x14ac:dyDescent="0.15">
      <c r="A111" s="107">
        <v>1781</v>
      </c>
      <c r="B111" s="107" t="s">
        <v>261</v>
      </c>
      <c r="C111" s="107" t="s">
        <v>268</v>
      </c>
      <c r="D111" s="25">
        <v>194</v>
      </c>
      <c r="E111" s="107" t="s">
        <v>212</v>
      </c>
      <c r="F111" s="107" t="s">
        <v>285</v>
      </c>
      <c r="G111" s="107">
        <v>35</v>
      </c>
      <c r="H111" s="107">
        <v>15</v>
      </c>
      <c r="I111" s="107">
        <v>8</v>
      </c>
      <c r="J111" s="107">
        <f t="shared" si="1"/>
        <v>0.18440721649484534</v>
      </c>
      <c r="K111" s="107">
        <v>6699</v>
      </c>
    </row>
    <row r="112" spans="1:11" x14ac:dyDescent="0.15">
      <c r="A112" s="107">
        <v>1783</v>
      </c>
      <c r="B112" s="107" t="s">
        <v>236</v>
      </c>
      <c r="C112" s="107" t="s">
        <v>268</v>
      </c>
      <c r="D112" s="25">
        <v>388</v>
      </c>
      <c r="E112" s="107" t="s">
        <v>212</v>
      </c>
      <c r="F112" s="107" t="s">
        <v>285</v>
      </c>
      <c r="G112" s="107">
        <v>176</v>
      </c>
      <c r="H112" s="107">
        <v>0</v>
      </c>
      <c r="I112" s="107">
        <v>0</v>
      </c>
      <c r="J112" s="107">
        <f t="shared" si="1"/>
        <v>0.45360824742268041</v>
      </c>
      <c r="K112" s="107">
        <v>6714</v>
      </c>
    </row>
    <row r="113" spans="1:15" x14ac:dyDescent="0.15">
      <c r="A113" s="107">
        <v>1784</v>
      </c>
      <c r="B113" s="107" t="s">
        <v>236</v>
      </c>
      <c r="C113" s="107" t="s">
        <v>268</v>
      </c>
      <c r="D113" s="25">
        <v>194</v>
      </c>
      <c r="E113" s="107" t="s">
        <v>212</v>
      </c>
      <c r="F113" s="107" t="s">
        <v>285</v>
      </c>
      <c r="G113" s="107">
        <v>32</v>
      </c>
      <c r="H113" s="107">
        <v>14</v>
      </c>
      <c r="I113" s="107">
        <v>8</v>
      </c>
      <c r="J113" s="107">
        <f t="shared" si="1"/>
        <v>0.16868556701030929</v>
      </c>
      <c r="K113" s="107">
        <v>6733</v>
      </c>
      <c r="L113" s="107"/>
      <c r="M113" s="107"/>
      <c r="N113" s="107"/>
      <c r="O113" s="107"/>
    </row>
    <row r="114" spans="1:15" x14ac:dyDescent="0.15">
      <c r="A114" s="107">
        <v>1786</v>
      </c>
      <c r="B114" s="107" t="s">
        <v>261</v>
      </c>
      <c r="C114" s="107" t="s">
        <v>268</v>
      </c>
      <c r="D114" s="25">
        <v>154.5</v>
      </c>
      <c r="E114" s="107" t="s">
        <v>212</v>
      </c>
      <c r="F114" s="107" t="s">
        <v>285</v>
      </c>
      <c r="G114" s="107">
        <v>26</v>
      </c>
      <c r="H114" s="107">
        <v>7</v>
      </c>
      <c r="I114" s="107">
        <v>8</v>
      </c>
      <c r="J114" s="107">
        <f t="shared" si="1"/>
        <v>0.17071197411003236</v>
      </c>
      <c r="K114" s="107">
        <v>6746</v>
      </c>
      <c r="L114" s="107"/>
      <c r="M114" s="107"/>
      <c r="N114" s="107"/>
      <c r="O114" s="107"/>
    </row>
    <row r="115" spans="1:15" x14ac:dyDescent="0.15">
      <c r="A115" s="107">
        <v>1787</v>
      </c>
      <c r="B115" s="107" t="s">
        <v>197</v>
      </c>
      <c r="C115" s="107" t="s">
        <v>268</v>
      </c>
      <c r="D115" s="25">
        <v>194</v>
      </c>
      <c r="E115" s="107" t="s">
        <v>212</v>
      </c>
      <c r="F115" s="107" t="s">
        <v>285</v>
      </c>
      <c r="G115" s="107">
        <v>35</v>
      </c>
      <c r="H115" s="107">
        <v>15</v>
      </c>
      <c r="I115" s="107">
        <v>8</v>
      </c>
      <c r="J115" s="107">
        <f t="shared" si="1"/>
        <v>0.18440721649484534</v>
      </c>
      <c r="K115" s="107">
        <v>6752</v>
      </c>
      <c r="L115" s="107"/>
      <c r="M115" s="107"/>
      <c r="N115" s="107"/>
      <c r="O115" s="107"/>
    </row>
    <row r="116" spans="1:15" x14ac:dyDescent="0.15">
      <c r="A116" s="107">
        <v>1790</v>
      </c>
      <c r="B116" s="107" t="s">
        <v>226</v>
      </c>
      <c r="C116" s="107" t="s">
        <v>268</v>
      </c>
      <c r="D116" s="25">
        <v>240</v>
      </c>
      <c r="E116" s="107" t="s">
        <v>212</v>
      </c>
      <c r="F116" s="107" t="s">
        <v>285</v>
      </c>
      <c r="G116" s="107">
        <v>43</v>
      </c>
      <c r="H116" s="107">
        <v>10</v>
      </c>
      <c r="I116" s="107">
        <v>0</v>
      </c>
      <c r="J116" s="107">
        <f t="shared" si="1"/>
        <v>0.18124999999999999</v>
      </c>
      <c r="K116" s="25">
        <v>6790</v>
      </c>
      <c r="L116" s="107"/>
      <c r="M116" s="107"/>
      <c r="N116" s="107"/>
      <c r="O116" s="107"/>
    </row>
    <row r="117" spans="1:15" x14ac:dyDescent="0.15">
      <c r="A117" s="107">
        <v>1657</v>
      </c>
      <c r="B117" s="107" t="s">
        <v>197</v>
      </c>
      <c r="C117" s="107" t="s">
        <v>274</v>
      </c>
      <c r="D117" s="107">
        <v>9</v>
      </c>
      <c r="E117" s="107" t="s">
        <v>297</v>
      </c>
      <c r="F117" s="107" t="s">
        <v>298</v>
      </c>
      <c r="G117" s="107">
        <v>5</v>
      </c>
      <c r="H117" s="107">
        <v>8</v>
      </c>
      <c r="I117" s="107">
        <v>0</v>
      </c>
      <c r="J117" s="107">
        <f t="shared" si="1"/>
        <v>0.60000000000000009</v>
      </c>
      <c r="K117" s="107">
        <v>3992</v>
      </c>
      <c r="L117" s="107">
        <v>1789</v>
      </c>
      <c r="M117" s="107">
        <v>228</v>
      </c>
      <c r="N117" s="107"/>
      <c r="O117" s="107"/>
    </row>
    <row r="118" spans="1:15" x14ac:dyDescent="0.15">
      <c r="A118" s="107">
        <v>1657</v>
      </c>
      <c r="B118" s="107" t="s">
        <v>261</v>
      </c>
      <c r="C118" s="107" t="s">
        <v>274</v>
      </c>
      <c r="D118" s="107">
        <v>8.5</v>
      </c>
      <c r="E118" s="107" t="s">
        <v>212</v>
      </c>
      <c r="F118" s="107" t="s">
        <v>298</v>
      </c>
      <c r="G118" s="107">
        <v>5</v>
      </c>
      <c r="H118" s="107">
        <v>2</v>
      </c>
      <c r="I118" s="107">
        <v>0</v>
      </c>
      <c r="J118" s="107">
        <f t="shared" si="1"/>
        <v>0.6</v>
      </c>
      <c r="K118" s="107">
        <v>3992</v>
      </c>
      <c r="L118" s="107">
        <v>1789</v>
      </c>
      <c r="M118" s="107">
        <v>240</v>
      </c>
      <c r="N118" s="107"/>
      <c r="O118" s="107"/>
    </row>
    <row r="119" spans="1:15" x14ac:dyDescent="0.15">
      <c r="A119" s="107">
        <v>1674</v>
      </c>
      <c r="B119" s="107" t="s">
        <v>197</v>
      </c>
      <c r="C119" s="107" t="s">
        <v>274</v>
      </c>
      <c r="D119" s="107">
        <v>6</v>
      </c>
      <c r="E119" s="107" t="s">
        <v>293</v>
      </c>
      <c r="F119" s="107" t="s">
        <v>298</v>
      </c>
      <c r="G119" s="107">
        <v>1</v>
      </c>
      <c r="H119" s="107">
        <v>13</v>
      </c>
      <c r="I119" s="107">
        <v>0</v>
      </c>
      <c r="J119" s="107">
        <f t="shared" si="1"/>
        <v>0.27499999999999997</v>
      </c>
      <c r="K119" s="107">
        <v>4011</v>
      </c>
      <c r="L119" s="107">
        <v>1814</v>
      </c>
      <c r="M119" s="107">
        <v>595</v>
      </c>
      <c r="N119" s="107" t="s">
        <v>294</v>
      </c>
      <c r="O119" s="107"/>
    </row>
    <row r="120" spans="1:15" x14ac:dyDescent="0.15">
      <c r="A120" s="107">
        <v>1676</v>
      </c>
      <c r="B120" s="107" t="s">
        <v>197</v>
      </c>
      <c r="C120" s="107" t="s">
        <v>274</v>
      </c>
      <c r="D120" s="107">
        <v>18</v>
      </c>
      <c r="E120" s="107" t="s">
        <v>293</v>
      </c>
      <c r="F120" s="107" t="s">
        <v>298</v>
      </c>
      <c r="G120" s="107">
        <v>4</v>
      </c>
      <c r="H120" s="107">
        <v>19</v>
      </c>
      <c r="I120" s="107">
        <v>0</v>
      </c>
      <c r="J120" s="107">
        <f t="shared" si="1"/>
        <v>0.27500000000000002</v>
      </c>
      <c r="K120" s="107">
        <v>4012</v>
      </c>
      <c r="L120" s="107">
        <v>1814</v>
      </c>
      <c r="M120" s="107">
        <v>430</v>
      </c>
      <c r="N120" s="107"/>
      <c r="O120" s="107"/>
    </row>
    <row r="121" spans="1:15" x14ac:dyDescent="0.15">
      <c r="A121" s="107">
        <v>1677</v>
      </c>
      <c r="B121" s="107" t="s">
        <v>197</v>
      </c>
      <c r="C121" s="107" t="s">
        <v>274</v>
      </c>
      <c r="D121" s="107">
        <v>128</v>
      </c>
      <c r="E121" s="107" t="s">
        <v>293</v>
      </c>
      <c r="F121" s="107" t="s">
        <v>298</v>
      </c>
      <c r="G121" s="107">
        <v>35</v>
      </c>
      <c r="H121" s="107">
        <v>4</v>
      </c>
      <c r="I121" s="107">
        <v>0</v>
      </c>
      <c r="J121" s="107">
        <f t="shared" si="1"/>
        <v>0.27500000000000002</v>
      </c>
      <c r="K121" s="107">
        <v>4013</v>
      </c>
      <c r="L121" s="107">
        <v>1816</v>
      </c>
      <c r="M121" s="107">
        <v>742</v>
      </c>
      <c r="N121" s="107"/>
      <c r="O121" s="107"/>
    </row>
    <row r="122" spans="1:15" x14ac:dyDescent="0.15">
      <c r="A122" s="107">
        <v>1684</v>
      </c>
      <c r="B122" s="107" t="s">
        <v>197</v>
      </c>
      <c r="C122" s="107" t="s">
        <v>271</v>
      </c>
      <c r="D122" s="107">
        <v>10.5</v>
      </c>
      <c r="E122" s="107" t="s">
        <v>293</v>
      </c>
      <c r="F122" s="107" t="s">
        <v>298</v>
      </c>
      <c r="G122" s="107">
        <v>2</v>
      </c>
      <c r="H122" s="107">
        <v>17</v>
      </c>
      <c r="I122" s="107">
        <v>12</v>
      </c>
      <c r="J122" s="107">
        <f t="shared" si="1"/>
        <v>0.27500000000000002</v>
      </c>
      <c r="K122" s="107">
        <v>4021</v>
      </c>
      <c r="L122" s="107">
        <v>1825</v>
      </c>
      <c r="M122" s="107">
        <v>666</v>
      </c>
      <c r="N122" s="107"/>
      <c r="O122" s="107"/>
    </row>
    <row r="123" spans="1:15" x14ac:dyDescent="0.15">
      <c r="A123" s="107">
        <v>1697</v>
      </c>
      <c r="B123" s="107" t="s">
        <v>197</v>
      </c>
      <c r="C123" s="107" t="s">
        <v>271</v>
      </c>
      <c r="D123" s="107">
        <v>57</v>
      </c>
      <c r="E123" s="107" t="s">
        <v>293</v>
      </c>
      <c r="F123" s="107" t="s">
        <v>298</v>
      </c>
      <c r="G123" s="107">
        <v>14</v>
      </c>
      <c r="H123" s="107">
        <v>5</v>
      </c>
      <c r="I123" s="107">
        <v>0</v>
      </c>
      <c r="J123" s="107">
        <f t="shared" si="1"/>
        <v>0.25</v>
      </c>
      <c r="K123" s="107">
        <v>4038</v>
      </c>
      <c r="L123" s="107">
        <v>1846</v>
      </c>
      <c r="M123" s="107">
        <v>713</v>
      </c>
      <c r="N123" s="107" t="s">
        <v>294</v>
      </c>
      <c r="O123" s="107"/>
    </row>
    <row r="124" spans="1:15" x14ac:dyDescent="0.15">
      <c r="A124" s="107">
        <v>1697</v>
      </c>
      <c r="B124" s="107" t="s">
        <v>197</v>
      </c>
      <c r="C124" s="107" t="s">
        <v>271</v>
      </c>
      <c r="D124" s="107">
        <v>64</v>
      </c>
      <c r="E124" s="107" t="s">
        <v>293</v>
      </c>
      <c r="F124" s="107" t="s">
        <v>298</v>
      </c>
      <c r="G124" s="107">
        <v>16</v>
      </c>
      <c r="H124" s="107">
        <v>0</v>
      </c>
      <c r="I124" s="107">
        <v>0</v>
      </c>
      <c r="J124" s="107">
        <f t="shared" si="1"/>
        <v>0.25</v>
      </c>
      <c r="K124" s="107">
        <v>4038</v>
      </c>
      <c r="L124" s="107">
        <v>1846</v>
      </c>
      <c r="M124" s="107">
        <v>717</v>
      </c>
      <c r="N124" s="107" t="s">
        <v>273</v>
      </c>
      <c r="O124" s="107"/>
    </row>
    <row r="125" spans="1:15" x14ac:dyDescent="0.15">
      <c r="A125" s="107">
        <v>1653</v>
      </c>
      <c r="B125" s="107" t="s">
        <v>197</v>
      </c>
      <c r="C125" s="107" t="s">
        <v>274</v>
      </c>
      <c r="D125" s="107">
        <v>1</v>
      </c>
      <c r="E125" s="107" t="s">
        <v>280</v>
      </c>
      <c r="F125" s="107" t="s">
        <v>298</v>
      </c>
      <c r="G125" s="107">
        <v>51</v>
      </c>
      <c r="H125" s="107">
        <v>0</v>
      </c>
      <c r="I125" s="107">
        <v>0</v>
      </c>
      <c r="J125" s="107">
        <f t="shared" si="1"/>
        <v>51</v>
      </c>
      <c r="K125" s="107">
        <v>3989</v>
      </c>
      <c r="L125" s="107">
        <v>1784</v>
      </c>
      <c r="M125" s="107">
        <v>147</v>
      </c>
      <c r="N125" s="107"/>
      <c r="O125" s="107"/>
    </row>
    <row r="126" spans="1:15" x14ac:dyDescent="0.15">
      <c r="A126" s="107">
        <v>1655</v>
      </c>
      <c r="B126" s="107" t="s">
        <v>196</v>
      </c>
      <c r="C126" s="107" t="s">
        <v>274</v>
      </c>
      <c r="D126" s="107">
        <v>0.16666666666666666</v>
      </c>
      <c r="E126" s="107" t="s">
        <v>280</v>
      </c>
      <c r="F126" s="107" t="s">
        <v>298</v>
      </c>
      <c r="G126" s="107">
        <v>15</v>
      </c>
      <c r="H126" s="107">
        <v>0</v>
      </c>
      <c r="I126" s="107">
        <v>0</v>
      </c>
      <c r="J126" s="107">
        <f t="shared" si="1"/>
        <v>90</v>
      </c>
      <c r="K126" s="107">
        <v>3990</v>
      </c>
      <c r="L126" s="107">
        <v>1788</v>
      </c>
      <c r="M126" s="107">
        <v>206</v>
      </c>
      <c r="N126" s="107" t="s">
        <v>288</v>
      </c>
      <c r="O126" s="107" t="s">
        <v>277</v>
      </c>
    </row>
    <row r="127" spans="1:15" x14ac:dyDescent="0.15">
      <c r="A127" s="107">
        <v>1655</v>
      </c>
      <c r="B127" s="107" t="s">
        <v>197</v>
      </c>
      <c r="C127" s="107" t="s">
        <v>274</v>
      </c>
      <c r="D127" s="107">
        <v>0.16666666666666999</v>
      </c>
      <c r="E127" s="107" t="s">
        <v>280</v>
      </c>
      <c r="F127" s="107" t="s">
        <v>298</v>
      </c>
      <c r="G127" s="107">
        <v>15</v>
      </c>
      <c r="H127" s="107">
        <v>0</v>
      </c>
      <c r="I127" s="107">
        <v>0</v>
      </c>
      <c r="J127" s="107">
        <f t="shared" si="1"/>
        <v>89.999999999998209</v>
      </c>
      <c r="K127" s="107">
        <v>3990</v>
      </c>
      <c r="L127" s="107">
        <v>1788</v>
      </c>
      <c r="M127" s="107">
        <v>207</v>
      </c>
      <c r="N127" s="107"/>
      <c r="O127" s="107"/>
    </row>
    <row r="128" spans="1:15" x14ac:dyDescent="0.15">
      <c r="A128" s="107">
        <v>1656</v>
      </c>
      <c r="B128" s="107" t="s">
        <v>244</v>
      </c>
      <c r="C128" s="107" t="s">
        <v>274</v>
      </c>
      <c r="D128" s="107">
        <v>3</v>
      </c>
      <c r="E128" s="107" t="s">
        <v>297</v>
      </c>
      <c r="F128" s="107" t="s">
        <v>298</v>
      </c>
      <c r="G128" s="107">
        <v>1</v>
      </c>
      <c r="H128" s="107">
        <v>16</v>
      </c>
      <c r="I128" s="107">
        <v>8</v>
      </c>
      <c r="J128" s="107">
        <f t="shared" si="1"/>
        <v>0.60833333333333328</v>
      </c>
      <c r="K128" s="107">
        <v>3991</v>
      </c>
      <c r="L128" s="107">
        <v>1788</v>
      </c>
      <c r="M128" s="107">
        <v>162</v>
      </c>
      <c r="N128" s="107"/>
      <c r="O128" s="107"/>
    </row>
    <row r="129" spans="1:14" x14ac:dyDescent="0.15">
      <c r="A129" s="107">
        <v>1659</v>
      </c>
      <c r="B129" s="107" t="s">
        <v>244</v>
      </c>
      <c r="C129" s="107" t="s">
        <v>274</v>
      </c>
      <c r="D129" s="107">
        <v>14.5</v>
      </c>
      <c r="E129" s="107" t="s">
        <v>293</v>
      </c>
      <c r="F129" s="107" t="s">
        <v>298</v>
      </c>
      <c r="G129" s="107">
        <v>7</v>
      </c>
      <c r="H129" s="107">
        <v>5</v>
      </c>
      <c r="I129" s="107">
        <v>0</v>
      </c>
      <c r="J129" s="107">
        <f t="shared" si="1"/>
        <v>0.5</v>
      </c>
      <c r="K129" s="107">
        <v>3994</v>
      </c>
      <c r="L129" s="107">
        <v>1792</v>
      </c>
      <c r="M129" s="107">
        <v>180</v>
      </c>
      <c r="N129" s="107"/>
    </row>
    <row r="130" spans="1:14" x14ac:dyDescent="0.15">
      <c r="A130" s="107">
        <v>1660</v>
      </c>
      <c r="B130" s="107" t="s">
        <v>186</v>
      </c>
      <c r="C130" s="107" t="s">
        <v>274</v>
      </c>
      <c r="D130" s="107">
        <v>191.5</v>
      </c>
      <c r="E130" s="107" t="s">
        <v>293</v>
      </c>
      <c r="F130" s="107" t="s">
        <v>298</v>
      </c>
      <c r="G130" s="107">
        <v>79</v>
      </c>
      <c r="H130" s="107">
        <v>17</v>
      </c>
      <c r="I130" s="107">
        <v>0</v>
      </c>
      <c r="J130" s="107">
        <f t="shared" ref="J130:J193" si="2">(G130+H130/20+I130/320)/D130</f>
        <v>0.41697127937336814</v>
      </c>
      <c r="K130" s="107">
        <v>3995</v>
      </c>
      <c r="L130" s="107">
        <v>1793</v>
      </c>
      <c r="M130" s="107">
        <v>232</v>
      </c>
      <c r="N130" s="107"/>
    </row>
    <row r="131" spans="1:14" x14ac:dyDescent="0.15">
      <c r="A131" s="107">
        <v>1661</v>
      </c>
      <c r="B131" s="107" t="s">
        <v>260</v>
      </c>
      <c r="C131" s="107" t="s">
        <v>274</v>
      </c>
      <c r="D131" s="107">
        <v>6</v>
      </c>
      <c r="E131" s="107" t="s">
        <v>293</v>
      </c>
      <c r="F131" s="107" t="s">
        <v>298</v>
      </c>
      <c r="G131" s="107">
        <v>3</v>
      </c>
      <c r="H131" s="107">
        <v>0</v>
      </c>
      <c r="I131" s="107">
        <v>0</v>
      </c>
      <c r="J131" s="107">
        <f t="shared" si="2"/>
        <v>0.5</v>
      </c>
      <c r="K131" s="107">
        <v>3996</v>
      </c>
      <c r="L131" s="107">
        <v>1794</v>
      </c>
      <c r="M131" s="107" t="s">
        <v>290</v>
      </c>
      <c r="N131" s="107"/>
    </row>
    <row r="132" spans="1:14" x14ac:dyDescent="0.15">
      <c r="A132" s="107">
        <v>1662</v>
      </c>
      <c r="B132" s="107" t="s">
        <v>261</v>
      </c>
      <c r="C132" s="107" t="s">
        <v>274</v>
      </c>
      <c r="D132" s="107">
        <v>2.5</v>
      </c>
      <c r="E132" s="107" t="s">
        <v>293</v>
      </c>
      <c r="F132" s="107" t="s">
        <v>298</v>
      </c>
      <c r="G132" s="107">
        <v>1</v>
      </c>
      <c r="H132" s="107">
        <v>5</v>
      </c>
      <c r="I132" s="107">
        <v>0</v>
      </c>
      <c r="J132" s="107">
        <f t="shared" si="2"/>
        <v>0.5</v>
      </c>
      <c r="K132" s="107">
        <v>3997</v>
      </c>
      <c r="L132" s="107">
        <v>1795</v>
      </c>
      <c r="M132" s="107" t="s">
        <v>290</v>
      </c>
      <c r="N132" s="107"/>
    </row>
    <row r="133" spans="1:14" x14ac:dyDescent="0.15">
      <c r="A133" s="107">
        <v>1663</v>
      </c>
      <c r="B133" s="107" t="s">
        <v>261</v>
      </c>
      <c r="C133" s="107" t="s">
        <v>274</v>
      </c>
      <c r="D133" s="107">
        <v>68</v>
      </c>
      <c r="E133" s="107" t="s">
        <v>299</v>
      </c>
      <c r="F133" s="107" t="s">
        <v>298</v>
      </c>
      <c r="G133" s="107">
        <v>17</v>
      </c>
      <c r="H133" s="107">
        <v>0</v>
      </c>
      <c r="I133" s="107">
        <v>0</v>
      </c>
      <c r="J133" s="107">
        <f t="shared" si="2"/>
        <v>0.25</v>
      </c>
      <c r="K133" s="107">
        <v>3998</v>
      </c>
      <c r="L133" s="107">
        <v>1797</v>
      </c>
      <c r="M133" s="107" t="s">
        <v>290</v>
      </c>
      <c r="N133" s="107"/>
    </row>
    <row r="134" spans="1:14" x14ac:dyDescent="0.15">
      <c r="A134" s="107">
        <v>1665</v>
      </c>
      <c r="B134" s="107" t="s">
        <v>244</v>
      </c>
      <c r="C134" s="107" t="s">
        <v>274</v>
      </c>
      <c r="D134" s="107">
        <v>9</v>
      </c>
      <c r="E134" s="107" t="s">
        <v>293</v>
      </c>
      <c r="F134" s="107" t="s">
        <v>298</v>
      </c>
      <c r="G134" s="107">
        <v>4</v>
      </c>
      <c r="H134" s="107">
        <v>10</v>
      </c>
      <c r="I134" s="107">
        <v>0</v>
      </c>
      <c r="J134" s="107">
        <f t="shared" si="2"/>
        <v>0.5</v>
      </c>
      <c r="K134" s="107">
        <v>4000</v>
      </c>
      <c r="L134" s="107">
        <v>1798</v>
      </c>
      <c r="M134" s="107">
        <v>104</v>
      </c>
      <c r="N134" s="107"/>
    </row>
    <row r="135" spans="1:14" x14ac:dyDescent="0.15">
      <c r="A135" s="107">
        <v>1666</v>
      </c>
      <c r="B135" s="107" t="s">
        <v>197</v>
      </c>
      <c r="C135" s="107" t="s">
        <v>274</v>
      </c>
      <c r="D135" s="107">
        <v>2</v>
      </c>
      <c r="E135" s="107" t="s">
        <v>280</v>
      </c>
      <c r="F135" s="107" t="s">
        <v>298</v>
      </c>
      <c r="G135" s="107">
        <v>260</v>
      </c>
      <c r="H135" s="107">
        <v>0</v>
      </c>
      <c r="I135" s="107">
        <v>0</v>
      </c>
      <c r="J135" s="107">
        <f t="shared" si="2"/>
        <v>130</v>
      </c>
      <c r="K135" s="107">
        <v>4001</v>
      </c>
      <c r="L135" s="107">
        <v>1800</v>
      </c>
      <c r="M135" s="107">
        <v>40</v>
      </c>
      <c r="N135" s="107"/>
    </row>
    <row r="136" spans="1:14" x14ac:dyDescent="0.15">
      <c r="A136" s="107">
        <v>1668</v>
      </c>
      <c r="B136" s="107" t="s">
        <v>197</v>
      </c>
      <c r="C136" s="107" t="s">
        <v>274</v>
      </c>
      <c r="D136" s="107">
        <v>1008</v>
      </c>
      <c r="E136" s="107" t="s">
        <v>293</v>
      </c>
      <c r="F136" s="107" t="s">
        <v>298</v>
      </c>
      <c r="G136" s="107">
        <v>194</v>
      </c>
      <c r="H136" s="107">
        <v>1</v>
      </c>
      <c r="I136" s="107">
        <v>0</v>
      </c>
      <c r="J136" s="107">
        <f t="shared" si="2"/>
        <v>0.19250992063492064</v>
      </c>
      <c r="K136" s="107">
        <v>4003</v>
      </c>
      <c r="L136" s="107">
        <v>1802</v>
      </c>
      <c r="M136" s="107">
        <v>30</v>
      </c>
      <c r="N136" s="107"/>
    </row>
    <row r="137" spans="1:14" x14ac:dyDescent="0.15">
      <c r="A137" s="107">
        <v>1669</v>
      </c>
      <c r="B137" s="107" t="s">
        <v>196</v>
      </c>
      <c r="C137" s="107" t="s">
        <v>274</v>
      </c>
      <c r="D137" s="107">
        <v>83.5</v>
      </c>
      <c r="E137" s="107" t="s">
        <v>293</v>
      </c>
      <c r="F137" s="107" t="s">
        <v>298</v>
      </c>
      <c r="G137" s="107">
        <v>50</v>
      </c>
      <c r="H137" s="107">
        <v>2</v>
      </c>
      <c r="I137" s="107">
        <v>0</v>
      </c>
      <c r="J137" s="107">
        <f t="shared" si="2"/>
        <v>0.6</v>
      </c>
      <c r="K137" s="107">
        <v>4004</v>
      </c>
      <c r="L137" s="107">
        <v>1805</v>
      </c>
      <c r="M137" s="107">
        <v>570</v>
      </c>
      <c r="N137" s="107"/>
    </row>
    <row r="138" spans="1:14" x14ac:dyDescent="0.15">
      <c r="A138" s="107">
        <v>1670</v>
      </c>
      <c r="B138" s="107" t="s">
        <v>197</v>
      </c>
      <c r="C138" s="107" t="s">
        <v>274</v>
      </c>
      <c r="D138" s="107">
        <v>1</v>
      </c>
      <c r="E138" s="107" t="s">
        <v>300</v>
      </c>
      <c r="F138" s="107" t="s">
        <v>298</v>
      </c>
      <c r="G138" s="107">
        <v>20</v>
      </c>
      <c r="H138" s="107">
        <v>0</v>
      </c>
      <c r="I138" s="107">
        <v>0</v>
      </c>
      <c r="J138" s="107">
        <f t="shared" si="2"/>
        <v>20</v>
      </c>
      <c r="K138" s="107">
        <v>4006</v>
      </c>
      <c r="L138" s="107">
        <v>1808</v>
      </c>
      <c r="M138" s="107">
        <v>635</v>
      </c>
      <c r="N138" s="107"/>
    </row>
    <row r="139" spans="1:14" x14ac:dyDescent="0.15">
      <c r="A139" s="107">
        <v>1671</v>
      </c>
      <c r="B139" s="107" t="s">
        <v>197</v>
      </c>
      <c r="C139" s="107" t="s">
        <v>274</v>
      </c>
      <c r="D139" s="107">
        <v>0.75</v>
      </c>
      <c r="E139" s="107" t="s">
        <v>293</v>
      </c>
      <c r="F139" s="107" t="s">
        <v>298</v>
      </c>
      <c r="G139" s="107">
        <v>0</v>
      </c>
      <c r="H139" s="107">
        <v>3</v>
      </c>
      <c r="I139" s="107">
        <v>0</v>
      </c>
      <c r="J139" s="107">
        <f t="shared" si="2"/>
        <v>0.19999999999999998</v>
      </c>
      <c r="K139" s="107">
        <v>4008</v>
      </c>
      <c r="L139" s="107">
        <v>1810</v>
      </c>
      <c r="M139" s="107">
        <v>412</v>
      </c>
      <c r="N139" s="107"/>
    </row>
    <row r="140" spans="1:14" x14ac:dyDescent="0.15">
      <c r="A140" s="107">
        <v>1672</v>
      </c>
      <c r="B140" s="107" t="s">
        <v>197</v>
      </c>
      <c r="C140" s="107" t="s">
        <v>274</v>
      </c>
      <c r="D140" s="107">
        <v>138</v>
      </c>
      <c r="E140" s="107" t="s">
        <v>293</v>
      </c>
      <c r="F140" s="107" t="s">
        <v>298</v>
      </c>
      <c r="G140" s="107">
        <v>69</v>
      </c>
      <c r="H140" s="107">
        <v>0</v>
      </c>
      <c r="I140" s="107">
        <v>0</v>
      </c>
      <c r="J140" s="107">
        <f t="shared" si="2"/>
        <v>0.5</v>
      </c>
      <c r="K140" s="107">
        <v>4008</v>
      </c>
      <c r="L140" s="107">
        <v>1810</v>
      </c>
      <c r="M140" s="107">
        <v>525</v>
      </c>
      <c r="N140" s="107"/>
    </row>
    <row r="141" spans="1:14" x14ac:dyDescent="0.15">
      <c r="A141" s="107">
        <v>1673</v>
      </c>
      <c r="B141" s="107" t="s">
        <v>197</v>
      </c>
      <c r="C141" s="107" t="s">
        <v>274</v>
      </c>
      <c r="D141" s="107">
        <v>16</v>
      </c>
      <c r="E141" s="107" t="s">
        <v>293</v>
      </c>
      <c r="F141" s="107" t="s">
        <v>298</v>
      </c>
      <c r="G141" s="107">
        <v>18</v>
      </c>
      <c r="H141" s="107">
        <v>10</v>
      </c>
      <c r="I141" s="107">
        <v>0</v>
      </c>
      <c r="J141" s="107">
        <f t="shared" si="2"/>
        <v>1.15625</v>
      </c>
      <c r="K141" s="107">
        <v>4010</v>
      </c>
      <c r="L141" s="107">
        <v>1812</v>
      </c>
      <c r="M141" s="107">
        <v>548</v>
      </c>
      <c r="N141" s="107"/>
    </row>
    <row r="142" spans="1:14" x14ac:dyDescent="0.15">
      <c r="A142" s="107">
        <v>1681</v>
      </c>
      <c r="B142" s="107" t="s">
        <v>197</v>
      </c>
      <c r="C142" s="107" t="s">
        <v>271</v>
      </c>
      <c r="D142" s="107">
        <v>10</v>
      </c>
      <c r="E142" s="107" t="s">
        <v>293</v>
      </c>
      <c r="F142" s="107" t="s">
        <v>298</v>
      </c>
      <c r="G142" s="107">
        <v>2</v>
      </c>
      <c r="H142" s="107">
        <v>15</v>
      </c>
      <c r="I142" s="107">
        <v>0</v>
      </c>
      <c r="J142" s="107">
        <f t="shared" si="2"/>
        <v>0.27500000000000002</v>
      </c>
      <c r="K142" s="107">
        <v>4017</v>
      </c>
      <c r="L142" s="107">
        <v>1819</v>
      </c>
      <c r="M142" s="107">
        <v>425</v>
      </c>
      <c r="N142" s="107"/>
    </row>
    <row r="143" spans="1:14" x14ac:dyDescent="0.15">
      <c r="A143" s="107">
        <v>1682</v>
      </c>
      <c r="B143" s="107" t="s">
        <v>197</v>
      </c>
      <c r="C143" s="107" t="s">
        <v>271</v>
      </c>
      <c r="D143" s="107">
        <v>7</v>
      </c>
      <c r="E143" s="107" t="s">
        <v>293</v>
      </c>
      <c r="F143" s="107" t="s">
        <v>298</v>
      </c>
      <c r="G143" s="107">
        <v>1</v>
      </c>
      <c r="H143" s="107">
        <v>18</v>
      </c>
      <c r="I143" s="107">
        <v>8</v>
      </c>
      <c r="J143" s="107">
        <f t="shared" si="2"/>
        <v>0.27499999999999997</v>
      </c>
      <c r="K143" s="107">
        <v>4018</v>
      </c>
      <c r="L143" s="107">
        <v>1820</v>
      </c>
      <c r="M143" s="107">
        <v>756</v>
      </c>
      <c r="N143" s="107" t="s">
        <v>294</v>
      </c>
    </row>
    <row r="144" spans="1:14" x14ac:dyDescent="0.15">
      <c r="A144" s="107">
        <v>1683</v>
      </c>
      <c r="B144" s="107" t="s">
        <v>197</v>
      </c>
      <c r="C144" s="107" t="s">
        <v>271</v>
      </c>
      <c r="D144" s="107">
        <v>1</v>
      </c>
      <c r="E144" s="107" t="s">
        <v>293</v>
      </c>
      <c r="F144" s="107" t="s">
        <v>298</v>
      </c>
      <c r="G144" s="107">
        <v>0</v>
      </c>
      <c r="H144" s="107">
        <v>5</v>
      </c>
      <c r="I144" s="107">
        <v>8</v>
      </c>
      <c r="J144" s="107">
        <f t="shared" si="2"/>
        <v>0.27500000000000002</v>
      </c>
      <c r="K144" s="107">
        <v>4019</v>
      </c>
      <c r="L144" s="107">
        <v>1822</v>
      </c>
      <c r="M144" s="107">
        <v>600</v>
      </c>
      <c r="N144" s="107"/>
    </row>
    <row r="145" spans="1:14" x14ac:dyDescent="0.15">
      <c r="A145" s="107">
        <v>1685</v>
      </c>
      <c r="B145" s="107" t="s">
        <v>197</v>
      </c>
      <c r="C145" s="107" t="s">
        <v>271</v>
      </c>
      <c r="D145" s="107">
        <v>128</v>
      </c>
      <c r="E145" s="107" t="s">
        <v>293</v>
      </c>
      <c r="F145" s="107" t="s">
        <v>298</v>
      </c>
      <c r="G145" s="107">
        <v>64</v>
      </c>
      <c r="H145" s="107">
        <v>0</v>
      </c>
      <c r="I145" s="107">
        <v>0</v>
      </c>
      <c r="J145" s="107">
        <f t="shared" si="2"/>
        <v>0.5</v>
      </c>
      <c r="K145" s="107">
        <v>4022</v>
      </c>
      <c r="L145" s="107">
        <v>1827</v>
      </c>
      <c r="M145" s="107">
        <v>609</v>
      </c>
      <c r="N145" s="107"/>
    </row>
    <row r="146" spans="1:14" x14ac:dyDescent="0.15">
      <c r="A146" s="107">
        <v>1685</v>
      </c>
      <c r="B146" s="107" t="s">
        <v>196</v>
      </c>
      <c r="C146" s="107" t="s">
        <v>271</v>
      </c>
      <c r="D146" s="107">
        <v>1</v>
      </c>
      <c r="E146" s="107" t="s">
        <v>280</v>
      </c>
      <c r="F146" s="107" t="s">
        <v>298</v>
      </c>
      <c r="G146" s="107">
        <v>140</v>
      </c>
      <c r="H146" s="107">
        <v>16</v>
      </c>
      <c r="I146" s="107">
        <v>0</v>
      </c>
      <c r="J146" s="107">
        <f t="shared" si="2"/>
        <v>140.80000000000001</v>
      </c>
      <c r="K146" s="107">
        <v>4022</v>
      </c>
      <c r="L146" s="107">
        <v>1827</v>
      </c>
      <c r="M146" s="107">
        <v>600</v>
      </c>
      <c r="N146" s="107"/>
    </row>
    <row r="147" spans="1:14" x14ac:dyDescent="0.15">
      <c r="A147" s="107">
        <v>1686</v>
      </c>
      <c r="B147" s="107" t="s">
        <v>197</v>
      </c>
      <c r="C147" s="107" t="s">
        <v>271</v>
      </c>
      <c r="D147" s="107">
        <v>284</v>
      </c>
      <c r="E147" s="107" t="s">
        <v>293</v>
      </c>
      <c r="F147" s="107" t="s">
        <v>298</v>
      </c>
      <c r="G147" s="107">
        <v>105</v>
      </c>
      <c r="H147" s="107">
        <v>12</v>
      </c>
      <c r="I147" s="107">
        <v>0</v>
      </c>
      <c r="J147" s="107">
        <f t="shared" si="2"/>
        <v>0.37183098591549296</v>
      </c>
      <c r="K147" s="107">
        <v>4023</v>
      </c>
      <c r="L147" s="107">
        <v>1829</v>
      </c>
      <c r="M147" s="107">
        <v>706</v>
      </c>
      <c r="N147" s="107"/>
    </row>
    <row r="148" spans="1:14" x14ac:dyDescent="0.15">
      <c r="A148" s="107">
        <v>1688</v>
      </c>
      <c r="B148" s="107" t="s">
        <v>260</v>
      </c>
      <c r="C148" s="107" t="s">
        <v>271</v>
      </c>
      <c r="D148" s="107">
        <v>1</v>
      </c>
      <c r="E148" s="107" t="s">
        <v>293</v>
      </c>
      <c r="F148" s="107" t="s">
        <v>298</v>
      </c>
      <c r="G148" s="107">
        <v>30</v>
      </c>
      <c r="H148" s="107">
        <v>0</v>
      </c>
      <c r="I148" s="107">
        <v>0</v>
      </c>
      <c r="J148" s="107">
        <f t="shared" si="2"/>
        <v>30</v>
      </c>
      <c r="K148" s="107">
        <v>4025</v>
      </c>
      <c r="L148" s="107">
        <v>1831</v>
      </c>
      <c r="M148" s="107">
        <v>579</v>
      </c>
      <c r="N148" s="107"/>
    </row>
    <row r="149" spans="1:14" x14ac:dyDescent="0.15">
      <c r="A149" s="107">
        <v>1689</v>
      </c>
      <c r="B149" s="107" t="s">
        <v>197</v>
      </c>
      <c r="C149" s="107" t="s">
        <v>271</v>
      </c>
      <c r="D149" s="107">
        <v>11</v>
      </c>
      <c r="E149" s="107" t="s">
        <v>293</v>
      </c>
      <c r="F149" s="107" t="s">
        <v>298</v>
      </c>
      <c r="G149" s="107">
        <v>1</v>
      </c>
      <c r="H149" s="107">
        <v>13</v>
      </c>
      <c r="I149" s="107">
        <v>0</v>
      </c>
      <c r="J149" s="107">
        <f t="shared" si="2"/>
        <v>0.15</v>
      </c>
      <c r="K149" s="107">
        <v>4027</v>
      </c>
      <c r="L149" s="107">
        <v>1832</v>
      </c>
      <c r="M149" s="107">
        <v>482</v>
      </c>
      <c r="N149" s="107"/>
    </row>
    <row r="150" spans="1:14" x14ac:dyDescent="0.15">
      <c r="A150" s="107">
        <v>1691</v>
      </c>
      <c r="B150" s="107" t="s">
        <v>244</v>
      </c>
      <c r="C150" s="107" t="s">
        <v>271</v>
      </c>
      <c r="D150" s="107">
        <v>204</v>
      </c>
      <c r="E150" s="107" t="s">
        <v>293</v>
      </c>
      <c r="F150" s="107" t="s">
        <v>298</v>
      </c>
      <c r="G150" s="107">
        <v>35</v>
      </c>
      <c r="H150" s="107">
        <v>14</v>
      </c>
      <c r="I150" s="107">
        <v>0</v>
      </c>
      <c r="J150" s="107">
        <f t="shared" si="2"/>
        <v>0.17500000000000002</v>
      </c>
      <c r="K150" s="107">
        <v>4028</v>
      </c>
      <c r="L150" s="107">
        <v>1834</v>
      </c>
      <c r="M150" s="107">
        <v>383</v>
      </c>
      <c r="N150" s="107"/>
    </row>
    <row r="151" spans="1:14" x14ac:dyDescent="0.15">
      <c r="A151" s="107">
        <v>1698</v>
      </c>
      <c r="B151" s="107" t="s">
        <v>200</v>
      </c>
      <c r="C151" s="107" t="s">
        <v>271</v>
      </c>
      <c r="D151" s="107">
        <v>18</v>
      </c>
      <c r="E151" s="107" t="s">
        <v>293</v>
      </c>
      <c r="F151" s="107" t="s">
        <v>298</v>
      </c>
      <c r="G151" s="107">
        <v>4</v>
      </c>
      <c r="H151" s="107">
        <v>10</v>
      </c>
      <c r="I151" s="107">
        <v>0</v>
      </c>
      <c r="J151" s="107">
        <f t="shared" si="2"/>
        <v>0.25</v>
      </c>
      <c r="K151" s="107">
        <v>4043</v>
      </c>
      <c r="L151" s="107">
        <v>1851</v>
      </c>
      <c r="M151" s="107">
        <v>827</v>
      </c>
      <c r="N151" s="107"/>
    </row>
    <row r="152" spans="1:14" x14ac:dyDescent="0.15">
      <c r="A152" s="107">
        <v>1699</v>
      </c>
      <c r="B152" s="107" t="s">
        <v>197</v>
      </c>
      <c r="C152" s="107" t="s">
        <v>271</v>
      </c>
      <c r="D152" s="107">
        <v>69</v>
      </c>
      <c r="E152" s="107" t="s">
        <v>293</v>
      </c>
      <c r="F152" s="107" t="s">
        <v>298</v>
      </c>
      <c r="G152" s="107">
        <v>17</v>
      </c>
      <c r="H152" s="107">
        <v>8</v>
      </c>
      <c r="I152" s="107">
        <v>0</v>
      </c>
      <c r="J152" s="107">
        <f t="shared" si="2"/>
        <v>0.25217391304347825</v>
      </c>
      <c r="K152" s="107">
        <v>4043</v>
      </c>
      <c r="L152" s="107">
        <v>1851</v>
      </c>
      <c r="M152" s="107">
        <v>851</v>
      </c>
      <c r="N152" s="107"/>
    </row>
    <row r="153" spans="1:14" x14ac:dyDescent="0.15">
      <c r="A153" s="107">
        <v>1700</v>
      </c>
      <c r="B153" s="107" t="s">
        <v>200</v>
      </c>
      <c r="C153" s="107" t="s">
        <v>271</v>
      </c>
      <c r="D153" s="107">
        <v>62</v>
      </c>
      <c r="E153" s="107" t="s">
        <v>293</v>
      </c>
      <c r="F153" s="107" t="s">
        <v>298</v>
      </c>
      <c r="G153" s="107">
        <v>10</v>
      </c>
      <c r="H153" s="107">
        <v>17</v>
      </c>
      <c r="I153" s="107">
        <v>0</v>
      </c>
      <c r="J153" s="107">
        <f t="shared" si="2"/>
        <v>0.17499999999999999</v>
      </c>
      <c r="K153" s="107">
        <v>4047</v>
      </c>
      <c r="L153" s="107">
        <v>1855</v>
      </c>
      <c r="M153" s="107">
        <v>525</v>
      </c>
      <c r="N153" s="107" t="s">
        <v>272</v>
      </c>
    </row>
    <row r="154" spans="1:14" x14ac:dyDescent="0.15">
      <c r="A154" s="107">
        <v>1701</v>
      </c>
      <c r="B154" s="107" t="s">
        <v>197</v>
      </c>
      <c r="C154" s="107" t="s">
        <v>271</v>
      </c>
      <c r="D154" s="107">
        <v>60</v>
      </c>
      <c r="E154" s="107" t="s">
        <v>293</v>
      </c>
      <c r="F154" s="107" t="s">
        <v>298</v>
      </c>
      <c r="G154" s="107">
        <v>10</v>
      </c>
      <c r="H154" s="107">
        <v>10</v>
      </c>
      <c r="I154" s="107">
        <v>0</v>
      </c>
      <c r="J154" s="107">
        <f t="shared" si="2"/>
        <v>0.17499999999999999</v>
      </c>
      <c r="K154" s="107">
        <v>4047</v>
      </c>
      <c r="L154" s="107">
        <v>1855</v>
      </c>
      <c r="M154" s="107">
        <v>556</v>
      </c>
      <c r="N154" s="107" t="s">
        <v>294</v>
      </c>
    </row>
    <row r="155" spans="1:14" x14ac:dyDescent="0.15">
      <c r="A155" s="107">
        <v>1702</v>
      </c>
      <c r="B155" s="107" t="s">
        <v>226</v>
      </c>
      <c r="C155" s="107" t="s">
        <v>271</v>
      </c>
      <c r="D155" s="107">
        <v>504</v>
      </c>
      <c r="E155" s="107" t="s">
        <v>293</v>
      </c>
      <c r="F155" s="107" t="s">
        <v>298</v>
      </c>
      <c r="G155" s="107">
        <v>126</v>
      </c>
      <c r="H155" s="107">
        <v>0</v>
      </c>
      <c r="I155" s="107">
        <v>0</v>
      </c>
      <c r="J155" s="107">
        <f t="shared" si="2"/>
        <v>0.25</v>
      </c>
      <c r="K155" s="107">
        <v>4049</v>
      </c>
      <c r="L155" s="107">
        <v>1856</v>
      </c>
      <c r="M155" s="107">
        <v>503</v>
      </c>
      <c r="N155" s="107"/>
    </row>
    <row r="156" spans="1:14" x14ac:dyDescent="0.15">
      <c r="A156" s="107">
        <v>1703</v>
      </c>
      <c r="B156" s="107" t="s">
        <v>226</v>
      </c>
      <c r="C156" s="107" t="s">
        <v>271</v>
      </c>
      <c r="D156" s="107">
        <v>545</v>
      </c>
      <c r="E156" s="107" t="s">
        <v>212</v>
      </c>
      <c r="F156" s="107" t="s">
        <v>298</v>
      </c>
      <c r="G156" s="107">
        <v>68</v>
      </c>
      <c r="H156" s="107">
        <v>2</v>
      </c>
      <c r="I156" s="107">
        <v>8</v>
      </c>
      <c r="J156" s="107">
        <f t="shared" si="2"/>
        <v>0.125</v>
      </c>
      <c r="K156" s="107">
        <v>4050</v>
      </c>
      <c r="L156" s="107">
        <v>1858</v>
      </c>
      <c r="M156" s="107">
        <v>543</v>
      </c>
      <c r="N156" s="107"/>
    </row>
    <row r="157" spans="1:14" x14ac:dyDescent="0.15">
      <c r="A157" s="107">
        <v>1720</v>
      </c>
      <c r="B157" s="107" t="s">
        <v>253</v>
      </c>
      <c r="C157" s="107" t="s">
        <v>268</v>
      </c>
      <c r="D157" s="25">
        <v>1063</v>
      </c>
      <c r="E157" s="107" t="s">
        <v>212</v>
      </c>
      <c r="F157" s="107" t="s">
        <v>298</v>
      </c>
      <c r="G157" s="107">
        <v>186</v>
      </c>
      <c r="H157" s="107">
        <v>0</v>
      </c>
      <c r="I157" s="107">
        <v>8</v>
      </c>
      <c r="J157" s="107">
        <f t="shared" si="2"/>
        <v>0.17500000000000002</v>
      </c>
      <c r="K157" s="107">
        <v>5731</v>
      </c>
      <c r="L157" s="107"/>
      <c r="M157" s="107"/>
      <c r="N157" s="107"/>
    </row>
    <row r="158" spans="1:14" x14ac:dyDescent="0.15">
      <c r="A158" s="107">
        <v>1760</v>
      </c>
      <c r="B158" s="107" t="s">
        <v>244</v>
      </c>
      <c r="C158" s="107" t="s">
        <v>268</v>
      </c>
      <c r="D158" s="25">
        <v>200</v>
      </c>
      <c r="E158" s="107" t="s">
        <v>212</v>
      </c>
      <c r="F158" s="107" t="s">
        <v>298</v>
      </c>
      <c r="G158" s="107">
        <v>35</v>
      </c>
      <c r="H158" s="107">
        <v>0</v>
      </c>
      <c r="I158" s="107">
        <v>0</v>
      </c>
      <c r="J158" s="107">
        <f t="shared" si="2"/>
        <v>0.17499999999999999</v>
      </c>
      <c r="K158" s="107">
        <v>6374</v>
      </c>
      <c r="L158" s="107"/>
      <c r="M158" s="107"/>
      <c r="N158" s="107"/>
    </row>
    <row r="159" spans="1:14" x14ac:dyDescent="0.15">
      <c r="A159" s="107">
        <v>1764</v>
      </c>
      <c r="B159" s="107" t="s">
        <v>261</v>
      </c>
      <c r="C159" s="107" t="s">
        <v>268</v>
      </c>
      <c r="D159" s="25">
        <v>232</v>
      </c>
      <c r="E159" s="107" t="s">
        <v>212</v>
      </c>
      <c r="F159" s="107" t="s">
        <v>298</v>
      </c>
      <c r="G159" s="107">
        <v>40</v>
      </c>
      <c r="H159" s="107">
        <v>32</v>
      </c>
      <c r="I159" s="107">
        <v>0</v>
      </c>
      <c r="J159" s="107">
        <f t="shared" si="2"/>
        <v>0.1793103448275862</v>
      </c>
      <c r="K159" s="107">
        <v>6423</v>
      </c>
      <c r="L159" s="107"/>
      <c r="M159" s="107"/>
      <c r="N159" s="107"/>
    </row>
    <row r="160" spans="1:14" x14ac:dyDescent="0.15">
      <c r="A160" s="107">
        <v>1764</v>
      </c>
      <c r="B160" s="107" t="s">
        <v>244</v>
      </c>
      <c r="C160" s="107" t="s">
        <v>268</v>
      </c>
      <c r="D160" s="25">
        <v>224</v>
      </c>
      <c r="E160" s="107" t="s">
        <v>212</v>
      </c>
      <c r="F160" s="107" t="s">
        <v>298</v>
      </c>
      <c r="G160" s="107">
        <v>39</v>
      </c>
      <c r="H160" s="107">
        <v>4</v>
      </c>
      <c r="I160" s="107">
        <v>0</v>
      </c>
      <c r="J160" s="107">
        <f t="shared" si="2"/>
        <v>0.17500000000000002</v>
      </c>
      <c r="K160" s="107">
        <v>6419</v>
      </c>
      <c r="L160" s="107"/>
      <c r="M160" s="107"/>
      <c r="N160" s="107"/>
    </row>
    <row r="161" spans="1:15" x14ac:dyDescent="0.15">
      <c r="A161" s="107">
        <v>1793</v>
      </c>
      <c r="B161" s="107" t="s">
        <v>247</v>
      </c>
      <c r="C161" s="107" t="s">
        <v>270</v>
      </c>
      <c r="D161" s="25">
        <v>14</v>
      </c>
      <c r="E161" s="107" t="s">
        <v>212</v>
      </c>
      <c r="F161" s="107" t="s">
        <v>298</v>
      </c>
      <c r="G161" s="107">
        <v>23</v>
      </c>
      <c r="H161" s="107">
        <v>8</v>
      </c>
      <c r="I161" s="107">
        <v>8</v>
      </c>
      <c r="J161" s="107">
        <f t="shared" si="2"/>
        <v>1.6732142857142855</v>
      </c>
      <c r="K161" s="107">
        <v>6826</v>
      </c>
      <c r="L161" s="107"/>
      <c r="M161" s="107"/>
      <c r="N161" s="107"/>
      <c r="O161" s="107"/>
    </row>
    <row r="162" spans="1:15" ht="14" x14ac:dyDescent="0.2">
      <c r="A162" s="107">
        <v>1655</v>
      </c>
      <c r="B162" s="107" t="s">
        <v>247</v>
      </c>
      <c r="C162" s="107" t="s">
        <v>274</v>
      </c>
      <c r="D162" s="107">
        <v>1</v>
      </c>
      <c r="E162" s="107"/>
      <c r="F162" s="64" t="s">
        <v>301</v>
      </c>
      <c r="G162" s="107">
        <v>8</v>
      </c>
      <c r="H162" s="107">
        <v>18</v>
      </c>
      <c r="I162" s="107">
        <v>8</v>
      </c>
      <c r="J162" s="107">
        <f t="shared" si="2"/>
        <v>8.9250000000000007</v>
      </c>
      <c r="K162" s="107">
        <v>3990</v>
      </c>
      <c r="L162" s="107">
        <v>1788</v>
      </c>
      <c r="M162" s="107">
        <v>207</v>
      </c>
      <c r="N162" s="107" t="s">
        <v>302</v>
      </c>
      <c r="O162" s="107" t="s">
        <v>277</v>
      </c>
    </row>
    <row r="163" spans="1:15" ht="14" x14ac:dyDescent="0.2">
      <c r="A163" s="107">
        <v>1655</v>
      </c>
      <c r="B163" s="107" t="s">
        <v>247</v>
      </c>
      <c r="C163" s="107" t="s">
        <v>274</v>
      </c>
      <c r="D163" s="107">
        <v>2</v>
      </c>
      <c r="E163" s="107" t="s">
        <v>204</v>
      </c>
      <c r="F163" s="64" t="s">
        <v>301</v>
      </c>
      <c r="G163" s="107">
        <v>17</v>
      </c>
      <c r="H163" s="107">
        <v>17</v>
      </c>
      <c r="I163" s="107"/>
      <c r="J163" s="107">
        <f t="shared" si="2"/>
        <v>8.9250000000000007</v>
      </c>
      <c r="K163" s="107">
        <v>3990</v>
      </c>
      <c r="L163" s="107">
        <v>1788</v>
      </c>
      <c r="M163" s="107">
        <v>207</v>
      </c>
      <c r="N163" s="107" t="s">
        <v>302</v>
      </c>
      <c r="O163" s="107" t="s">
        <v>277</v>
      </c>
    </row>
    <row r="164" spans="1:15" ht="14" x14ac:dyDescent="0.2">
      <c r="A164" s="107">
        <v>1655</v>
      </c>
      <c r="B164" s="107" t="s">
        <v>226</v>
      </c>
      <c r="C164" s="107" t="s">
        <v>274</v>
      </c>
      <c r="D164" s="107">
        <v>25</v>
      </c>
      <c r="E164" s="107"/>
      <c r="F164" s="64" t="s">
        <v>301</v>
      </c>
      <c r="G164" s="107">
        <v>223</v>
      </c>
      <c r="H164" s="107">
        <v>2</v>
      </c>
      <c r="I164" s="107">
        <v>8</v>
      </c>
      <c r="J164" s="107">
        <f t="shared" si="2"/>
        <v>8.9250000000000007</v>
      </c>
      <c r="K164" s="107">
        <v>3990</v>
      </c>
      <c r="L164" s="107">
        <v>1788</v>
      </c>
      <c r="M164" s="107">
        <v>208</v>
      </c>
      <c r="N164" s="107" t="s">
        <v>276</v>
      </c>
      <c r="O164" s="107" t="s">
        <v>277</v>
      </c>
    </row>
    <row r="165" spans="1:15" ht="14" x14ac:dyDescent="0.2">
      <c r="A165" s="107">
        <v>1656</v>
      </c>
      <c r="B165" s="107" t="s">
        <v>283</v>
      </c>
      <c r="C165" s="107" t="s">
        <v>274</v>
      </c>
      <c r="D165" s="107">
        <v>30</v>
      </c>
      <c r="E165" s="107" t="s">
        <v>204</v>
      </c>
      <c r="F165" s="64" t="s">
        <v>301</v>
      </c>
      <c r="G165" s="107">
        <v>129</v>
      </c>
      <c r="H165" s="107">
        <v>15</v>
      </c>
      <c r="I165" s="107">
        <v>0</v>
      </c>
      <c r="J165" s="107">
        <f t="shared" si="2"/>
        <v>4.3250000000000002</v>
      </c>
      <c r="K165" s="107">
        <v>3991</v>
      </c>
      <c r="L165" s="107">
        <v>1788</v>
      </c>
      <c r="M165" s="107">
        <v>149</v>
      </c>
      <c r="N165" s="107" t="s">
        <v>284</v>
      </c>
      <c r="O165" s="107"/>
    </row>
    <row r="166" spans="1:15" ht="14" x14ac:dyDescent="0.2">
      <c r="A166" s="107">
        <v>1682</v>
      </c>
      <c r="B166" s="107" t="s">
        <v>186</v>
      </c>
      <c r="C166" s="107" t="s">
        <v>271</v>
      </c>
      <c r="D166" s="107">
        <v>2</v>
      </c>
      <c r="E166" s="107" t="s">
        <v>204</v>
      </c>
      <c r="F166" s="64" t="s">
        <v>301</v>
      </c>
      <c r="G166" s="107">
        <v>4</v>
      </c>
      <c r="H166" s="107">
        <v>16</v>
      </c>
      <c r="I166" s="107">
        <v>4</v>
      </c>
      <c r="J166" s="107">
        <f t="shared" si="2"/>
        <v>2.40625</v>
      </c>
      <c r="K166" s="107">
        <v>4018</v>
      </c>
      <c r="L166" s="107">
        <v>1820</v>
      </c>
      <c r="M166" s="107">
        <v>834</v>
      </c>
      <c r="N166" s="107" t="s">
        <v>273</v>
      </c>
      <c r="O166" s="107"/>
    </row>
    <row r="167" spans="1:15" ht="14" x14ac:dyDescent="0.2">
      <c r="A167" s="107">
        <v>1701</v>
      </c>
      <c r="B167" s="107" t="s">
        <v>196</v>
      </c>
      <c r="C167" s="107" t="s">
        <v>271</v>
      </c>
      <c r="D167" s="107">
        <v>43.5</v>
      </c>
      <c r="E167" s="107" t="s">
        <v>204</v>
      </c>
      <c r="F167" s="64" t="s">
        <v>301</v>
      </c>
      <c r="G167" s="107">
        <v>69</v>
      </c>
      <c r="H167" s="107">
        <v>12</v>
      </c>
      <c r="I167" s="107">
        <v>0</v>
      </c>
      <c r="J167" s="107">
        <f t="shared" si="2"/>
        <v>1.5999999999999999</v>
      </c>
      <c r="K167" s="107">
        <v>4047</v>
      </c>
      <c r="L167" s="107">
        <v>1855</v>
      </c>
      <c r="M167" s="107">
        <v>563</v>
      </c>
      <c r="N167" s="107" t="s">
        <v>273</v>
      </c>
      <c r="O167" s="107"/>
    </row>
    <row r="168" spans="1:15" ht="14" x14ac:dyDescent="0.2">
      <c r="A168" s="58">
        <v>1655</v>
      </c>
      <c r="B168" s="64" t="s">
        <v>247</v>
      </c>
      <c r="C168" s="64" t="s">
        <v>274</v>
      </c>
      <c r="D168" s="60">
        <v>2</v>
      </c>
      <c r="E168" s="64" t="s">
        <v>204</v>
      </c>
      <c r="F168" s="64" t="s">
        <v>301</v>
      </c>
      <c r="G168" s="58">
        <v>17</v>
      </c>
      <c r="H168" s="64">
        <v>17</v>
      </c>
      <c r="I168" s="58"/>
      <c r="J168" s="84">
        <f t="shared" si="2"/>
        <v>8.9250000000000007</v>
      </c>
      <c r="K168" s="58">
        <v>3990</v>
      </c>
      <c r="L168" s="58">
        <v>1788</v>
      </c>
      <c r="M168" s="58">
        <v>207</v>
      </c>
      <c r="N168" s="64"/>
      <c r="O168" s="107"/>
    </row>
    <row r="169" spans="1:15" ht="14" x14ac:dyDescent="0.2">
      <c r="A169" s="58">
        <v>1655</v>
      </c>
      <c r="B169" s="64" t="s">
        <v>247</v>
      </c>
      <c r="C169" s="64" t="s">
        <v>274</v>
      </c>
      <c r="D169" s="60">
        <v>1</v>
      </c>
      <c r="E169" s="64" t="s">
        <v>204</v>
      </c>
      <c r="F169" s="64" t="s">
        <v>301</v>
      </c>
      <c r="G169" s="58">
        <v>8</v>
      </c>
      <c r="H169" s="64">
        <v>18</v>
      </c>
      <c r="I169" s="58">
        <v>8</v>
      </c>
      <c r="J169" s="84">
        <f t="shared" si="2"/>
        <v>8.9250000000000007</v>
      </c>
      <c r="K169" s="58">
        <v>3990</v>
      </c>
      <c r="L169" s="58">
        <v>1788</v>
      </c>
      <c r="M169" s="58">
        <v>207</v>
      </c>
      <c r="N169" s="64"/>
      <c r="O169" s="107"/>
    </row>
    <row r="170" spans="1:15" ht="14" x14ac:dyDescent="0.2">
      <c r="A170" s="58">
        <v>1655</v>
      </c>
      <c r="B170" s="64" t="s">
        <v>226</v>
      </c>
      <c r="C170" s="64" t="s">
        <v>274</v>
      </c>
      <c r="D170" s="60">
        <v>25</v>
      </c>
      <c r="E170" s="64" t="s">
        <v>204</v>
      </c>
      <c r="F170" s="64" t="s">
        <v>301</v>
      </c>
      <c r="G170" s="58">
        <v>223</v>
      </c>
      <c r="H170" s="64">
        <v>2</v>
      </c>
      <c r="I170" s="58">
        <v>8</v>
      </c>
      <c r="J170" s="84">
        <f t="shared" si="2"/>
        <v>8.9250000000000007</v>
      </c>
      <c r="K170" s="58">
        <v>3990</v>
      </c>
      <c r="L170" s="58">
        <v>1788</v>
      </c>
      <c r="M170" s="58">
        <v>208</v>
      </c>
      <c r="N170" s="64"/>
      <c r="O170" s="107"/>
    </row>
    <row r="171" spans="1:15" ht="14" x14ac:dyDescent="0.2">
      <c r="A171" s="58">
        <v>1656</v>
      </c>
      <c r="B171" s="58" t="s">
        <v>283</v>
      </c>
      <c r="C171" s="58" t="s">
        <v>274</v>
      </c>
      <c r="D171" s="58">
        <v>30</v>
      </c>
      <c r="E171" s="58" t="s">
        <v>204</v>
      </c>
      <c r="F171" s="58" t="s">
        <v>301</v>
      </c>
      <c r="G171" s="58">
        <v>129</v>
      </c>
      <c r="H171" s="58">
        <v>15</v>
      </c>
      <c r="I171" s="58">
        <v>0</v>
      </c>
      <c r="J171" s="84">
        <f t="shared" si="2"/>
        <v>4.3250000000000002</v>
      </c>
      <c r="K171" s="58">
        <v>3991</v>
      </c>
      <c r="L171" s="58">
        <v>1788</v>
      </c>
      <c r="M171" s="58">
        <v>149</v>
      </c>
      <c r="N171" s="64"/>
      <c r="O171" s="107"/>
    </row>
    <row r="172" spans="1:15" ht="14" x14ac:dyDescent="0.2">
      <c r="A172" s="58">
        <v>1657</v>
      </c>
      <c r="B172" s="58" t="s">
        <v>261</v>
      </c>
      <c r="C172" s="64" t="s">
        <v>274</v>
      </c>
      <c r="D172" s="85">
        <v>1</v>
      </c>
      <c r="E172" s="58" t="s">
        <v>204</v>
      </c>
      <c r="F172" s="58" t="s">
        <v>301</v>
      </c>
      <c r="G172" s="58">
        <v>4</v>
      </c>
      <c r="H172" s="58">
        <v>2</v>
      </c>
      <c r="I172" s="58">
        <v>8</v>
      </c>
      <c r="J172" s="84">
        <f t="shared" si="2"/>
        <v>4.125</v>
      </c>
      <c r="K172" s="58">
        <v>3992</v>
      </c>
      <c r="L172" s="58">
        <v>1789</v>
      </c>
      <c r="M172" s="58">
        <v>241</v>
      </c>
      <c r="N172" s="58"/>
      <c r="O172" s="107"/>
    </row>
    <row r="173" spans="1:15" ht="14" x14ac:dyDescent="0.2">
      <c r="A173" s="58">
        <v>1658</v>
      </c>
      <c r="B173" s="58" t="s">
        <v>192</v>
      </c>
      <c r="C173" s="64" t="s">
        <v>274</v>
      </c>
      <c r="D173" s="85">
        <v>3</v>
      </c>
      <c r="E173" s="58" t="s">
        <v>204</v>
      </c>
      <c r="F173" s="58" t="s">
        <v>301</v>
      </c>
      <c r="G173" s="58">
        <v>26</v>
      </c>
      <c r="H173" s="58">
        <v>15</v>
      </c>
      <c r="I173" s="58">
        <v>0</v>
      </c>
      <c r="J173" s="84">
        <f t="shared" si="2"/>
        <v>8.9166666666666661</v>
      </c>
      <c r="K173" s="58">
        <v>3993</v>
      </c>
      <c r="L173" s="58">
        <v>1791</v>
      </c>
      <c r="M173" s="58">
        <v>304</v>
      </c>
      <c r="N173" s="58" t="s">
        <v>303</v>
      </c>
      <c r="O173" s="107"/>
    </row>
    <row r="174" spans="1:15" ht="14" x14ac:dyDescent="0.2">
      <c r="A174" s="58">
        <v>1659</v>
      </c>
      <c r="B174" s="58" t="s">
        <v>197</v>
      </c>
      <c r="C174" s="64" t="s">
        <v>274</v>
      </c>
      <c r="D174" s="85">
        <v>4</v>
      </c>
      <c r="E174" s="58" t="s">
        <v>204</v>
      </c>
      <c r="F174" s="58" t="s">
        <v>301</v>
      </c>
      <c r="G174" s="58">
        <v>34</v>
      </c>
      <c r="H174" s="58">
        <v>11</v>
      </c>
      <c r="I174" s="58">
        <v>0</v>
      </c>
      <c r="J174" s="84">
        <f t="shared" si="2"/>
        <v>8.6374999999999993</v>
      </c>
      <c r="K174" s="58">
        <v>3994</v>
      </c>
      <c r="L174" s="58">
        <v>1792</v>
      </c>
      <c r="M174" s="58">
        <v>169</v>
      </c>
      <c r="N174" s="58" t="s">
        <v>304</v>
      </c>
      <c r="O174" s="107"/>
    </row>
    <row r="175" spans="1:15" ht="14" x14ac:dyDescent="0.2">
      <c r="A175" s="58">
        <v>1659</v>
      </c>
      <c r="B175" s="58" t="s">
        <v>197</v>
      </c>
      <c r="C175" s="64" t="s">
        <v>274</v>
      </c>
      <c r="D175" s="85">
        <v>112</v>
      </c>
      <c r="E175" s="58" t="s">
        <v>204</v>
      </c>
      <c r="F175" s="58" t="s">
        <v>301</v>
      </c>
      <c r="G175" s="58">
        <v>399</v>
      </c>
      <c r="H175" s="58">
        <v>9</v>
      </c>
      <c r="I175" s="58">
        <v>0</v>
      </c>
      <c r="J175" s="84">
        <f t="shared" si="2"/>
        <v>3.5665178571428569</v>
      </c>
      <c r="K175" s="58">
        <v>3994</v>
      </c>
      <c r="L175" s="58">
        <v>1792</v>
      </c>
      <c r="M175" s="58">
        <v>169</v>
      </c>
      <c r="N175" s="58" t="s">
        <v>305</v>
      </c>
      <c r="O175" s="107"/>
    </row>
    <row r="176" spans="1:15" ht="14" x14ac:dyDescent="0.2">
      <c r="A176" s="58">
        <v>1659</v>
      </c>
      <c r="B176" s="58" t="s">
        <v>197</v>
      </c>
      <c r="C176" s="64" t="s">
        <v>274</v>
      </c>
      <c r="D176" s="85">
        <v>98</v>
      </c>
      <c r="E176" s="58" t="s">
        <v>204</v>
      </c>
      <c r="F176" s="58" t="s">
        <v>301</v>
      </c>
      <c r="G176" s="58">
        <v>407</v>
      </c>
      <c r="H176" s="58">
        <v>18</v>
      </c>
      <c r="I176" s="58">
        <v>0</v>
      </c>
      <c r="J176" s="84">
        <f t="shared" si="2"/>
        <v>4.1622448979591837</v>
      </c>
      <c r="K176" s="58">
        <v>3994</v>
      </c>
      <c r="L176" s="58">
        <v>1792</v>
      </c>
      <c r="M176" s="58">
        <v>169</v>
      </c>
      <c r="N176" s="58" t="s">
        <v>306</v>
      </c>
      <c r="O176" s="107"/>
    </row>
    <row r="177" spans="1:14" ht="14" x14ac:dyDescent="0.2">
      <c r="A177" s="58">
        <v>1659</v>
      </c>
      <c r="B177" s="58" t="s">
        <v>197</v>
      </c>
      <c r="C177" s="64" t="s">
        <v>274</v>
      </c>
      <c r="D177" s="85">
        <v>214</v>
      </c>
      <c r="E177" s="58" t="s">
        <v>204</v>
      </c>
      <c r="F177" s="58" t="s">
        <v>301</v>
      </c>
      <c r="G177" s="58">
        <v>841</v>
      </c>
      <c r="H177" s="58">
        <v>18</v>
      </c>
      <c r="I177" s="58">
        <v>0</v>
      </c>
      <c r="J177" s="84">
        <f t="shared" si="2"/>
        <v>3.93411214953271</v>
      </c>
      <c r="K177" s="58">
        <v>3994</v>
      </c>
      <c r="L177" s="58">
        <v>1792</v>
      </c>
      <c r="M177" s="58">
        <v>169</v>
      </c>
      <c r="N177" s="58" t="s">
        <v>307</v>
      </c>
    </row>
    <row r="178" spans="1:14" ht="14" x14ac:dyDescent="0.2">
      <c r="A178" s="58">
        <v>1660</v>
      </c>
      <c r="B178" s="58" t="s">
        <v>260</v>
      </c>
      <c r="C178" s="64" t="s">
        <v>274</v>
      </c>
      <c r="D178" s="85">
        <v>1</v>
      </c>
      <c r="E178" s="58" t="s">
        <v>204</v>
      </c>
      <c r="F178" s="58" t="s">
        <v>301</v>
      </c>
      <c r="G178" s="58">
        <v>8</v>
      </c>
      <c r="H178" s="58">
        <v>18</v>
      </c>
      <c r="I178" s="58">
        <v>8</v>
      </c>
      <c r="J178" s="84">
        <f t="shared" si="2"/>
        <v>8.9250000000000007</v>
      </c>
      <c r="K178" s="58">
        <v>3995</v>
      </c>
      <c r="L178" s="58">
        <v>1793</v>
      </c>
      <c r="M178" s="58">
        <v>221</v>
      </c>
      <c r="N178" s="58" t="s">
        <v>303</v>
      </c>
    </row>
    <row r="179" spans="1:14" ht="14" x14ac:dyDescent="0.2">
      <c r="A179" s="58">
        <v>1661</v>
      </c>
      <c r="B179" s="58" t="s">
        <v>260</v>
      </c>
      <c r="C179" s="64" t="s">
        <v>274</v>
      </c>
      <c r="D179" s="85">
        <v>1</v>
      </c>
      <c r="E179" s="64" t="s">
        <v>204</v>
      </c>
      <c r="F179" s="64" t="s">
        <v>301</v>
      </c>
      <c r="G179" s="58">
        <v>7</v>
      </c>
      <c r="H179" s="58">
        <v>0</v>
      </c>
      <c r="I179" s="58">
        <v>0</v>
      </c>
      <c r="J179" s="84">
        <f t="shared" si="2"/>
        <v>7</v>
      </c>
      <c r="K179" s="58">
        <v>3996</v>
      </c>
      <c r="L179" s="58">
        <v>1794</v>
      </c>
      <c r="M179" s="58" t="s">
        <v>290</v>
      </c>
      <c r="N179" s="58" t="s">
        <v>308</v>
      </c>
    </row>
    <row r="180" spans="1:14" ht="14" x14ac:dyDescent="0.2">
      <c r="A180" s="58">
        <v>1662</v>
      </c>
      <c r="B180" s="58" t="s">
        <v>197</v>
      </c>
      <c r="C180" s="64" t="s">
        <v>274</v>
      </c>
      <c r="D180" s="85">
        <v>29</v>
      </c>
      <c r="E180" s="64" t="s">
        <v>204</v>
      </c>
      <c r="F180" s="64" t="s">
        <v>301</v>
      </c>
      <c r="G180" s="58">
        <v>121</v>
      </c>
      <c r="H180" s="58">
        <v>16</v>
      </c>
      <c r="I180" s="58">
        <v>0</v>
      </c>
      <c r="J180" s="84">
        <f t="shared" si="2"/>
        <v>4.2</v>
      </c>
      <c r="K180" s="58">
        <v>3997</v>
      </c>
      <c r="L180" s="58">
        <v>1795</v>
      </c>
      <c r="M180" s="58">
        <v>303</v>
      </c>
      <c r="N180" s="58" t="s">
        <v>303</v>
      </c>
    </row>
    <row r="181" spans="1:14" ht="14" x14ac:dyDescent="0.2">
      <c r="A181" s="58">
        <v>1662</v>
      </c>
      <c r="B181" s="58" t="s">
        <v>197</v>
      </c>
      <c r="C181" s="64" t="s">
        <v>274</v>
      </c>
      <c r="D181" s="85">
        <v>53</v>
      </c>
      <c r="E181" s="64" t="s">
        <v>204</v>
      </c>
      <c r="F181" s="64" t="s">
        <v>301</v>
      </c>
      <c r="G181" s="58">
        <v>190</v>
      </c>
      <c r="H181" s="58">
        <v>16</v>
      </c>
      <c r="I181" s="58">
        <v>0</v>
      </c>
      <c r="J181" s="84">
        <f t="shared" si="2"/>
        <v>3.6</v>
      </c>
      <c r="K181" s="58">
        <v>3997</v>
      </c>
      <c r="L181" s="58">
        <v>1795</v>
      </c>
      <c r="M181" s="58">
        <v>303</v>
      </c>
      <c r="N181" s="58" t="s">
        <v>309</v>
      </c>
    </row>
    <row r="182" spans="1:14" ht="14" x14ac:dyDescent="0.2">
      <c r="A182" s="58">
        <v>1663</v>
      </c>
      <c r="B182" s="58" t="s">
        <v>197</v>
      </c>
      <c r="C182" s="64" t="s">
        <v>274</v>
      </c>
      <c r="D182" s="85">
        <v>23</v>
      </c>
      <c r="E182" s="64" t="s">
        <v>204</v>
      </c>
      <c r="F182" s="64" t="s">
        <v>301</v>
      </c>
      <c r="G182" s="58">
        <v>96</v>
      </c>
      <c r="H182" s="58">
        <v>12</v>
      </c>
      <c r="I182" s="58">
        <v>0</v>
      </c>
      <c r="J182" s="84">
        <f t="shared" si="2"/>
        <v>4.2</v>
      </c>
      <c r="K182" s="58">
        <v>3998</v>
      </c>
      <c r="L182" s="58">
        <v>1797</v>
      </c>
      <c r="M182" s="58" t="s">
        <v>290</v>
      </c>
      <c r="N182" s="58" t="s">
        <v>310</v>
      </c>
    </row>
    <row r="183" spans="1:14" ht="14" x14ac:dyDescent="0.2">
      <c r="A183" s="58">
        <v>1665</v>
      </c>
      <c r="B183" s="58" t="s">
        <v>197</v>
      </c>
      <c r="C183" s="64" t="s">
        <v>274</v>
      </c>
      <c r="D183" s="85">
        <v>160</v>
      </c>
      <c r="E183" s="64" t="s">
        <v>204</v>
      </c>
      <c r="F183" s="58" t="s">
        <v>301</v>
      </c>
      <c r="G183" s="58">
        <v>781</v>
      </c>
      <c r="H183" s="58">
        <v>16</v>
      </c>
      <c r="I183" s="58">
        <v>12</v>
      </c>
      <c r="J183" s="84">
        <f t="shared" si="2"/>
        <v>4.8864843750000002</v>
      </c>
      <c r="K183" s="58">
        <v>4000</v>
      </c>
      <c r="L183" s="58">
        <v>1798</v>
      </c>
      <c r="M183" s="58">
        <v>69</v>
      </c>
      <c r="N183" s="58" t="s">
        <v>311</v>
      </c>
    </row>
    <row r="184" spans="1:14" ht="14" x14ac:dyDescent="0.2">
      <c r="A184" s="58">
        <v>1665</v>
      </c>
      <c r="B184" s="58" t="s">
        <v>197</v>
      </c>
      <c r="C184" s="64" t="s">
        <v>274</v>
      </c>
      <c r="D184" s="85">
        <v>240</v>
      </c>
      <c r="E184" s="64" t="s">
        <v>204</v>
      </c>
      <c r="F184" s="58" t="s">
        <v>301</v>
      </c>
      <c r="G184" s="58">
        <v>1058</v>
      </c>
      <c r="H184" s="58">
        <v>6</v>
      </c>
      <c r="I184" s="58">
        <v>2</v>
      </c>
      <c r="J184" s="84">
        <f t="shared" si="2"/>
        <v>4.4096093749999996</v>
      </c>
      <c r="K184" s="58">
        <v>4000</v>
      </c>
      <c r="L184" s="58">
        <v>1798</v>
      </c>
      <c r="M184" s="58">
        <v>69</v>
      </c>
      <c r="N184" s="58" t="s">
        <v>312</v>
      </c>
    </row>
    <row r="185" spans="1:14" ht="14" x14ac:dyDescent="0.2">
      <c r="A185" s="58">
        <v>1666</v>
      </c>
      <c r="B185" s="58" t="s">
        <v>197</v>
      </c>
      <c r="C185" s="64" t="s">
        <v>274</v>
      </c>
      <c r="D185" s="85">
        <v>164</v>
      </c>
      <c r="E185" s="64" t="s">
        <v>204</v>
      </c>
      <c r="F185" s="64" t="s">
        <v>301</v>
      </c>
      <c r="G185" s="58">
        <v>799</v>
      </c>
      <c r="H185" s="58">
        <v>8</v>
      </c>
      <c r="I185" s="58">
        <v>12</v>
      </c>
      <c r="J185" s="84">
        <f t="shared" si="2"/>
        <v>4.8746189024390247</v>
      </c>
      <c r="K185" s="58">
        <v>4001</v>
      </c>
      <c r="L185" s="58">
        <v>1800</v>
      </c>
      <c r="M185" s="58">
        <v>38</v>
      </c>
      <c r="N185" s="58" t="s">
        <v>303</v>
      </c>
    </row>
    <row r="186" spans="1:14" ht="14" x14ac:dyDescent="0.2">
      <c r="A186" s="58">
        <v>1666</v>
      </c>
      <c r="B186" s="58" t="s">
        <v>197</v>
      </c>
      <c r="C186" s="64" t="s">
        <v>274</v>
      </c>
      <c r="D186" s="85">
        <v>143</v>
      </c>
      <c r="E186" s="64" t="s">
        <v>204</v>
      </c>
      <c r="F186" s="64" t="s">
        <v>301</v>
      </c>
      <c r="G186" s="58">
        <v>643</v>
      </c>
      <c r="H186" s="58">
        <v>10</v>
      </c>
      <c r="I186" s="58">
        <v>0</v>
      </c>
      <c r="J186" s="84">
        <f t="shared" si="2"/>
        <v>4.5</v>
      </c>
      <c r="K186" s="58">
        <v>4001</v>
      </c>
      <c r="L186" s="58">
        <v>1800</v>
      </c>
      <c r="M186" s="58">
        <v>38</v>
      </c>
      <c r="N186" s="58" t="s">
        <v>309</v>
      </c>
    </row>
    <row r="187" spans="1:14" ht="14" x14ac:dyDescent="0.2">
      <c r="A187" s="58">
        <v>1666</v>
      </c>
      <c r="B187" s="58" t="s">
        <v>197</v>
      </c>
      <c r="C187" s="64" t="s">
        <v>274</v>
      </c>
      <c r="D187" s="85">
        <v>307</v>
      </c>
      <c r="E187" s="64" t="s">
        <v>204</v>
      </c>
      <c r="F187" s="58" t="s">
        <v>301</v>
      </c>
      <c r="G187" s="58">
        <v>1442</v>
      </c>
      <c r="H187" s="58">
        <v>18</v>
      </c>
      <c r="I187" s="58">
        <v>12</v>
      </c>
      <c r="J187" s="84">
        <f t="shared" si="2"/>
        <v>4.7001221498371333</v>
      </c>
      <c r="K187" s="58">
        <v>4001</v>
      </c>
      <c r="L187" s="58">
        <v>1800</v>
      </c>
      <c r="M187" s="58">
        <v>38</v>
      </c>
      <c r="N187" s="58" t="s">
        <v>307</v>
      </c>
    </row>
    <row r="188" spans="1:14" ht="14" x14ac:dyDescent="0.2">
      <c r="A188" s="58">
        <v>1667</v>
      </c>
      <c r="B188" s="58" t="s">
        <v>197</v>
      </c>
      <c r="C188" s="64" t="s">
        <v>274</v>
      </c>
      <c r="D188" s="85">
        <v>128</v>
      </c>
      <c r="E188" s="64" t="s">
        <v>204</v>
      </c>
      <c r="F188" s="64" t="s">
        <v>301</v>
      </c>
      <c r="G188" s="58">
        <v>624</v>
      </c>
      <c r="H188" s="58">
        <v>7</v>
      </c>
      <c r="I188" s="58">
        <v>10</v>
      </c>
      <c r="J188" s="84">
        <f t="shared" si="2"/>
        <v>4.8779785156250002</v>
      </c>
      <c r="K188" s="58">
        <v>4002</v>
      </c>
      <c r="L188" s="58">
        <v>1802</v>
      </c>
      <c r="M188" s="58">
        <v>760</v>
      </c>
      <c r="N188" s="58"/>
    </row>
    <row r="189" spans="1:14" ht="14" x14ac:dyDescent="0.2">
      <c r="A189" s="58">
        <v>1668</v>
      </c>
      <c r="B189" s="58" t="s">
        <v>197</v>
      </c>
      <c r="C189" s="58" t="s">
        <v>274</v>
      </c>
      <c r="D189" s="85">
        <v>1</v>
      </c>
      <c r="E189" s="64" t="s">
        <v>204</v>
      </c>
      <c r="F189" s="64" t="s">
        <v>301</v>
      </c>
      <c r="G189" s="58">
        <v>5</v>
      </c>
      <c r="H189" s="58">
        <v>10</v>
      </c>
      <c r="I189" s="58">
        <v>0</v>
      </c>
      <c r="J189" s="84">
        <f t="shared" si="2"/>
        <v>5.5</v>
      </c>
      <c r="K189" s="58">
        <v>4003</v>
      </c>
      <c r="L189" s="58">
        <v>1802</v>
      </c>
      <c r="M189" s="58">
        <v>30</v>
      </c>
      <c r="N189" s="58"/>
    </row>
    <row r="190" spans="1:14" ht="14" x14ac:dyDescent="0.2">
      <c r="A190" s="58">
        <v>1669</v>
      </c>
      <c r="B190" s="58" t="s">
        <v>197</v>
      </c>
      <c r="C190" s="58" t="s">
        <v>274</v>
      </c>
      <c r="D190" s="85">
        <v>1</v>
      </c>
      <c r="E190" s="64" t="s">
        <v>204</v>
      </c>
      <c r="F190" s="64" t="s">
        <v>301</v>
      </c>
      <c r="G190" s="58">
        <v>5</v>
      </c>
      <c r="H190" s="58">
        <v>10</v>
      </c>
      <c r="I190" s="58">
        <v>0</v>
      </c>
      <c r="J190" s="84">
        <f t="shared" si="2"/>
        <v>5.5</v>
      </c>
      <c r="K190" s="58">
        <v>4004</v>
      </c>
      <c r="L190" s="58">
        <v>1805</v>
      </c>
      <c r="M190" s="58">
        <v>558</v>
      </c>
      <c r="N190" s="58"/>
    </row>
    <row r="191" spans="1:14" ht="14" x14ac:dyDescent="0.2">
      <c r="A191" s="58">
        <v>1672</v>
      </c>
      <c r="B191" s="58" t="s">
        <v>192</v>
      </c>
      <c r="C191" s="58" t="s">
        <v>274</v>
      </c>
      <c r="D191" s="85">
        <v>10</v>
      </c>
      <c r="E191" s="64" t="s">
        <v>204</v>
      </c>
      <c r="F191" s="64" t="s">
        <v>301</v>
      </c>
      <c r="G191" s="58">
        <v>80</v>
      </c>
      <c r="H191" s="58">
        <v>0</v>
      </c>
      <c r="I191" s="58">
        <v>0</v>
      </c>
      <c r="J191" s="84">
        <f t="shared" si="2"/>
        <v>8</v>
      </c>
      <c r="K191" s="58">
        <v>4008</v>
      </c>
      <c r="L191" s="58">
        <v>1810</v>
      </c>
      <c r="M191" s="58">
        <v>593</v>
      </c>
      <c r="N191" s="58"/>
    </row>
    <row r="192" spans="1:14" ht="14" x14ac:dyDescent="0.2">
      <c r="A192" s="58">
        <v>1673</v>
      </c>
      <c r="B192" s="58" t="s">
        <v>196</v>
      </c>
      <c r="C192" s="58" t="s">
        <v>274</v>
      </c>
      <c r="D192" s="85">
        <v>8</v>
      </c>
      <c r="E192" s="64" t="s">
        <v>204</v>
      </c>
      <c r="F192" s="64" t="s">
        <v>301</v>
      </c>
      <c r="G192" s="58">
        <v>64</v>
      </c>
      <c r="H192" s="58">
        <v>0</v>
      </c>
      <c r="I192" s="58">
        <v>0</v>
      </c>
      <c r="J192" s="84">
        <f t="shared" si="2"/>
        <v>8</v>
      </c>
      <c r="K192" s="58">
        <v>4010</v>
      </c>
      <c r="L192" s="58">
        <v>1812</v>
      </c>
      <c r="M192" s="58">
        <v>704</v>
      </c>
      <c r="N192" s="58"/>
    </row>
    <row r="193" spans="1:14" ht="14" x14ac:dyDescent="0.2">
      <c r="A193" s="58">
        <v>1674</v>
      </c>
      <c r="B193" s="58" t="s">
        <v>197</v>
      </c>
      <c r="C193" s="58" t="s">
        <v>274</v>
      </c>
      <c r="D193" s="85">
        <v>1</v>
      </c>
      <c r="E193" s="64" t="s">
        <v>204</v>
      </c>
      <c r="F193" s="64" t="s">
        <v>301</v>
      </c>
      <c r="G193" s="58">
        <v>8</v>
      </c>
      <c r="H193" s="58">
        <v>0</v>
      </c>
      <c r="I193" s="58">
        <v>0</v>
      </c>
      <c r="J193" s="84">
        <f t="shared" si="2"/>
        <v>8</v>
      </c>
      <c r="K193" s="58">
        <v>4011</v>
      </c>
      <c r="L193" s="58">
        <v>1813</v>
      </c>
      <c r="M193" s="58">
        <v>552</v>
      </c>
      <c r="N193" s="58"/>
    </row>
    <row r="194" spans="1:14" x14ac:dyDescent="0.15">
      <c r="A194" s="107">
        <v>1676</v>
      </c>
      <c r="B194" s="107" t="s">
        <v>196</v>
      </c>
      <c r="C194" s="107" t="s">
        <v>274</v>
      </c>
      <c r="D194" s="107">
        <v>13</v>
      </c>
      <c r="E194" s="107" t="s">
        <v>204</v>
      </c>
      <c r="F194" s="107" t="s">
        <v>301</v>
      </c>
      <c r="G194" s="107">
        <v>38</v>
      </c>
      <c r="H194" s="107">
        <v>12</v>
      </c>
      <c r="I194" s="107">
        <v>0</v>
      </c>
      <c r="J194" s="107">
        <f t="shared" ref="J194:J257" si="3">(G194+H194/20+I194/320)/D194</f>
        <v>2.9692307692307693</v>
      </c>
      <c r="K194" s="107">
        <v>4012</v>
      </c>
      <c r="L194" s="107">
        <v>1814</v>
      </c>
      <c r="M194" s="107">
        <v>445</v>
      </c>
      <c r="N194" s="107"/>
    </row>
    <row r="195" spans="1:14" ht="14" x14ac:dyDescent="0.2">
      <c r="A195" s="58">
        <v>1676</v>
      </c>
      <c r="B195" s="64" t="s">
        <v>196</v>
      </c>
      <c r="C195" s="64" t="s">
        <v>274</v>
      </c>
      <c r="D195" s="61">
        <v>13</v>
      </c>
      <c r="E195" s="64" t="s">
        <v>204</v>
      </c>
      <c r="F195" s="64" t="s">
        <v>301</v>
      </c>
      <c r="G195" s="58">
        <v>38</v>
      </c>
      <c r="H195" s="58">
        <v>12</v>
      </c>
      <c r="I195" s="58">
        <v>0</v>
      </c>
      <c r="J195" s="84">
        <f t="shared" si="3"/>
        <v>2.9692307692307693</v>
      </c>
      <c r="K195" s="58">
        <v>4012</v>
      </c>
      <c r="L195" s="58">
        <v>1814</v>
      </c>
      <c r="M195" s="58">
        <v>445</v>
      </c>
      <c r="N195" s="64"/>
    </row>
    <row r="196" spans="1:14" ht="14" x14ac:dyDescent="0.2">
      <c r="A196" s="58">
        <v>1676</v>
      </c>
      <c r="B196" s="58" t="s">
        <v>197</v>
      </c>
      <c r="C196" s="58" t="s">
        <v>274</v>
      </c>
      <c r="D196" s="85">
        <v>1</v>
      </c>
      <c r="E196" s="64" t="s">
        <v>204</v>
      </c>
      <c r="F196" s="64" t="s">
        <v>301</v>
      </c>
      <c r="G196" s="58">
        <v>8</v>
      </c>
      <c r="H196" s="58">
        <v>0</v>
      </c>
      <c r="I196" s="58">
        <v>0</v>
      </c>
      <c r="J196" s="84">
        <f t="shared" si="3"/>
        <v>8</v>
      </c>
      <c r="K196" s="58">
        <v>4012</v>
      </c>
      <c r="L196" s="58">
        <v>1815</v>
      </c>
      <c r="M196" s="58">
        <v>596</v>
      </c>
      <c r="N196" s="58" t="s">
        <v>303</v>
      </c>
    </row>
    <row r="197" spans="1:14" ht="14" x14ac:dyDescent="0.2">
      <c r="A197" s="58">
        <v>1677</v>
      </c>
      <c r="B197" s="58" t="s">
        <v>197</v>
      </c>
      <c r="C197" s="58" t="s">
        <v>274</v>
      </c>
      <c r="D197" s="85">
        <v>11</v>
      </c>
      <c r="E197" s="64" t="s">
        <v>204</v>
      </c>
      <c r="F197" s="64" t="s">
        <v>301</v>
      </c>
      <c r="G197" s="58">
        <v>55</v>
      </c>
      <c r="H197" s="58">
        <v>0</v>
      </c>
      <c r="I197" s="58">
        <v>0</v>
      </c>
      <c r="J197" s="84">
        <f t="shared" si="3"/>
        <v>5</v>
      </c>
      <c r="K197" s="58">
        <v>4013</v>
      </c>
      <c r="L197" s="58">
        <v>1816</v>
      </c>
      <c r="M197" s="58">
        <v>697</v>
      </c>
      <c r="N197" s="58" t="s">
        <v>309</v>
      </c>
    </row>
    <row r="198" spans="1:14" ht="14" x14ac:dyDescent="0.2">
      <c r="A198" s="58">
        <v>1677</v>
      </c>
      <c r="B198" s="58" t="s">
        <v>197</v>
      </c>
      <c r="C198" s="58" t="s">
        <v>274</v>
      </c>
      <c r="D198" s="85">
        <v>80</v>
      </c>
      <c r="E198" s="64" t="s">
        <v>204</v>
      </c>
      <c r="F198" s="64" t="s">
        <v>301</v>
      </c>
      <c r="G198" s="58">
        <v>640</v>
      </c>
      <c r="H198" s="58">
        <v>0</v>
      </c>
      <c r="I198" s="58">
        <v>0</v>
      </c>
      <c r="J198" s="84">
        <f t="shared" si="3"/>
        <v>8</v>
      </c>
      <c r="K198" s="58">
        <v>4013</v>
      </c>
      <c r="L198" s="58">
        <v>1816</v>
      </c>
      <c r="M198" s="58">
        <v>700</v>
      </c>
      <c r="N198" s="58" t="s">
        <v>303</v>
      </c>
    </row>
    <row r="199" spans="1:14" x14ac:dyDescent="0.15">
      <c r="A199" s="107">
        <v>1678</v>
      </c>
      <c r="B199" s="107" t="s">
        <v>253</v>
      </c>
      <c r="C199" s="107" t="s">
        <v>295</v>
      </c>
      <c r="D199" s="107">
        <v>1</v>
      </c>
      <c r="E199" s="107" t="s">
        <v>204</v>
      </c>
      <c r="F199" s="107" t="s">
        <v>301</v>
      </c>
      <c r="G199" s="107">
        <v>5</v>
      </c>
      <c r="H199" s="107">
        <v>2</v>
      </c>
      <c r="I199" s="107">
        <v>0</v>
      </c>
      <c r="J199" s="107">
        <f t="shared" si="3"/>
        <v>5.0999999999999996</v>
      </c>
      <c r="K199" s="107">
        <v>4014</v>
      </c>
      <c r="L199" s="107">
        <v>4903</v>
      </c>
      <c r="M199" s="107">
        <v>669</v>
      </c>
      <c r="N199" s="107"/>
    </row>
    <row r="200" spans="1:14" ht="14" x14ac:dyDescent="0.2">
      <c r="A200" s="58">
        <v>1678</v>
      </c>
      <c r="B200" s="64" t="s">
        <v>253</v>
      </c>
      <c r="C200" s="64" t="s">
        <v>295</v>
      </c>
      <c r="D200" s="61">
        <v>1</v>
      </c>
      <c r="E200" s="58" t="s">
        <v>204</v>
      </c>
      <c r="F200" s="58" t="s">
        <v>301</v>
      </c>
      <c r="G200" s="58">
        <v>5</v>
      </c>
      <c r="H200" s="58">
        <v>2</v>
      </c>
      <c r="I200" s="58">
        <v>0</v>
      </c>
      <c r="J200" s="84">
        <f t="shared" si="3"/>
        <v>5.0999999999999996</v>
      </c>
      <c r="K200" s="58">
        <v>4014</v>
      </c>
      <c r="L200" s="58">
        <v>4903</v>
      </c>
      <c r="M200" s="58">
        <v>669</v>
      </c>
      <c r="N200" s="64"/>
    </row>
    <row r="201" spans="1:14" ht="14" x14ac:dyDescent="0.2">
      <c r="A201" s="58">
        <v>1681</v>
      </c>
      <c r="B201" s="58" t="s">
        <v>197</v>
      </c>
      <c r="C201" s="58" t="s">
        <v>274</v>
      </c>
      <c r="D201" s="85">
        <v>1</v>
      </c>
      <c r="E201" s="64" t="s">
        <v>204</v>
      </c>
      <c r="F201" s="64" t="s">
        <v>301</v>
      </c>
      <c r="G201" s="58">
        <v>8</v>
      </c>
      <c r="H201" s="58">
        <v>0</v>
      </c>
      <c r="I201" s="58">
        <v>0</v>
      </c>
      <c r="J201" s="84">
        <f t="shared" si="3"/>
        <v>8</v>
      </c>
      <c r="K201" s="58">
        <v>4017</v>
      </c>
      <c r="L201" s="58">
        <v>1819</v>
      </c>
      <c r="M201" s="58">
        <v>373</v>
      </c>
      <c r="N201" s="58" t="s">
        <v>303</v>
      </c>
    </row>
    <row r="202" spans="1:14" ht="14" x14ac:dyDescent="0.2">
      <c r="A202" s="58">
        <v>1681</v>
      </c>
      <c r="B202" s="58" t="s">
        <v>261</v>
      </c>
      <c r="C202" s="58" t="s">
        <v>274</v>
      </c>
      <c r="D202" s="85">
        <v>16</v>
      </c>
      <c r="E202" s="64" t="s">
        <v>204</v>
      </c>
      <c r="F202" s="64" t="s">
        <v>301</v>
      </c>
      <c r="G202" s="58">
        <v>72</v>
      </c>
      <c r="H202" s="58">
        <v>0</v>
      </c>
      <c r="I202" s="58">
        <v>0</v>
      </c>
      <c r="J202" s="84">
        <f t="shared" si="3"/>
        <v>4.5</v>
      </c>
      <c r="K202" s="58">
        <v>4017</v>
      </c>
      <c r="L202" s="58">
        <v>1819</v>
      </c>
      <c r="M202" s="58">
        <v>382</v>
      </c>
      <c r="N202" s="58" t="s">
        <v>309</v>
      </c>
    </row>
    <row r="203" spans="1:14" ht="14" x14ac:dyDescent="0.2">
      <c r="A203" s="58">
        <v>1682</v>
      </c>
      <c r="B203" s="64" t="s">
        <v>186</v>
      </c>
      <c r="C203" s="64" t="s">
        <v>271</v>
      </c>
      <c r="D203" s="86">
        <v>2</v>
      </c>
      <c r="E203" s="64" t="s">
        <v>204</v>
      </c>
      <c r="F203" s="64" t="s">
        <v>301</v>
      </c>
      <c r="G203" s="64">
        <v>4</v>
      </c>
      <c r="H203" s="64">
        <v>16</v>
      </c>
      <c r="I203" s="64">
        <v>4</v>
      </c>
      <c r="J203" s="84">
        <f t="shared" si="3"/>
        <v>2.40625</v>
      </c>
      <c r="K203" s="58">
        <v>4018</v>
      </c>
      <c r="L203" s="58">
        <v>1820</v>
      </c>
      <c r="M203" s="58">
        <v>834</v>
      </c>
      <c r="N203" s="64"/>
    </row>
    <row r="204" spans="1:14" ht="14" x14ac:dyDescent="0.2">
      <c r="A204" s="58">
        <v>1682</v>
      </c>
      <c r="B204" s="58" t="s">
        <v>197</v>
      </c>
      <c r="C204" s="58" t="s">
        <v>271</v>
      </c>
      <c r="D204" s="85">
        <v>6</v>
      </c>
      <c r="E204" s="64" t="s">
        <v>204</v>
      </c>
      <c r="F204" s="64" t="s">
        <v>301</v>
      </c>
      <c r="G204" s="58">
        <v>27</v>
      </c>
      <c r="H204" s="58">
        <v>0</v>
      </c>
      <c r="I204" s="58">
        <v>0</v>
      </c>
      <c r="J204" s="84">
        <f t="shared" si="3"/>
        <v>4.5</v>
      </c>
      <c r="K204" s="58">
        <v>4018</v>
      </c>
      <c r="L204" s="58">
        <v>1820</v>
      </c>
      <c r="M204" s="58">
        <v>693</v>
      </c>
      <c r="N204" s="58" t="s">
        <v>309</v>
      </c>
    </row>
    <row r="205" spans="1:14" ht="14" x14ac:dyDescent="0.2">
      <c r="A205" s="58">
        <v>1682</v>
      </c>
      <c r="B205" s="58" t="s">
        <v>197</v>
      </c>
      <c r="C205" s="58" t="s">
        <v>271</v>
      </c>
      <c r="D205" s="85">
        <v>16</v>
      </c>
      <c r="E205" s="64" t="s">
        <v>204</v>
      </c>
      <c r="F205" s="64" t="s">
        <v>301</v>
      </c>
      <c r="G205" s="58">
        <v>128</v>
      </c>
      <c r="H205" s="58">
        <v>0</v>
      </c>
      <c r="I205" s="58">
        <v>0</v>
      </c>
      <c r="J205" s="84">
        <f t="shared" si="3"/>
        <v>8</v>
      </c>
      <c r="K205" s="58">
        <v>4018</v>
      </c>
      <c r="L205" s="58">
        <v>1820</v>
      </c>
      <c r="M205" s="58">
        <v>693</v>
      </c>
      <c r="N205" s="58" t="s">
        <v>303</v>
      </c>
    </row>
    <row r="206" spans="1:14" ht="14" x14ac:dyDescent="0.2">
      <c r="A206" s="58">
        <v>1683</v>
      </c>
      <c r="B206" s="58" t="s">
        <v>197</v>
      </c>
      <c r="C206" s="58" t="s">
        <v>271</v>
      </c>
      <c r="D206" s="85">
        <v>4</v>
      </c>
      <c r="E206" s="64" t="s">
        <v>204</v>
      </c>
      <c r="F206" s="64" t="s">
        <v>301</v>
      </c>
      <c r="G206" s="58">
        <v>32</v>
      </c>
      <c r="H206" s="58">
        <v>0</v>
      </c>
      <c r="I206" s="58">
        <v>0</v>
      </c>
      <c r="J206" s="84">
        <f t="shared" si="3"/>
        <v>8</v>
      </c>
      <c r="K206" s="58">
        <v>4019</v>
      </c>
      <c r="L206" s="58">
        <v>1822</v>
      </c>
      <c r="M206" s="58">
        <v>762</v>
      </c>
      <c r="N206" s="58" t="s">
        <v>303</v>
      </c>
    </row>
    <row r="207" spans="1:14" ht="14" x14ac:dyDescent="0.2">
      <c r="A207" s="58">
        <v>1683</v>
      </c>
      <c r="B207" s="58" t="s">
        <v>197</v>
      </c>
      <c r="C207" s="58" t="s">
        <v>271</v>
      </c>
      <c r="D207" s="87">
        <v>1.5</v>
      </c>
      <c r="E207" s="64" t="s">
        <v>204</v>
      </c>
      <c r="F207" s="64" t="s">
        <v>301</v>
      </c>
      <c r="G207" s="58">
        <v>6</v>
      </c>
      <c r="H207" s="58">
        <v>15</v>
      </c>
      <c r="I207" s="58">
        <v>0</v>
      </c>
      <c r="J207" s="84">
        <f t="shared" si="3"/>
        <v>4.5</v>
      </c>
      <c r="K207" s="58">
        <v>4019</v>
      </c>
      <c r="L207" s="58">
        <v>1822</v>
      </c>
      <c r="M207" s="58">
        <v>762</v>
      </c>
      <c r="N207" s="58" t="s">
        <v>309</v>
      </c>
    </row>
    <row r="208" spans="1:14" ht="14" x14ac:dyDescent="0.2">
      <c r="A208" s="58">
        <v>1684</v>
      </c>
      <c r="B208" s="58" t="s">
        <v>226</v>
      </c>
      <c r="C208" s="58" t="s">
        <v>271</v>
      </c>
      <c r="D208" s="60">
        <v>62</v>
      </c>
      <c r="E208" s="64" t="s">
        <v>204</v>
      </c>
      <c r="F208" s="64" t="s">
        <v>301</v>
      </c>
      <c r="G208" s="58">
        <v>527</v>
      </c>
      <c r="H208" s="58">
        <v>0</v>
      </c>
      <c r="I208" s="58">
        <v>0</v>
      </c>
      <c r="J208" s="84">
        <f t="shared" si="3"/>
        <v>8.5</v>
      </c>
      <c r="K208" s="58">
        <v>4021</v>
      </c>
      <c r="L208" s="58">
        <v>1825</v>
      </c>
      <c r="M208" s="58">
        <v>911</v>
      </c>
      <c r="N208" s="58" t="s">
        <v>303</v>
      </c>
    </row>
    <row r="209" spans="1:15" ht="14" x14ac:dyDescent="0.2">
      <c r="A209" s="58">
        <v>1684</v>
      </c>
      <c r="B209" s="58" t="s">
        <v>226</v>
      </c>
      <c r="C209" s="58" t="s">
        <v>271</v>
      </c>
      <c r="D209" s="60">
        <v>67</v>
      </c>
      <c r="E209" s="64" t="s">
        <v>204</v>
      </c>
      <c r="F209" s="64" t="s">
        <v>301</v>
      </c>
      <c r="G209" s="58">
        <v>335</v>
      </c>
      <c r="H209" s="58">
        <v>0</v>
      </c>
      <c r="I209" s="58">
        <v>0</v>
      </c>
      <c r="J209" s="84">
        <f t="shared" si="3"/>
        <v>5</v>
      </c>
      <c r="K209" s="58">
        <v>4021</v>
      </c>
      <c r="L209" s="58">
        <v>1825</v>
      </c>
      <c r="M209" s="58">
        <v>911</v>
      </c>
      <c r="N209" s="58" t="s">
        <v>309</v>
      </c>
      <c r="O209" s="107"/>
    </row>
    <row r="210" spans="1:15" ht="14" x14ac:dyDescent="0.2">
      <c r="A210" s="58">
        <v>1685</v>
      </c>
      <c r="B210" s="58" t="s">
        <v>253</v>
      </c>
      <c r="C210" s="58" t="s">
        <v>271</v>
      </c>
      <c r="D210" s="60">
        <v>1</v>
      </c>
      <c r="E210" s="64" t="s">
        <v>204</v>
      </c>
      <c r="F210" s="64" t="s">
        <v>301</v>
      </c>
      <c r="G210" s="58">
        <v>8</v>
      </c>
      <c r="H210" s="58">
        <v>0</v>
      </c>
      <c r="I210" s="58">
        <v>0</v>
      </c>
      <c r="J210" s="84">
        <f t="shared" si="3"/>
        <v>8</v>
      </c>
      <c r="K210" s="58">
        <v>4022</v>
      </c>
      <c r="L210" s="58">
        <v>1827</v>
      </c>
      <c r="M210" s="58">
        <v>466</v>
      </c>
      <c r="N210" s="58" t="s">
        <v>303</v>
      </c>
      <c r="O210" s="107"/>
    </row>
    <row r="211" spans="1:15" ht="14" x14ac:dyDescent="0.2">
      <c r="A211" s="58">
        <v>1685</v>
      </c>
      <c r="B211" s="58" t="s">
        <v>253</v>
      </c>
      <c r="C211" s="58" t="s">
        <v>271</v>
      </c>
      <c r="D211" s="87">
        <v>15.5</v>
      </c>
      <c r="E211" s="64" t="s">
        <v>204</v>
      </c>
      <c r="F211" s="64" t="s">
        <v>301</v>
      </c>
      <c r="G211" s="58">
        <v>108</v>
      </c>
      <c r="H211" s="58">
        <v>10</v>
      </c>
      <c r="I211" s="58">
        <v>0</v>
      </c>
      <c r="J211" s="84">
        <f t="shared" si="3"/>
        <v>7</v>
      </c>
      <c r="K211" s="58">
        <v>4022</v>
      </c>
      <c r="L211" s="58">
        <v>1827</v>
      </c>
      <c r="M211" s="58">
        <v>475</v>
      </c>
      <c r="N211" s="58" t="s">
        <v>309</v>
      </c>
      <c r="O211" s="107"/>
    </row>
    <row r="212" spans="1:15" ht="14" x14ac:dyDescent="0.2">
      <c r="A212" s="58">
        <v>1686</v>
      </c>
      <c r="B212" s="58" t="s">
        <v>261</v>
      </c>
      <c r="C212" s="58" t="s">
        <v>271</v>
      </c>
      <c r="D212" s="60">
        <v>20</v>
      </c>
      <c r="E212" s="64" t="s">
        <v>204</v>
      </c>
      <c r="F212" s="64" t="s">
        <v>301</v>
      </c>
      <c r="G212" s="58">
        <v>160</v>
      </c>
      <c r="H212" s="58">
        <v>0</v>
      </c>
      <c r="I212" s="58">
        <v>0</v>
      </c>
      <c r="J212" s="84">
        <f t="shared" si="3"/>
        <v>8</v>
      </c>
      <c r="K212" s="58">
        <v>4024</v>
      </c>
      <c r="L212" s="58">
        <v>1830</v>
      </c>
      <c r="M212" s="58">
        <v>1200</v>
      </c>
      <c r="N212" s="58" t="s">
        <v>303</v>
      </c>
      <c r="O212" s="107"/>
    </row>
    <row r="213" spans="1:15" ht="14" x14ac:dyDescent="0.2">
      <c r="A213" s="58">
        <v>1686</v>
      </c>
      <c r="B213" s="58" t="s">
        <v>261</v>
      </c>
      <c r="C213" s="58" t="s">
        <v>271</v>
      </c>
      <c r="D213" s="60">
        <v>20</v>
      </c>
      <c r="E213" s="64" t="s">
        <v>204</v>
      </c>
      <c r="F213" s="64" t="s">
        <v>301</v>
      </c>
      <c r="G213" s="58">
        <v>140</v>
      </c>
      <c r="H213" s="58">
        <v>0</v>
      </c>
      <c r="I213" s="58">
        <v>0</v>
      </c>
      <c r="J213" s="84">
        <f t="shared" si="3"/>
        <v>7</v>
      </c>
      <c r="K213" s="58">
        <v>4024</v>
      </c>
      <c r="L213" s="58">
        <v>1830</v>
      </c>
      <c r="M213" s="58">
        <v>1200</v>
      </c>
      <c r="N213" s="58" t="s">
        <v>309</v>
      </c>
      <c r="O213" s="107"/>
    </row>
    <row r="214" spans="1:15" ht="14" x14ac:dyDescent="0.2">
      <c r="A214" s="58">
        <v>1689</v>
      </c>
      <c r="B214" s="58" t="s">
        <v>253</v>
      </c>
      <c r="C214" s="58" t="s">
        <v>271</v>
      </c>
      <c r="D214" s="60">
        <v>3</v>
      </c>
      <c r="E214" s="64" t="s">
        <v>204</v>
      </c>
      <c r="F214" s="64" t="s">
        <v>301</v>
      </c>
      <c r="G214" s="58">
        <v>9</v>
      </c>
      <c r="H214" s="58">
        <v>0</v>
      </c>
      <c r="I214" s="58">
        <v>0</v>
      </c>
      <c r="J214" s="84">
        <f t="shared" si="3"/>
        <v>3</v>
      </c>
      <c r="K214" s="58">
        <v>4027</v>
      </c>
      <c r="L214" s="58">
        <v>1832</v>
      </c>
      <c r="M214" s="58">
        <v>497</v>
      </c>
      <c r="N214" s="58" t="s">
        <v>309</v>
      </c>
      <c r="O214" s="107"/>
    </row>
    <row r="215" spans="1:15" ht="14" x14ac:dyDescent="0.2">
      <c r="A215" s="58">
        <v>1689</v>
      </c>
      <c r="B215" s="58" t="s">
        <v>260</v>
      </c>
      <c r="C215" s="58" t="s">
        <v>271</v>
      </c>
      <c r="D215" s="60">
        <v>30</v>
      </c>
      <c r="E215" s="64" t="s">
        <v>204</v>
      </c>
      <c r="F215" s="64" t="s">
        <v>301</v>
      </c>
      <c r="G215" s="58">
        <v>131</v>
      </c>
      <c r="H215" s="58">
        <v>0</v>
      </c>
      <c r="I215" s="58">
        <v>0</v>
      </c>
      <c r="J215" s="84">
        <f t="shared" si="3"/>
        <v>4.3666666666666663</v>
      </c>
      <c r="K215" s="58">
        <v>4027</v>
      </c>
      <c r="L215" s="58">
        <v>1832</v>
      </c>
      <c r="M215" s="58">
        <v>511</v>
      </c>
      <c r="N215" s="58" t="s">
        <v>303</v>
      </c>
      <c r="O215" s="88">
        <f>AVERAGE(J215:J216)</f>
        <v>4.4333333333333336</v>
      </c>
    </row>
    <row r="216" spans="1:15" ht="14" x14ac:dyDescent="0.2">
      <c r="A216" s="58">
        <v>1689</v>
      </c>
      <c r="B216" s="58" t="s">
        <v>226</v>
      </c>
      <c r="C216" s="58" t="s">
        <v>271</v>
      </c>
      <c r="D216" s="60">
        <v>1</v>
      </c>
      <c r="E216" s="64" t="s">
        <v>204</v>
      </c>
      <c r="F216" s="64" t="s">
        <v>301</v>
      </c>
      <c r="G216" s="58">
        <v>4</v>
      </c>
      <c r="H216" s="58">
        <v>10</v>
      </c>
      <c r="I216" s="58">
        <v>0</v>
      </c>
      <c r="J216" s="84">
        <f t="shared" si="3"/>
        <v>4.5</v>
      </c>
      <c r="K216" s="58">
        <v>4027</v>
      </c>
      <c r="L216" s="58">
        <v>1832</v>
      </c>
      <c r="M216" s="58">
        <v>529</v>
      </c>
      <c r="N216" s="58" t="s">
        <v>303</v>
      </c>
      <c r="O216" s="107"/>
    </row>
    <row r="217" spans="1:15" ht="14" x14ac:dyDescent="0.2">
      <c r="A217" s="58">
        <v>1697</v>
      </c>
      <c r="B217" s="58" t="s">
        <v>196</v>
      </c>
      <c r="C217" s="58" t="s">
        <v>271</v>
      </c>
      <c r="D217" s="60">
        <v>28</v>
      </c>
      <c r="E217" s="64" t="s">
        <v>204</v>
      </c>
      <c r="F217" s="64" t="s">
        <v>301</v>
      </c>
      <c r="G217" s="58">
        <v>112</v>
      </c>
      <c r="H217" s="58">
        <v>0</v>
      </c>
      <c r="I217" s="58">
        <v>0</v>
      </c>
      <c r="J217" s="84">
        <f t="shared" si="3"/>
        <v>4</v>
      </c>
      <c r="K217" s="58">
        <v>4038</v>
      </c>
      <c r="L217" s="58">
        <v>1846</v>
      </c>
      <c r="M217" s="58">
        <v>760</v>
      </c>
      <c r="N217" s="58" t="s">
        <v>303</v>
      </c>
      <c r="O217" s="107"/>
    </row>
    <row r="218" spans="1:15" ht="14" x14ac:dyDescent="0.2">
      <c r="A218" s="58">
        <v>1698</v>
      </c>
      <c r="B218" s="58" t="s">
        <v>200</v>
      </c>
      <c r="C218" s="58" t="s">
        <v>271</v>
      </c>
      <c r="D218" s="60">
        <v>150</v>
      </c>
      <c r="E218" s="64" t="s">
        <v>204</v>
      </c>
      <c r="F218" s="64" t="s">
        <v>301</v>
      </c>
      <c r="G218" s="58">
        <v>667</v>
      </c>
      <c r="H218" s="58">
        <v>10</v>
      </c>
      <c r="I218" s="58">
        <v>0</v>
      </c>
      <c r="J218" s="84">
        <f t="shared" si="3"/>
        <v>4.45</v>
      </c>
      <c r="K218" s="58">
        <v>4043</v>
      </c>
      <c r="L218" s="58">
        <v>1851</v>
      </c>
      <c r="M218" s="58">
        <v>828</v>
      </c>
      <c r="N218" s="58" t="s">
        <v>303</v>
      </c>
      <c r="O218" s="107"/>
    </row>
    <row r="219" spans="1:15" ht="14" x14ac:dyDescent="0.2">
      <c r="A219" s="58">
        <v>1699</v>
      </c>
      <c r="B219" s="58" t="s">
        <v>253</v>
      </c>
      <c r="C219" s="58" t="s">
        <v>271</v>
      </c>
      <c r="D219" s="60">
        <v>1</v>
      </c>
      <c r="E219" s="64" t="s">
        <v>204</v>
      </c>
      <c r="F219" s="64" t="s">
        <v>301</v>
      </c>
      <c r="G219" s="58">
        <v>4</v>
      </c>
      <c r="H219" s="58">
        <v>9</v>
      </c>
      <c r="I219" s="58">
        <v>0</v>
      </c>
      <c r="J219" s="84">
        <f t="shared" si="3"/>
        <v>4.45</v>
      </c>
      <c r="K219" s="58">
        <v>4043</v>
      </c>
      <c r="L219" s="58">
        <v>1851</v>
      </c>
      <c r="M219" s="58">
        <v>867</v>
      </c>
      <c r="N219" s="58" t="s">
        <v>313</v>
      </c>
      <c r="O219" s="107"/>
    </row>
    <row r="220" spans="1:15" ht="14" x14ac:dyDescent="0.2">
      <c r="A220" s="58">
        <v>1700</v>
      </c>
      <c r="B220" s="58" t="s">
        <v>247</v>
      </c>
      <c r="C220" s="58" t="s">
        <v>271</v>
      </c>
      <c r="D220" s="60">
        <v>26</v>
      </c>
      <c r="E220" s="64" t="s">
        <v>204</v>
      </c>
      <c r="F220" s="64" t="s">
        <v>301</v>
      </c>
      <c r="G220" s="58">
        <v>78</v>
      </c>
      <c r="H220" s="58">
        <v>0</v>
      </c>
      <c r="I220" s="58">
        <v>0</v>
      </c>
      <c r="J220" s="84">
        <f t="shared" si="3"/>
        <v>3</v>
      </c>
      <c r="K220" s="58">
        <v>4047</v>
      </c>
      <c r="L220" s="58">
        <v>1855</v>
      </c>
      <c r="M220" s="58" t="s">
        <v>290</v>
      </c>
      <c r="N220" s="58" t="s">
        <v>309</v>
      </c>
      <c r="O220" s="107"/>
    </row>
    <row r="221" spans="1:15" ht="14" x14ac:dyDescent="0.2">
      <c r="A221" s="58">
        <v>1701</v>
      </c>
      <c r="B221" s="64" t="s">
        <v>196</v>
      </c>
      <c r="C221" s="64" t="s">
        <v>271</v>
      </c>
      <c r="D221" s="60">
        <v>43.5</v>
      </c>
      <c r="E221" s="64" t="s">
        <v>204</v>
      </c>
      <c r="F221" s="64" t="s">
        <v>301</v>
      </c>
      <c r="G221" s="64">
        <v>69</v>
      </c>
      <c r="H221" s="64">
        <v>12</v>
      </c>
      <c r="I221" s="64">
        <v>0</v>
      </c>
      <c r="J221" s="84">
        <f t="shared" si="3"/>
        <v>1.5999999999999999</v>
      </c>
      <c r="K221" s="58">
        <v>4047</v>
      </c>
      <c r="L221" s="58">
        <v>1855</v>
      </c>
      <c r="M221" s="58">
        <v>563</v>
      </c>
      <c r="N221" s="107"/>
      <c r="O221" s="107"/>
    </row>
    <row r="222" spans="1:15" x14ac:dyDescent="0.15">
      <c r="A222" s="107">
        <v>1780</v>
      </c>
      <c r="B222" s="107" t="s">
        <v>196</v>
      </c>
      <c r="C222" s="107" t="s">
        <v>268</v>
      </c>
      <c r="D222" s="25">
        <v>1</v>
      </c>
      <c r="E222" s="107" t="s">
        <v>204</v>
      </c>
      <c r="F222" s="107" t="s">
        <v>314</v>
      </c>
      <c r="G222" s="107">
        <v>4</v>
      </c>
      <c r="H222" s="107">
        <v>6</v>
      </c>
      <c r="I222" s="107">
        <v>8</v>
      </c>
      <c r="J222" s="107">
        <f t="shared" si="3"/>
        <v>4.3250000000000002</v>
      </c>
      <c r="K222" s="107">
        <v>6679</v>
      </c>
      <c r="L222" s="107"/>
      <c r="M222" s="107"/>
      <c r="N222" s="107"/>
      <c r="O222" s="107"/>
    </row>
    <row r="223" spans="1:15" x14ac:dyDescent="0.15">
      <c r="A223" s="107">
        <v>1780</v>
      </c>
      <c r="B223" s="107" t="s">
        <v>200</v>
      </c>
      <c r="C223" s="107" t="s">
        <v>268</v>
      </c>
      <c r="D223" s="25">
        <v>1</v>
      </c>
      <c r="E223" s="107" t="s">
        <v>204</v>
      </c>
      <c r="F223" s="107" t="s">
        <v>314</v>
      </c>
      <c r="G223" s="107">
        <v>4</v>
      </c>
      <c r="H223" s="107">
        <v>6</v>
      </c>
      <c r="I223" s="107">
        <v>8</v>
      </c>
      <c r="J223" s="107">
        <f t="shared" si="3"/>
        <v>4.3250000000000002</v>
      </c>
      <c r="K223" s="107">
        <v>6689</v>
      </c>
      <c r="L223" s="107"/>
      <c r="M223" s="107"/>
      <c r="N223" s="107"/>
      <c r="O223" s="107"/>
    </row>
    <row r="224" spans="1:15" x14ac:dyDescent="0.15">
      <c r="A224" s="107">
        <v>1781</v>
      </c>
      <c r="B224" s="107" t="s">
        <v>261</v>
      </c>
      <c r="C224" s="107" t="s">
        <v>268</v>
      </c>
      <c r="D224" s="25">
        <v>1</v>
      </c>
      <c r="E224" s="107" t="s">
        <v>204</v>
      </c>
      <c r="F224" s="107" t="s">
        <v>314</v>
      </c>
      <c r="G224" s="107">
        <v>4</v>
      </c>
      <c r="H224" s="107">
        <v>6</v>
      </c>
      <c r="I224" s="107">
        <v>0</v>
      </c>
      <c r="J224" s="107">
        <f t="shared" si="3"/>
        <v>4.3</v>
      </c>
      <c r="K224" s="107">
        <v>6699</v>
      </c>
      <c r="L224" s="107"/>
      <c r="M224" s="107"/>
      <c r="N224" s="107"/>
      <c r="O224" s="107"/>
    </row>
    <row r="225" spans="1:15" x14ac:dyDescent="0.15">
      <c r="A225" s="107">
        <v>1791</v>
      </c>
      <c r="B225" s="107" t="s">
        <v>196</v>
      </c>
      <c r="C225" s="107" t="s">
        <v>268</v>
      </c>
      <c r="D225" s="25">
        <v>1</v>
      </c>
      <c r="E225" s="107" t="s">
        <v>204</v>
      </c>
      <c r="F225" s="107" t="s">
        <v>314</v>
      </c>
      <c r="G225" s="107">
        <v>4</v>
      </c>
      <c r="H225" s="107">
        <v>5</v>
      </c>
      <c r="I225" s="107">
        <v>8</v>
      </c>
      <c r="J225" s="107">
        <f t="shared" si="3"/>
        <v>4.2750000000000004</v>
      </c>
      <c r="K225" s="107">
        <v>6805</v>
      </c>
      <c r="L225" s="107"/>
      <c r="M225" s="107"/>
      <c r="N225" s="107"/>
      <c r="O225" s="107"/>
    </row>
    <row r="226" spans="1:15" x14ac:dyDescent="0.15">
      <c r="A226" s="107">
        <v>1794</v>
      </c>
      <c r="B226" s="107" t="s">
        <v>261</v>
      </c>
      <c r="C226" s="107" t="s">
        <v>268</v>
      </c>
      <c r="D226" s="25">
        <v>1</v>
      </c>
      <c r="E226" s="107" t="s">
        <v>204</v>
      </c>
      <c r="F226" s="107" t="s">
        <v>314</v>
      </c>
      <c r="G226" s="107">
        <v>4</v>
      </c>
      <c r="H226" s="107">
        <v>5</v>
      </c>
      <c r="I226" s="107">
        <v>6</v>
      </c>
      <c r="J226" s="107">
        <f t="shared" si="3"/>
        <v>4.2687499999999998</v>
      </c>
      <c r="K226" s="107">
        <v>6839</v>
      </c>
      <c r="L226" s="107"/>
      <c r="M226" s="107"/>
      <c r="N226" s="107"/>
      <c r="O226" s="107"/>
    </row>
    <row r="227" spans="1:15" x14ac:dyDescent="0.15">
      <c r="A227" s="107">
        <v>1659</v>
      </c>
      <c r="B227" s="107" t="s">
        <v>197</v>
      </c>
      <c r="C227" s="107" t="s">
        <v>274</v>
      </c>
      <c r="D227" s="107">
        <v>56.5</v>
      </c>
      <c r="E227" s="107" t="s">
        <v>315</v>
      </c>
      <c r="F227" s="107" t="s">
        <v>316</v>
      </c>
      <c r="G227" s="107">
        <v>70</v>
      </c>
      <c r="H227" s="107">
        <v>0</v>
      </c>
      <c r="I227" s="107">
        <v>0</v>
      </c>
      <c r="J227" s="107">
        <f t="shared" si="3"/>
        <v>1.2389380530973451</v>
      </c>
      <c r="K227" s="107">
        <v>3993</v>
      </c>
      <c r="L227" s="107">
        <v>1792</v>
      </c>
      <c r="M227" s="107">
        <v>167</v>
      </c>
      <c r="N227" s="107" t="s">
        <v>317</v>
      </c>
      <c r="O227" s="107"/>
    </row>
    <row r="228" spans="1:15" x14ac:dyDescent="0.15">
      <c r="A228" s="107">
        <v>1655</v>
      </c>
      <c r="B228" s="107" t="s">
        <v>247</v>
      </c>
      <c r="C228" s="107" t="s">
        <v>274</v>
      </c>
      <c r="D228" s="107">
        <v>1</v>
      </c>
      <c r="E228" s="107"/>
      <c r="F228" s="107" t="s">
        <v>318</v>
      </c>
      <c r="G228" s="107">
        <v>4</v>
      </c>
      <c r="H228" s="107">
        <v>15</v>
      </c>
      <c r="I228" s="107">
        <v>0</v>
      </c>
      <c r="J228" s="107">
        <f t="shared" si="3"/>
        <v>4.75</v>
      </c>
      <c r="K228" s="107">
        <v>3990</v>
      </c>
      <c r="L228" s="107">
        <v>1788</v>
      </c>
      <c r="M228" s="107">
        <v>225</v>
      </c>
      <c r="N228" s="107" t="s">
        <v>287</v>
      </c>
      <c r="O228" s="107" t="s">
        <v>319</v>
      </c>
    </row>
    <row r="229" spans="1:15" x14ac:dyDescent="0.15">
      <c r="A229" s="107">
        <v>1700</v>
      </c>
      <c r="B229" s="107" t="s">
        <v>200</v>
      </c>
      <c r="C229" s="107" t="s">
        <v>271</v>
      </c>
      <c r="D229" s="107">
        <v>14</v>
      </c>
      <c r="E229" s="107" t="s">
        <v>204</v>
      </c>
      <c r="F229" s="107" t="s">
        <v>320</v>
      </c>
      <c r="G229" s="107">
        <v>38</v>
      </c>
      <c r="H229" s="107">
        <v>8</v>
      </c>
      <c r="I229" s="107">
        <v>0</v>
      </c>
      <c r="J229" s="107">
        <f t="shared" si="3"/>
        <v>2.7428571428571429</v>
      </c>
      <c r="K229" s="107">
        <v>4047</v>
      </c>
      <c r="L229" s="107">
        <v>1855</v>
      </c>
      <c r="M229" s="107">
        <v>530</v>
      </c>
      <c r="N229" s="107" t="s">
        <v>272</v>
      </c>
      <c r="O229" s="107"/>
    </row>
    <row r="230" spans="1:15" x14ac:dyDescent="0.15">
      <c r="A230" s="107">
        <v>1656</v>
      </c>
      <c r="B230" s="107" t="s">
        <v>283</v>
      </c>
      <c r="C230" s="107" t="s">
        <v>274</v>
      </c>
      <c r="D230" s="107">
        <v>110</v>
      </c>
      <c r="E230" s="107" t="s">
        <v>204</v>
      </c>
      <c r="F230" s="107" t="s">
        <v>321</v>
      </c>
      <c r="G230" s="107">
        <v>611</v>
      </c>
      <c r="H230" s="107">
        <v>0</v>
      </c>
      <c r="I230" s="107">
        <v>2</v>
      </c>
      <c r="J230" s="107">
        <f t="shared" si="3"/>
        <v>5.5546022727272728</v>
      </c>
      <c r="K230" s="107">
        <v>3991</v>
      </c>
      <c r="L230" s="107">
        <v>1788</v>
      </c>
      <c r="M230" s="107">
        <v>149</v>
      </c>
      <c r="N230" s="107" t="s">
        <v>284</v>
      </c>
      <c r="O230" s="107"/>
    </row>
    <row r="231" spans="1:15" x14ac:dyDescent="0.15">
      <c r="A231" s="107">
        <v>1659</v>
      </c>
      <c r="B231" s="107" t="s">
        <v>197</v>
      </c>
      <c r="C231" s="107" t="s">
        <v>274</v>
      </c>
      <c r="D231" s="107">
        <v>1</v>
      </c>
      <c r="E231" s="107" t="s">
        <v>291</v>
      </c>
      <c r="F231" s="107" t="s">
        <v>322</v>
      </c>
      <c r="G231" s="107">
        <v>10</v>
      </c>
      <c r="H231" s="107">
        <v>0</v>
      </c>
      <c r="I231" s="107">
        <v>0</v>
      </c>
      <c r="J231" s="107">
        <f t="shared" si="3"/>
        <v>10</v>
      </c>
      <c r="K231" s="107">
        <v>3994</v>
      </c>
      <c r="L231" s="107">
        <v>1792</v>
      </c>
      <c r="M231" s="107">
        <v>324</v>
      </c>
      <c r="N231" s="107"/>
      <c r="O231" s="107"/>
    </row>
    <row r="232" spans="1:15" x14ac:dyDescent="0.15">
      <c r="A232" s="107">
        <v>1660</v>
      </c>
      <c r="B232" s="107" t="s">
        <v>253</v>
      </c>
      <c r="C232" s="107" t="s">
        <v>274</v>
      </c>
      <c r="D232" s="107">
        <v>0.5</v>
      </c>
      <c r="E232" s="107" t="s">
        <v>296</v>
      </c>
      <c r="F232" s="107" t="s">
        <v>322</v>
      </c>
      <c r="G232" s="107">
        <v>2</v>
      </c>
      <c r="H232" s="107">
        <v>10</v>
      </c>
      <c r="I232" s="107">
        <v>0</v>
      </c>
      <c r="J232" s="107">
        <f t="shared" si="3"/>
        <v>5</v>
      </c>
      <c r="K232" s="107">
        <v>3995</v>
      </c>
      <c r="L232" s="107">
        <v>1793</v>
      </c>
      <c r="M232" s="107">
        <v>202</v>
      </c>
      <c r="N232" s="107"/>
      <c r="O232" s="107"/>
    </row>
    <row r="233" spans="1:15" x14ac:dyDescent="0.15">
      <c r="A233" s="107">
        <v>1661</v>
      </c>
      <c r="B233" s="107" t="s">
        <v>197</v>
      </c>
      <c r="C233" s="107" t="s">
        <v>274</v>
      </c>
      <c r="D233" s="107">
        <v>0.25</v>
      </c>
      <c r="E233" s="107" t="s">
        <v>296</v>
      </c>
      <c r="F233" s="107" t="s">
        <v>322</v>
      </c>
      <c r="G233" s="107">
        <v>2</v>
      </c>
      <c r="H233" s="107">
        <v>10</v>
      </c>
      <c r="I233" s="107">
        <v>0</v>
      </c>
      <c r="J233" s="107">
        <f t="shared" si="3"/>
        <v>10</v>
      </c>
      <c r="K233" s="107">
        <v>3996</v>
      </c>
      <c r="L233" s="107">
        <v>1794</v>
      </c>
      <c r="M233" s="107" t="s">
        <v>290</v>
      </c>
      <c r="N233" s="107"/>
      <c r="O233" s="107"/>
    </row>
    <row r="234" spans="1:15" x14ac:dyDescent="0.15">
      <c r="A234" s="107">
        <v>1662</v>
      </c>
      <c r="B234" s="107" t="s">
        <v>261</v>
      </c>
      <c r="C234" s="107" t="s">
        <v>274</v>
      </c>
      <c r="D234" s="107">
        <v>0.5</v>
      </c>
      <c r="E234" s="107" t="s">
        <v>296</v>
      </c>
      <c r="F234" s="107" t="s">
        <v>322</v>
      </c>
      <c r="G234" s="107">
        <v>5</v>
      </c>
      <c r="H234" s="107">
        <v>0</v>
      </c>
      <c r="I234" s="107">
        <v>0</v>
      </c>
      <c r="J234" s="107">
        <f t="shared" si="3"/>
        <v>10</v>
      </c>
      <c r="K234" s="107">
        <v>3997</v>
      </c>
      <c r="L234" s="107">
        <v>1795</v>
      </c>
      <c r="M234" s="107" t="s">
        <v>290</v>
      </c>
      <c r="N234" s="107"/>
      <c r="O234" s="107"/>
    </row>
    <row r="235" spans="1:15" x14ac:dyDescent="0.15">
      <c r="A235" s="107">
        <v>1663</v>
      </c>
      <c r="B235" s="107" t="s">
        <v>261</v>
      </c>
      <c r="C235" s="107" t="s">
        <v>274</v>
      </c>
      <c r="D235" s="107">
        <v>0.5</v>
      </c>
      <c r="E235" s="107" t="s">
        <v>296</v>
      </c>
      <c r="F235" s="107" t="s">
        <v>322</v>
      </c>
      <c r="G235" s="107">
        <v>5</v>
      </c>
      <c r="H235" s="107">
        <v>0</v>
      </c>
      <c r="I235" s="107">
        <v>0</v>
      </c>
      <c r="J235" s="107">
        <f t="shared" si="3"/>
        <v>10</v>
      </c>
      <c r="K235" s="107">
        <v>3998</v>
      </c>
      <c r="L235" s="107">
        <v>1797</v>
      </c>
      <c r="M235" s="107" t="s">
        <v>290</v>
      </c>
      <c r="N235" s="107"/>
      <c r="O235" s="107"/>
    </row>
    <row r="236" spans="1:15" x14ac:dyDescent="0.15">
      <c r="A236" s="107">
        <v>1665</v>
      </c>
      <c r="B236" s="107" t="s">
        <v>196</v>
      </c>
      <c r="C236" s="107" t="s">
        <v>274</v>
      </c>
      <c r="D236" s="107">
        <v>2</v>
      </c>
      <c r="E236" s="107" t="s">
        <v>291</v>
      </c>
      <c r="F236" s="107" t="s">
        <v>322</v>
      </c>
      <c r="G236" s="107">
        <v>12</v>
      </c>
      <c r="H236" s="107">
        <v>0</v>
      </c>
      <c r="I236" s="107">
        <v>0</v>
      </c>
      <c r="J236" s="107">
        <f t="shared" si="3"/>
        <v>6</v>
      </c>
      <c r="K236" s="107">
        <v>4000</v>
      </c>
      <c r="L236" s="107">
        <v>1798</v>
      </c>
      <c r="M236" s="107">
        <v>72</v>
      </c>
      <c r="N236" s="107"/>
      <c r="O236" s="107"/>
    </row>
    <row r="237" spans="1:15" x14ac:dyDescent="0.15">
      <c r="A237" s="107">
        <v>1666</v>
      </c>
      <c r="B237" s="107" t="s">
        <v>196</v>
      </c>
      <c r="C237" s="107" t="s">
        <v>274</v>
      </c>
      <c r="D237" s="107">
        <v>0.5</v>
      </c>
      <c r="E237" s="107" t="s">
        <v>292</v>
      </c>
      <c r="F237" s="107" t="s">
        <v>322</v>
      </c>
      <c r="G237" s="107">
        <v>5</v>
      </c>
      <c r="H237" s="107">
        <v>0</v>
      </c>
      <c r="I237" s="107">
        <v>0</v>
      </c>
      <c r="J237" s="107">
        <f t="shared" si="3"/>
        <v>10</v>
      </c>
      <c r="K237" s="107">
        <v>4001</v>
      </c>
      <c r="L237" s="107">
        <v>1800</v>
      </c>
      <c r="M237" s="107">
        <v>47</v>
      </c>
      <c r="N237" s="107"/>
      <c r="O237" s="107"/>
    </row>
    <row r="238" spans="1:15" x14ac:dyDescent="0.15">
      <c r="A238" s="107">
        <v>1672</v>
      </c>
      <c r="B238" s="107" t="s">
        <v>196</v>
      </c>
      <c r="C238" s="107" t="s">
        <v>274</v>
      </c>
      <c r="D238" s="107">
        <v>5</v>
      </c>
      <c r="E238" s="107" t="s">
        <v>323</v>
      </c>
      <c r="F238" s="107" t="s">
        <v>322</v>
      </c>
      <c r="G238" s="107">
        <v>90</v>
      </c>
      <c r="H238" s="107">
        <v>0</v>
      </c>
      <c r="I238" s="107">
        <v>0</v>
      </c>
      <c r="J238" s="107">
        <f t="shared" si="3"/>
        <v>18</v>
      </c>
      <c r="K238" s="107">
        <v>4008</v>
      </c>
      <c r="L238" s="107">
        <v>1810</v>
      </c>
      <c r="M238" s="107">
        <v>511</v>
      </c>
      <c r="N238" s="107"/>
      <c r="O238" s="107"/>
    </row>
    <row r="239" spans="1:15" x14ac:dyDescent="0.15">
      <c r="A239" s="107">
        <v>1681</v>
      </c>
      <c r="B239" s="107" t="s">
        <v>244</v>
      </c>
      <c r="C239" s="107" t="s">
        <v>271</v>
      </c>
      <c r="D239" s="107">
        <v>1</v>
      </c>
      <c r="E239" s="107" t="s">
        <v>324</v>
      </c>
      <c r="F239" s="107" t="s">
        <v>322</v>
      </c>
      <c r="G239" s="107">
        <v>20</v>
      </c>
      <c r="H239" s="107">
        <v>0</v>
      </c>
      <c r="I239" s="107">
        <v>0</v>
      </c>
      <c r="J239" s="107">
        <f t="shared" si="3"/>
        <v>20</v>
      </c>
      <c r="K239" s="107">
        <v>4017</v>
      </c>
      <c r="L239" s="107">
        <v>1819</v>
      </c>
      <c r="M239" s="107">
        <v>471</v>
      </c>
      <c r="N239" s="107"/>
      <c r="O239" s="107"/>
    </row>
    <row r="240" spans="1:15" x14ac:dyDescent="0.15">
      <c r="A240" s="107">
        <v>1689</v>
      </c>
      <c r="B240" s="107" t="s">
        <v>236</v>
      </c>
      <c r="C240" s="107" t="s">
        <v>271</v>
      </c>
      <c r="D240" s="107">
        <v>0.5</v>
      </c>
      <c r="E240" s="107" t="s">
        <v>324</v>
      </c>
      <c r="F240" s="107" t="s">
        <v>322</v>
      </c>
      <c r="G240" s="107">
        <v>10</v>
      </c>
      <c r="H240" s="107">
        <v>0</v>
      </c>
      <c r="I240" s="107">
        <v>0</v>
      </c>
      <c r="J240" s="107">
        <f t="shared" si="3"/>
        <v>20</v>
      </c>
      <c r="K240" s="107">
        <v>4027</v>
      </c>
      <c r="L240" s="107">
        <v>1832</v>
      </c>
      <c r="M240" s="107">
        <v>538</v>
      </c>
      <c r="N240" s="107"/>
      <c r="O240" s="107"/>
    </row>
    <row r="241" spans="1:15" x14ac:dyDescent="0.15">
      <c r="A241" s="107">
        <v>1697</v>
      </c>
      <c r="B241" s="107" t="s">
        <v>196</v>
      </c>
      <c r="C241" s="107" t="s">
        <v>271</v>
      </c>
      <c r="D241" s="107">
        <v>0.75</v>
      </c>
      <c r="E241" s="107" t="s">
        <v>324</v>
      </c>
      <c r="F241" s="107" t="s">
        <v>322</v>
      </c>
      <c r="G241" s="107">
        <v>30</v>
      </c>
      <c r="H241" s="107">
        <v>0</v>
      </c>
      <c r="I241" s="107">
        <v>0</v>
      </c>
      <c r="J241" s="107">
        <f t="shared" si="3"/>
        <v>40</v>
      </c>
      <c r="K241" s="107">
        <v>4038</v>
      </c>
      <c r="L241" s="107">
        <v>1846</v>
      </c>
      <c r="M241" s="107">
        <v>719</v>
      </c>
      <c r="N241" s="107" t="s">
        <v>273</v>
      </c>
      <c r="O241" s="107" t="s">
        <v>325</v>
      </c>
    </row>
    <row r="242" spans="1:15" x14ac:dyDescent="0.15">
      <c r="A242" s="107">
        <v>1698</v>
      </c>
      <c r="B242" s="107" t="s">
        <v>200</v>
      </c>
      <c r="C242" s="107" t="s">
        <v>271</v>
      </c>
      <c r="D242" s="107">
        <v>1</v>
      </c>
      <c r="E242" s="107" t="s">
        <v>324</v>
      </c>
      <c r="F242" s="107" t="s">
        <v>322</v>
      </c>
      <c r="G242" s="107">
        <v>40</v>
      </c>
      <c r="H242" s="107">
        <v>0</v>
      </c>
      <c r="I242" s="107">
        <v>0</v>
      </c>
      <c r="J242" s="107">
        <f t="shared" si="3"/>
        <v>40</v>
      </c>
      <c r="K242" s="107">
        <v>4043</v>
      </c>
      <c r="L242" s="107">
        <v>1851</v>
      </c>
      <c r="M242" s="107">
        <v>830</v>
      </c>
      <c r="N242" s="107"/>
      <c r="O242" s="107"/>
    </row>
    <row r="243" spans="1:15" x14ac:dyDescent="0.15">
      <c r="A243" s="107">
        <v>1656</v>
      </c>
      <c r="B243" s="107" t="s">
        <v>283</v>
      </c>
      <c r="C243" s="107" t="s">
        <v>274</v>
      </c>
      <c r="D243" s="107">
        <v>4</v>
      </c>
      <c r="E243" s="107"/>
      <c r="F243" s="107" t="s">
        <v>326</v>
      </c>
      <c r="G243" s="107">
        <v>250</v>
      </c>
      <c r="H243" s="107">
        <v>0</v>
      </c>
      <c r="I243" s="107">
        <v>0</v>
      </c>
      <c r="J243" s="107">
        <f t="shared" si="3"/>
        <v>62.5</v>
      </c>
      <c r="K243" s="107">
        <v>3991</v>
      </c>
      <c r="L243" s="107">
        <v>1788</v>
      </c>
      <c r="M243" s="107">
        <v>150</v>
      </c>
      <c r="N243" s="107" t="s">
        <v>284</v>
      </c>
      <c r="O243" s="107"/>
    </row>
    <row r="244" spans="1:15" x14ac:dyDescent="0.15">
      <c r="A244" s="107">
        <v>1682</v>
      </c>
      <c r="B244" s="107" t="s">
        <v>197</v>
      </c>
      <c r="C244" s="107" t="s">
        <v>271</v>
      </c>
      <c r="D244" s="107">
        <v>536</v>
      </c>
      <c r="E244" s="107" t="s">
        <v>193</v>
      </c>
      <c r="F244" s="107" t="s">
        <v>327</v>
      </c>
      <c r="G244" s="107">
        <v>37</v>
      </c>
      <c r="H244" s="107">
        <v>9</v>
      </c>
      <c r="I244" s="107">
        <v>8</v>
      </c>
      <c r="J244" s="107">
        <f t="shared" si="3"/>
        <v>6.9916044776119401E-2</v>
      </c>
      <c r="K244" s="107">
        <v>4018</v>
      </c>
      <c r="L244" s="107">
        <v>1820</v>
      </c>
      <c r="M244" s="107">
        <v>762</v>
      </c>
      <c r="N244" s="107" t="s">
        <v>273</v>
      </c>
      <c r="O244" s="107"/>
    </row>
    <row r="245" spans="1:15" x14ac:dyDescent="0.15">
      <c r="A245" s="107">
        <v>1682</v>
      </c>
      <c r="B245" s="107" t="s">
        <v>200</v>
      </c>
      <c r="C245" s="107" t="s">
        <v>271</v>
      </c>
      <c r="D245" s="107">
        <v>560</v>
      </c>
      <c r="E245" s="107" t="s">
        <v>193</v>
      </c>
      <c r="F245" s="107" t="s">
        <v>327</v>
      </c>
      <c r="G245" s="107">
        <v>39</v>
      </c>
      <c r="H245" s="107">
        <v>18</v>
      </c>
      <c r="I245" s="107">
        <v>0</v>
      </c>
      <c r="J245" s="107">
        <f t="shared" si="3"/>
        <v>7.1249999999999994E-2</v>
      </c>
      <c r="K245" s="107">
        <v>4018</v>
      </c>
      <c r="L245" s="107">
        <v>1820</v>
      </c>
      <c r="M245" s="107">
        <v>821</v>
      </c>
      <c r="N245" s="107" t="s">
        <v>273</v>
      </c>
      <c r="O245" s="107"/>
    </row>
    <row r="246" spans="1:15" x14ac:dyDescent="0.15">
      <c r="A246" s="107">
        <v>1700</v>
      </c>
      <c r="B246" s="107" t="s">
        <v>200</v>
      </c>
      <c r="C246" s="107" t="s">
        <v>271</v>
      </c>
      <c r="D246" s="107">
        <v>336</v>
      </c>
      <c r="E246" s="107" t="s">
        <v>193</v>
      </c>
      <c r="F246" s="107" t="s">
        <v>327</v>
      </c>
      <c r="G246" s="107">
        <v>10</v>
      </c>
      <c r="H246" s="107">
        <v>12</v>
      </c>
      <c r="I246" s="107">
        <v>0</v>
      </c>
      <c r="J246" s="107">
        <f t="shared" si="3"/>
        <v>3.1547619047619047E-2</v>
      </c>
      <c r="K246" s="107">
        <v>4047</v>
      </c>
      <c r="L246" s="107">
        <v>1855</v>
      </c>
      <c r="M246" s="107">
        <v>527</v>
      </c>
      <c r="N246" s="107" t="s">
        <v>272</v>
      </c>
      <c r="O246" s="107"/>
    </row>
    <row r="247" spans="1:15" x14ac:dyDescent="0.15">
      <c r="A247" s="107">
        <v>1657</v>
      </c>
      <c r="B247" s="107" t="s">
        <v>197</v>
      </c>
      <c r="C247" s="107" t="s">
        <v>274</v>
      </c>
      <c r="D247" s="107">
        <v>49</v>
      </c>
      <c r="E247" s="107" t="s">
        <v>193</v>
      </c>
      <c r="F247" s="107" t="s">
        <v>328</v>
      </c>
      <c r="G247" s="107">
        <v>4</v>
      </c>
      <c r="H247" s="107">
        <v>18</v>
      </c>
      <c r="I247" s="107">
        <v>0</v>
      </c>
      <c r="J247" s="107">
        <f t="shared" si="3"/>
        <v>0.1</v>
      </c>
      <c r="K247" s="107">
        <v>3992</v>
      </c>
      <c r="L247" s="107">
        <v>1789</v>
      </c>
      <c r="M247" s="107">
        <v>228</v>
      </c>
      <c r="N247" s="107"/>
      <c r="O247" s="107"/>
    </row>
    <row r="248" spans="1:15" x14ac:dyDescent="0.15">
      <c r="A248" s="107">
        <v>1673</v>
      </c>
      <c r="B248" s="107" t="s">
        <v>197</v>
      </c>
      <c r="C248" s="107" t="s">
        <v>274</v>
      </c>
      <c r="D248" s="107">
        <v>87.25</v>
      </c>
      <c r="E248" s="107" t="s">
        <v>193</v>
      </c>
      <c r="F248" s="107" t="s">
        <v>328</v>
      </c>
      <c r="G248" s="107">
        <v>7</v>
      </c>
      <c r="H248" s="107">
        <v>12</v>
      </c>
      <c r="I248" s="107">
        <v>11</v>
      </c>
      <c r="J248" s="107">
        <f t="shared" si="3"/>
        <v>8.7499999999999994E-2</v>
      </c>
      <c r="K248" s="107">
        <v>4010</v>
      </c>
      <c r="L248" s="107">
        <v>1812</v>
      </c>
      <c r="M248" s="107">
        <v>548</v>
      </c>
      <c r="N248" s="107"/>
      <c r="O248" s="107"/>
    </row>
    <row r="249" spans="1:15" x14ac:dyDescent="0.15">
      <c r="A249" s="107">
        <v>1674</v>
      </c>
      <c r="B249" s="107" t="s">
        <v>196</v>
      </c>
      <c r="C249" s="107" t="s">
        <v>274</v>
      </c>
      <c r="D249" s="107">
        <v>24</v>
      </c>
      <c r="E249" s="107" t="s">
        <v>193</v>
      </c>
      <c r="F249" s="107" t="s">
        <v>328</v>
      </c>
      <c r="G249" s="107">
        <v>2</v>
      </c>
      <c r="H249" s="107">
        <v>8</v>
      </c>
      <c r="I249" s="107">
        <v>0</v>
      </c>
      <c r="J249" s="107">
        <f t="shared" si="3"/>
        <v>9.9999999999999992E-2</v>
      </c>
      <c r="K249" s="107">
        <v>4011</v>
      </c>
      <c r="L249" s="107">
        <v>1814</v>
      </c>
      <c r="M249" s="107">
        <v>601</v>
      </c>
      <c r="N249" s="107" t="s">
        <v>294</v>
      </c>
      <c r="O249" s="107"/>
    </row>
    <row r="250" spans="1:15" x14ac:dyDescent="0.15">
      <c r="A250" s="107">
        <v>1677</v>
      </c>
      <c r="B250" s="107" t="s">
        <v>197</v>
      </c>
      <c r="C250" s="107" t="s">
        <v>274</v>
      </c>
      <c r="D250" s="107">
        <v>300</v>
      </c>
      <c r="E250" s="107" t="s">
        <v>193</v>
      </c>
      <c r="F250" s="107" t="s">
        <v>328</v>
      </c>
      <c r="G250" s="107">
        <v>90</v>
      </c>
      <c r="H250" s="107">
        <v>0</v>
      </c>
      <c r="I250" s="107">
        <v>0</v>
      </c>
      <c r="J250" s="107">
        <f t="shared" si="3"/>
        <v>0.3</v>
      </c>
      <c r="K250" s="107">
        <v>4013</v>
      </c>
      <c r="L250" s="107">
        <v>1816</v>
      </c>
      <c r="M250" s="107">
        <v>742</v>
      </c>
      <c r="N250" s="107"/>
      <c r="O250" s="107"/>
    </row>
    <row r="251" spans="1:15" x14ac:dyDescent="0.15">
      <c r="A251" s="107">
        <v>1681</v>
      </c>
      <c r="B251" s="107" t="s">
        <v>197</v>
      </c>
      <c r="C251" s="107" t="s">
        <v>271</v>
      </c>
      <c r="D251" s="107">
        <v>200</v>
      </c>
      <c r="E251" s="107" t="s">
        <v>193</v>
      </c>
      <c r="F251" s="107" t="s">
        <v>328</v>
      </c>
      <c r="G251" s="107">
        <v>14</v>
      </c>
      <c r="H251" s="107">
        <v>5</v>
      </c>
      <c r="I251" s="107">
        <v>0</v>
      </c>
      <c r="J251" s="107">
        <f t="shared" si="3"/>
        <v>7.1249999999999994E-2</v>
      </c>
      <c r="K251" s="107">
        <v>4017</v>
      </c>
      <c r="L251" s="107">
        <v>1819</v>
      </c>
      <c r="M251" s="107">
        <v>428</v>
      </c>
      <c r="N251" s="107"/>
      <c r="O251" s="107"/>
    </row>
    <row r="252" spans="1:15" x14ac:dyDescent="0.15">
      <c r="A252" s="107">
        <v>1683</v>
      </c>
      <c r="B252" s="107" t="s">
        <v>197</v>
      </c>
      <c r="C252" s="107" t="s">
        <v>271</v>
      </c>
      <c r="D252" s="107">
        <v>9225</v>
      </c>
      <c r="E252" s="107" t="s">
        <v>193</v>
      </c>
      <c r="F252" s="107" t="s">
        <v>328</v>
      </c>
      <c r="G252" s="107">
        <v>657</v>
      </c>
      <c r="H252" s="107">
        <v>6</v>
      </c>
      <c r="I252" s="107">
        <v>8</v>
      </c>
      <c r="J252" s="107">
        <f t="shared" si="3"/>
        <v>7.1254742547425462E-2</v>
      </c>
      <c r="K252" s="107">
        <v>4019</v>
      </c>
      <c r="L252" s="107">
        <v>1822</v>
      </c>
      <c r="M252" s="107">
        <v>600</v>
      </c>
      <c r="N252" s="107"/>
      <c r="O252" s="107"/>
    </row>
    <row r="253" spans="1:15" x14ac:dyDescent="0.15">
      <c r="A253" s="107">
        <v>1684</v>
      </c>
      <c r="B253" s="107" t="s">
        <v>197</v>
      </c>
      <c r="C253" s="107" t="s">
        <v>271</v>
      </c>
      <c r="D253" s="107">
        <v>5420</v>
      </c>
      <c r="E253" s="107" t="s">
        <v>193</v>
      </c>
      <c r="F253" s="107" t="s">
        <v>328</v>
      </c>
      <c r="G253" s="107">
        <v>386</v>
      </c>
      <c r="H253" s="107">
        <v>3</v>
      </c>
      <c r="I253" s="107">
        <v>4</v>
      </c>
      <c r="J253" s="107">
        <f t="shared" si="3"/>
        <v>7.1247693726937261E-2</v>
      </c>
      <c r="K253" s="107">
        <v>4021</v>
      </c>
      <c r="L253" s="107">
        <v>1825</v>
      </c>
      <c r="M253" s="107">
        <v>666</v>
      </c>
      <c r="N253" s="107"/>
      <c r="O253" s="107"/>
    </row>
    <row r="254" spans="1:15" x14ac:dyDescent="0.15">
      <c r="A254" s="107">
        <v>1685</v>
      </c>
      <c r="B254" s="107" t="s">
        <v>196</v>
      </c>
      <c r="C254" s="107" t="s">
        <v>271</v>
      </c>
      <c r="D254" s="107">
        <v>12700</v>
      </c>
      <c r="E254" s="107" t="s">
        <v>193</v>
      </c>
      <c r="F254" s="107" t="s">
        <v>328</v>
      </c>
      <c r="G254" s="107">
        <v>889</v>
      </c>
      <c r="H254" s="107">
        <v>0</v>
      </c>
      <c r="I254" s="107">
        <v>0</v>
      </c>
      <c r="J254" s="107">
        <f t="shared" si="3"/>
        <v>7.0000000000000007E-2</v>
      </c>
      <c r="K254" s="107">
        <v>4022</v>
      </c>
      <c r="L254" s="107">
        <v>1827</v>
      </c>
      <c r="M254" s="107">
        <v>600</v>
      </c>
      <c r="N254" s="107"/>
      <c r="O254" s="107"/>
    </row>
    <row r="255" spans="1:15" x14ac:dyDescent="0.15">
      <c r="A255" s="107">
        <v>1686</v>
      </c>
      <c r="B255" s="107" t="s">
        <v>197</v>
      </c>
      <c r="C255" s="107" t="s">
        <v>271</v>
      </c>
      <c r="D255" s="107">
        <v>2815</v>
      </c>
      <c r="E255" s="107" t="s">
        <v>193</v>
      </c>
      <c r="F255" s="107" t="s">
        <v>328</v>
      </c>
      <c r="G255" s="107">
        <v>197</v>
      </c>
      <c r="H255" s="107">
        <v>1</v>
      </c>
      <c r="I255" s="107">
        <v>0</v>
      </c>
      <c r="J255" s="107">
        <f t="shared" si="3"/>
        <v>7.0000000000000007E-2</v>
      </c>
      <c r="K255" s="107">
        <v>4023</v>
      </c>
      <c r="L255" s="107">
        <v>1829</v>
      </c>
      <c r="M255" s="107">
        <v>706</v>
      </c>
      <c r="N255" s="107"/>
      <c r="O255" s="107"/>
    </row>
    <row r="256" spans="1:15" x14ac:dyDescent="0.15">
      <c r="A256" s="107">
        <v>1686</v>
      </c>
      <c r="B256" s="107" t="s">
        <v>247</v>
      </c>
      <c r="C256" s="107" t="s">
        <v>295</v>
      </c>
      <c r="D256" s="107">
        <v>25</v>
      </c>
      <c r="E256" s="107" t="s">
        <v>193</v>
      </c>
      <c r="F256" s="107" t="s">
        <v>328</v>
      </c>
      <c r="G256" s="107">
        <v>1</v>
      </c>
      <c r="H256" s="107">
        <v>15</v>
      </c>
      <c r="I256" s="107">
        <v>10</v>
      </c>
      <c r="J256" s="107">
        <f t="shared" si="3"/>
        <v>7.1249999999999994E-2</v>
      </c>
      <c r="K256" s="107">
        <v>4023</v>
      </c>
      <c r="L256" s="107">
        <v>1829</v>
      </c>
      <c r="M256" s="107">
        <v>832</v>
      </c>
      <c r="N256" s="107"/>
      <c r="O256" s="107"/>
    </row>
    <row r="257" spans="1:14" x14ac:dyDescent="0.15">
      <c r="A257" s="107">
        <v>1688</v>
      </c>
      <c r="B257" s="107" t="s">
        <v>260</v>
      </c>
      <c r="C257" s="107" t="s">
        <v>271</v>
      </c>
      <c r="D257" s="107">
        <v>3000</v>
      </c>
      <c r="E257" s="107" t="s">
        <v>193</v>
      </c>
      <c r="F257" s="107" t="s">
        <v>328</v>
      </c>
      <c r="G257" s="107">
        <v>240</v>
      </c>
      <c r="H257" s="107">
        <v>0</v>
      </c>
      <c r="I257" s="107">
        <v>0</v>
      </c>
      <c r="J257" s="107">
        <f t="shared" si="3"/>
        <v>0.08</v>
      </c>
      <c r="K257" s="107">
        <v>4025</v>
      </c>
      <c r="L257" s="107">
        <v>1831</v>
      </c>
      <c r="M257" s="107">
        <v>573</v>
      </c>
      <c r="N257" s="107"/>
    </row>
    <row r="258" spans="1:14" x14ac:dyDescent="0.15">
      <c r="A258" s="107">
        <v>1689</v>
      </c>
      <c r="B258" s="107" t="s">
        <v>196</v>
      </c>
      <c r="C258" s="107" t="s">
        <v>271</v>
      </c>
      <c r="D258" s="107">
        <v>600</v>
      </c>
      <c r="E258" s="107" t="s">
        <v>193</v>
      </c>
      <c r="F258" s="107" t="s">
        <v>328</v>
      </c>
      <c r="G258" s="107">
        <v>48</v>
      </c>
      <c r="H258" s="107">
        <v>0</v>
      </c>
      <c r="I258" s="107">
        <v>0</v>
      </c>
      <c r="J258" s="107">
        <f t="shared" ref="J258:J321" si="4">(G258+H258/20+I258/320)/D258</f>
        <v>0.08</v>
      </c>
      <c r="K258" s="107">
        <v>4027</v>
      </c>
      <c r="L258" s="107">
        <v>1832</v>
      </c>
      <c r="M258" s="107">
        <v>488</v>
      </c>
      <c r="N258" s="107"/>
    </row>
    <row r="259" spans="1:14" x14ac:dyDescent="0.15">
      <c r="A259" s="107">
        <v>1690</v>
      </c>
      <c r="B259" s="107" t="s">
        <v>200</v>
      </c>
      <c r="C259" s="107" t="s">
        <v>271</v>
      </c>
      <c r="D259" s="107">
        <v>9000</v>
      </c>
      <c r="E259" s="107" t="s">
        <v>193</v>
      </c>
      <c r="F259" s="107" t="s">
        <v>328</v>
      </c>
      <c r="G259" s="107">
        <v>720</v>
      </c>
      <c r="H259" s="107">
        <v>0</v>
      </c>
      <c r="I259" s="107">
        <v>0</v>
      </c>
      <c r="J259" s="107">
        <f t="shared" si="4"/>
        <v>0.08</v>
      </c>
      <c r="K259" s="107">
        <v>4028</v>
      </c>
      <c r="L259" s="107">
        <v>1834</v>
      </c>
      <c r="M259" s="107">
        <v>400</v>
      </c>
      <c r="N259" s="107"/>
    </row>
    <row r="260" spans="1:14" x14ac:dyDescent="0.15">
      <c r="A260" s="107">
        <v>1691</v>
      </c>
      <c r="B260" s="107" t="s">
        <v>244</v>
      </c>
      <c r="C260" s="107" t="s">
        <v>271</v>
      </c>
      <c r="D260" s="107">
        <v>6000</v>
      </c>
      <c r="E260" s="107" t="s">
        <v>193</v>
      </c>
      <c r="F260" s="107" t="s">
        <v>328</v>
      </c>
      <c r="G260" s="107">
        <v>480</v>
      </c>
      <c r="H260" s="107">
        <v>0</v>
      </c>
      <c r="I260" s="107">
        <v>0</v>
      </c>
      <c r="J260" s="107">
        <f t="shared" si="4"/>
        <v>0.08</v>
      </c>
      <c r="K260" s="107">
        <v>4028</v>
      </c>
      <c r="L260" s="107">
        <v>1834</v>
      </c>
      <c r="M260" s="107">
        <v>379</v>
      </c>
      <c r="N260" s="107"/>
    </row>
    <row r="261" spans="1:14" x14ac:dyDescent="0.15">
      <c r="A261" s="107">
        <v>1692</v>
      </c>
      <c r="B261" s="107" t="s">
        <v>200</v>
      </c>
      <c r="C261" s="107" t="s">
        <v>271</v>
      </c>
      <c r="D261" s="107">
        <v>40</v>
      </c>
      <c r="E261" s="107" t="s">
        <v>193</v>
      </c>
      <c r="F261" s="107" t="s">
        <v>328</v>
      </c>
      <c r="G261" s="107">
        <v>3</v>
      </c>
      <c r="H261" s="107">
        <v>4</v>
      </c>
      <c r="I261" s="107">
        <v>0</v>
      </c>
      <c r="J261" s="107">
        <f t="shared" si="4"/>
        <v>0.08</v>
      </c>
      <c r="K261" s="107">
        <v>4030</v>
      </c>
      <c r="L261" s="107">
        <v>1836</v>
      </c>
      <c r="M261" s="107">
        <v>240</v>
      </c>
      <c r="N261" s="107"/>
    </row>
    <row r="262" spans="1:14" x14ac:dyDescent="0.15">
      <c r="A262" s="107">
        <v>1693</v>
      </c>
      <c r="B262" s="107" t="s">
        <v>261</v>
      </c>
      <c r="C262" s="107" t="s">
        <v>271</v>
      </c>
      <c r="D262" s="107">
        <v>2000</v>
      </c>
      <c r="E262" s="107" t="s">
        <v>193</v>
      </c>
      <c r="F262" s="107" t="s">
        <v>328</v>
      </c>
      <c r="G262" s="107">
        <v>160</v>
      </c>
      <c r="H262" s="107">
        <v>0</v>
      </c>
      <c r="I262" s="107">
        <v>0</v>
      </c>
      <c r="J262" s="107">
        <f t="shared" si="4"/>
        <v>0.08</v>
      </c>
      <c r="K262" s="107">
        <v>4030</v>
      </c>
      <c r="L262" s="107">
        <v>1836</v>
      </c>
      <c r="M262" s="107">
        <v>231</v>
      </c>
      <c r="N262" s="107"/>
    </row>
    <row r="263" spans="1:14" x14ac:dyDescent="0.15">
      <c r="A263" s="107">
        <v>1694</v>
      </c>
      <c r="B263" s="107" t="s">
        <v>261</v>
      </c>
      <c r="C263" s="107" t="s">
        <v>271</v>
      </c>
      <c r="D263" s="107">
        <v>3000</v>
      </c>
      <c r="E263" s="107" t="s">
        <v>193</v>
      </c>
      <c r="F263" s="107" t="s">
        <v>328</v>
      </c>
      <c r="G263" s="107">
        <v>240</v>
      </c>
      <c r="H263" s="107">
        <v>0</v>
      </c>
      <c r="I263" s="107">
        <v>0</v>
      </c>
      <c r="J263" s="107">
        <f t="shared" si="4"/>
        <v>0.08</v>
      </c>
      <c r="K263" s="107">
        <v>4032</v>
      </c>
      <c r="L263" s="107">
        <v>1839</v>
      </c>
      <c r="M263" s="107">
        <v>252</v>
      </c>
      <c r="N263" s="107"/>
    </row>
    <row r="264" spans="1:14" x14ac:dyDescent="0.15">
      <c r="A264" s="107">
        <v>1696</v>
      </c>
      <c r="B264" s="107" t="s">
        <v>244</v>
      </c>
      <c r="C264" s="107" t="s">
        <v>271</v>
      </c>
      <c r="D264" s="107">
        <v>1200</v>
      </c>
      <c r="E264" s="107" t="s">
        <v>193</v>
      </c>
      <c r="F264" s="107" t="s">
        <v>328</v>
      </c>
      <c r="G264" s="107">
        <v>120</v>
      </c>
      <c r="H264" s="107">
        <v>0</v>
      </c>
      <c r="I264" s="107">
        <v>0</v>
      </c>
      <c r="J264" s="107">
        <f t="shared" si="4"/>
        <v>0.1</v>
      </c>
      <c r="K264" s="107">
        <v>4037</v>
      </c>
      <c r="L264" s="107">
        <v>1844</v>
      </c>
      <c r="M264" s="107">
        <v>1382</v>
      </c>
      <c r="N264" s="107"/>
    </row>
    <row r="265" spans="1:14" x14ac:dyDescent="0.15">
      <c r="A265" s="107">
        <v>1697</v>
      </c>
      <c r="B265" s="107" t="s">
        <v>197</v>
      </c>
      <c r="C265" s="107" t="s">
        <v>271</v>
      </c>
      <c r="D265" s="107">
        <v>8600</v>
      </c>
      <c r="E265" s="107" t="s">
        <v>193</v>
      </c>
      <c r="F265" s="107" t="s">
        <v>328</v>
      </c>
      <c r="G265" s="107">
        <v>688</v>
      </c>
      <c r="H265" s="107">
        <v>0</v>
      </c>
      <c r="I265" s="107">
        <v>0</v>
      </c>
      <c r="J265" s="107">
        <f t="shared" si="4"/>
        <v>0.08</v>
      </c>
      <c r="K265" s="107">
        <v>4038</v>
      </c>
      <c r="L265" s="107">
        <v>1846</v>
      </c>
      <c r="M265" s="107">
        <v>713</v>
      </c>
      <c r="N265" s="107" t="s">
        <v>294</v>
      </c>
    </row>
    <row r="266" spans="1:14" x14ac:dyDescent="0.15">
      <c r="A266" s="107">
        <v>1699</v>
      </c>
      <c r="B266" s="107" t="s">
        <v>197</v>
      </c>
      <c r="C266" s="107" t="s">
        <v>271</v>
      </c>
      <c r="D266" s="107">
        <v>119</v>
      </c>
      <c r="E266" s="107" t="s">
        <v>193</v>
      </c>
      <c r="F266" s="107" t="s">
        <v>328</v>
      </c>
      <c r="G266" s="107">
        <v>9</v>
      </c>
      <c r="H266" s="107">
        <v>10</v>
      </c>
      <c r="I266" s="107">
        <v>0</v>
      </c>
      <c r="J266" s="107">
        <f t="shared" si="4"/>
        <v>7.9831932773109238E-2</v>
      </c>
      <c r="K266" s="107">
        <v>4043</v>
      </c>
      <c r="L266" s="107">
        <v>1851</v>
      </c>
      <c r="M266" s="107">
        <v>856</v>
      </c>
      <c r="N266" s="107"/>
    </row>
    <row r="267" spans="1:14" x14ac:dyDescent="0.15">
      <c r="A267" s="107">
        <v>1703</v>
      </c>
      <c r="B267" s="107" t="s">
        <v>253</v>
      </c>
      <c r="C267" s="107" t="s">
        <v>271</v>
      </c>
      <c r="D267" s="107">
        <v>1200</v>
      </c>
      <c r="E267" s="107" t="s">
        <v>193</v>
      </c>
      <c r="F267" s="107" t="s">
        <v>328</v>
      </c>
      <c r="G267" s="107">
        <v>120</v>
      </c>
      <c r="H267" s="107">
        <v>0</v>
      </c>
      <c r="I267" s="107">
        <v>0</v>
      </c>
      <c r="J267" s="107">
        <f t="shared" si="4"/>
        <v>0.1</v>
      </c>
      <c r="K267" s="107">
        <v>4049</v>
      </c>
      <c r="L267" s="107">
        <v>1856</v>
      </c>
      <c r="M267" s="107">
        <v>538</v>
      </c>
      <c r="N267" s="107"/>
    </row>
    <row r="268" spans="1:14" x14ac:dyDescent="0.15">
      <c r="A268" s="107">
        <v>1704</v>
      </c>
      <c r="B268" s="107" t="s">
        <v>253</v>
      </c>
      <c r="C268" s="107" t="s">
        <v>271</v>
      </c>
      <c r="D268" s="107">
        <v>1500</v>
      </c>
      <c r="E268" s="107" t="s">
        <v>193</v>
      </c>
      <c r="F268" s="107" t="s">
        <v>328</v>
      </c>
      <c r="G268" s="107">
        <v>101</v>
      </c>
      <c r="H268" s="107">
        <v>5</v>
      </c>
      <c r="I268" s="107">
        <v>0</v>
      </c>
      <c r="J268" s="107">
        <f t="shared" si="4"/>
        <v>6.7500000000000004E-2</v>
      </c>
      <c r="K268" s="107">
        <v>4050</v>
      </c>
      <c r="L268" s="107">
        <v>1858</v>
      </c>
      <c r="M268" s="107">
        <v>502</v>
      </c>
      <c r="N268" s="107"/>
    </row>
    <row r="269" spans="1:14" x14ac:dyDescent="0.15">
      <c r="A269" s="107">
        <v>1689</v>
      </c>
      <c r="B269" s="107" t="s">
        <v>197</v>
      </c>
      <c r="C269" s="107" t="s">
        <v>271</v>
      </c>
      <c r="D269" s="107">
        <v>26</v>
      </c>
      <c r="E269" s="107" t="s">
        <v>204</v>
      </c>
      <c r="F269" s="107" t="s">
        <v>329</v>
      </c>
      <c r="G269" s="107">
        <v>9</v>
      </c>
      <c r="H269" s="107">
        <v>2</v>
      </c>
      <c r="I269" s="107">
        <v>0</v>
      </c>
      <c r="J269" s="107">
        <f t="shared" si="4"/>
        <v>0.35</v>
      </c>
      <c r="K269" s="107">
        <v>4027</v>
      </c>
      <c r="L269" s="107">
        <v>1832</v>
      </c>
      <c r="M269" s="107">
        <v>482</v>
      </c>
      <c r="N269" s="107"/>
    </row>
    <row r="270" spans="1:14" x14ac:dyDescent="0.15">
      <c r="A270" s="107">
        <v>1700</v>
      </c>
      <c r="B270" s="107" t="s">
        <v>192</v>
      </c>
      <c r="C270" s="107" t="s">
        <v>271</v>
      </c>
      <c r="D270" s="107">
        <v>20</v>
      </c>
      <c r="E270" s="107" t="s">
        <v>204</v>
      </c>
      <c r="F270" s="107" t="s">
        <v>329</v>
      </c>
      <c r="G270" s="107">
        <v>13</v>
      </c>
      <c r="H270" s="107">
        <v>0</v>
      </c>
      <c r="I270" s="107">
        <v>0</v>
      </c>
      <c r="J270" s="107">
        <f t="shared" si="4"/>
        <v>0.65</v>
      </c>
      <c r="K270" s="107">
        <v>4047</v>
      </c>
      <c r="L270" s="107">
        <v>1855</v>
      </c>
      <c r="M270" s="107">
        <v>543</v>
      </c>
      <c r="N270" s="107" t="s">
        <v>272</v>
      </c>
    </row>
    <row r="271" spans="1:14" x14ac:dyDescent="0.15">
      <c r="A271" s="107">
        <v>1701</v>
      </c>
      <c r="B271" s="107" t="s">
        <v>197</v>
      </c>
      <c r="C271" s="107" t="s">
        <v>271</v>
      </c>
      <c r="D271" s="107">
        <v>39</v>
      </c>
      <c r="E271" s="107" t="s">
        <v>204</v>
      </c>
      <c r="F271" s="107" t="s">
        <v>329</v>
      </c>
      <c r="G271" s="107">
        <v>25</v>
      </c>
      <c r="H271" s="107">
        <v>7</v>
      </c>
      <c r="I271" s="107">
        <v>0</v>
      </c>
      <c r="J271" s="107">
        <f t="shared" si="4"/>
        <v>0.65</v>
      </c>
      <c r="K271" s="107">
        <v>4047</v>
      </c>
      <c r="L271" s="107">
        <v>1855</v>
      </c>
      <c r="M271" s="107">
        <v>556</v>
      </c>
      <c r="N271" s="107" t="s">
        <v>273</v>
      </c>
    </row>
    <row r="272" spans="1:14" x14ac:dyDescent="0.15">
      <c r="A272" s="107">
        <v>1655</v>
      </c>
      <c r="B272" s="107" t="s">
        <v>236</v>
      </c>
      <c r="C272" s="107" t="s">
        <v>274</v>
      </c>
      <c r="D272" s="107">
        <v>3</v>
      </c>
      <c r="E272" s="107"/>
      <c r="F272" s="107" t="s">
        <v>330</v>
      </c>
      <c r="G272" s="107">
        <v>2</v>
      </c>
      <c r="H272" s="107">
        <v>15</v>
      </c>
      <c r="I272" s="107">
        <v>5</v>
      </c>
      <c r="J272" s="107">
        <f t="shared" si="4"/>
        <v>0.921875</v>
      </c>
      <c r="K272" s="107">
        <v>3990</v>
      </c>
      <c r="L272" s="107">
        <v>1788</v>
      </c>
      <c r="M272" s="107">
        <v>203</v>
      </c>
      <c r="N272" s="107" t="s">
        <v>331</v>
      </c>
    </row>
    <row r="273" spans="1:15" x14ac:dyDescent="0.15">
      <c r="A273" s="107">
        <v>1655</v>
      </c>
      <c r="B273" s="107" t="s">
        <v>226</v>
      </c>
      <c r="C273" s="107" t="s">
        <v>274</v>
      </c>
      <c r="D273" s="107">
        <v>1</v>
      </c>
      <c r="E273" s="107"/>
      <c r="F273" s="107" t="s">
        <v>332</v>
      </c>
      <c r="G273" s="107">
        <v>3</v>
      </c>
      <c r="H273" s="107">
        <v>16</v>
      </c>
      <c r="I273" s="107">
        <v>0</v>
      </c>
      <c r="J273" s="107">
        <f t="shared" si="4"/>
        <v>3.8</v>
      </c>
      <c r="K273" s="107">
        <v>3990</v>
      </c>
      <c r="L273" s="107">
        <v>1788</v>
      </c>
      <c r="M273" s="107">
        <v>208</v>
      </c>
      <c r="N273" s="107" t="s">
        <v>302</v>
      </c>
      <c r="O273" s="107" t="s">
        <v>277</v>
      </c>
    </row>
    <row r="274" spans="1:15" x14ac:dyDescent="0.15">
      <c r="A274" s="107">
        <v>1658</v>
      </c>
      <c r="B274" s="107" t="s">
        <v>197</v>
      </c>
      <c r="C274" s="107" t="s">
        <v>274</v>
      </c>
      <c r="D274" s="107">
        <v>1</v>
      </c>
      <c r="E274" s="107" t="s">
        <v>333</v>
      </c>
      <c r="F274" s="107" t="s">
        <v>208</v>
      </c>
      <c r="G274" s="107">
        <v>24</v>
      </c>
      <c r="H274" s="107">
        <v>0</v>
      </c>
      <c r="I274" s="107">
        <v>0</v>
      </c>
      <c r="J274" s="107">
        <f t="shared" si="4"/>
        <v>24</v>
      </c>
      <c r="K274" s="107">
        <v>3993</v>
      </c>
      <c r="L274" s="107">
        <v>1791</v>
      </c>
      <c r="M274" s="107">
        <v>275</v>
      </c>
      <c r="N274" s="107">
        <f>3010/111.5</f>
        <v>26.995515695067265</v>
      </c>
      <c r="O274" s="107">
        <f>J274/N274</f>
        <v>0.88903654485049832</v>
      </c>
    </row>
    <row r="275" spans="1:15" x14ac:dyDescent="0.15">
      <c r="A275" s="107">
        <v>1666</v>
      </c>
      <c r="B275" s="107" t="s">
        <v>197</v>
      </c>
      <c r="C275" s="107" t="s">
        <v>274</v>
      </c>
      <c r="D275" s="107">
        <v>1</v>
      </c>
      <c r="E275" s="107" t="s">
        <v>324</v>
      </c>
      <c r="F275" s="107" t="s">
        <v>208</v>
      </c>
      <c r="G275" s="107">
        <v>12</v>
      </c>
      <c r="H275" s="107">
        <v>0</v>
      </c>
      <c r="I275" s="107">
        <v>0</v>
      </c>
      <c r="J275" s="107">
        <f t="shared" si="4"/>
        <v>12</v>
      </c>
      <c r="K275" s="107">
        <v>4001</v>
      </c>
      <c r="L275" s="107">
        <v>1800</v>
      </c>
      <c r="M275" s="107">
        <v>40</v>
      </c>
      <c r="N275" s="107"/>
      <c r="O275" s="107"/>
    </row>
    <row r="276" spans="1:15" x14ac:dyDescent="0.15">
      <c r="A276" s="107">
        <v>1702</v>
      </c>
      <c r="B276" s="107" t="s">
        <v>244</v>
      </c>
      <c r="C276" s="107" t="s">
        <v>271</v>
      </c>
      <c r="D276" s="107">
        <v>2</v>
      </c>
      <c r="E276" s="107" t="s">
        <v>188</v>
      </c>
      <c r="F276" s="107" t="s">
        <v>208</v>
      </c>
      <c r="G276" s="107">
        <v>42</v>
      </c>
      <c r="H276" s="107">
        <v>0</v>
      </c>
      <c r="I276" s="107">
        <v>0</v>
      </c>
      <c r="J276" s="107">
        <f t="shared" si="4"/>
        <v>21</v>
      </c>
      <c r="K276" s="107">
        <v>4049</v>
      </c>
      <c r="L276" s="107">
        <v>1856</v>
      </c>
      <c r="M276" s="107">
        <v>497</v>
      </c>
      <c r="N276" s="107"/>
      <c r="O276" s="107"/>
    </row>
    <row r="277" spans="1:15" x14ac:dyDescent="0.15">
      <c r="A277" s="107">
        <v>1703</v>
      </c>
      <c r="B277" s="107" t="s">
        <v>253</v>
      </c>
      <c r="C277" s="107" t="s">
        <v>271</v>
      </c>
      <c r="D277" s="107">
        <v>12</v>
      </c>
      <c r="E277" s="107" t="s">
        <v>188</v>
      </c>
      <c r="F277" s="107" t="s">
        <v>208</v>
      </c>
      <c r="G277" s="107">
        <v>252</v>
      </c>
      <c r="H277" s="107">
        <v>0</v>
      </c>
      <c r="I277" s="107">
        <v>0</v>
      </c>
      <c r="J277" s="107">
        <f t="shared" si="4"/>
        <v>21</v>
      </c>
      <c r="K277" s="107">
        <v>4049</v>
      </c>
      <c r="L277" s="107">
        <v>1856</v>
      </c>
      <c r="M277" s="107">
        <v>537</v>
      </c>
      <c r="N277" s="107"/>
      <c r="O277" s="107"/>
    </row>
    <row r="278" spans="1:15" x14ac:dyDescent="0.15">
      <c r="A278" s="107">
        <v>1704</v>
      </c>
      <c r="B278" s="107" t="s">
        <v>253</v>
      </c>
      <c r="C278" s="107" t="s">
        <v>268</v>
      </c>
      <c r="D278" s="25">
        <v>1</v>
      </c>
      <c r="E278" s="107" t="s">
        <v>334</v>
      </c>
      <c r="F278" s="107" t="s">
        <v>208</v>
      </c>
      <c r="G278" s="107">
        <v>21</v>
      </c>
      <c r="H278" s="107">
        <v>0</v>
      </c>
      <c r="I278" s="107">
        <v>0</v>
      </c>
      <c r="J278" s="107">
        <f t="shared" si="4"/>
        <v>21</v>
      </c>
      <c r="K278" s="107">
        <v>5525</v>
      </c>
      <c r="L278" s="107"/>
      <c r="M278" s="107"/>
      <c r="N278" s="107" t="s">
        <v>335</v>
      </c>
      <c r="O278" s="107"/>
    </row>
    <row r="279" spans="1:15" x14ac:dyDescent="0.15">
      <c r="A279" s="107">
        <v>1704</v>
      </c>
      <c r="B279" s="107" t="s">
        <v>253</v>
      </c>
      <c r="C279" s="107" t="s">
        <v>271</v>
      </c>
      <c r="D279" s="107">
        <v>6</v>
      </c>
      <c r="E279" s="107" t="s">
        <v>336</v>
      </c>
      <c r="F279" s="107" t="s">
        <v>208</v>
      </c>
      <c r="G279" s="107">
        <v>126</v>
      </c>
      <c r="H279" s="107">
        <v>0</v>
      </c>
      <c r="I279" s="107">
        <v>0</v>
      </c>
      <c r="J279" s="107">
        <f t="shared" si="4"/>
        <v>21</v>
      </c>
      <c r="K279" s="107">
        <v>4050</v>
      </c>
      <c r="L279" s="107">
        <v>1858</v>
      </c>
      <c r="M279" s="107">
        <v>502</v>
      </c>
      <c r="N279" s="107"/>
      <c r="O279" s="107"/>
    </row>
    <row r="280" spans="1:15" x14ac:dyDescent="0.15">
      <c r="A280" s="107">
        <v>1705</v>
      </c>
      <c r="B280" s="107" t="s">
        <v>260</v>
      </c>
      <c r="C280" s="107" t="s">
        <v>271</v>
      </c>
      <c r="D280" s="107">
        <v>2</v>
      </c>
      <c r="E280" s="107" t="s">
        <v>188</v>
      </c>
      <c r="F280" s="107" t="s">
        <v>208</v>
      </c>
      <c r="G280" s="107">
        <v>42</v>
      </c>
      <c r="H280" s="107">
        <v>0</v>
      </c>
      <c r="I280" s="107">
        <v>0</v>
      </c>
      <c r="J280" s="107">
        <f t="shared" si="4"/>
        <v>21</v>
      </c>
      <c r="K280" s="107">
        <v>4051</v>
      </c>
      <c r="L280" s="107">
        <v>1860</v>
      </c>
      <c r="M280" s="107">
        <v>675</v>
      </c>
      <c r="N280" s="107"/>
      <c r="O280" s="107"/>
    </row>
    <row r="281" spans="1:15" x14ac:dyDescent="0.15">
      <c r="A281" s="107">
        <v>1706</v>
      </c>
      <c r="B281" s="107" t="s">
        <v>186</v>
      </c>
      <c r="C281" s="107" t="s">
        <v>268</v>
      </c>
      <c r="D281" s="25">
        <v>3</v>
      </c>
      <c r="E281" s="107" t="s">
        <v>188</v>
      </c>
      <c r="F281" s="107" t="s">
        <v>208</v>
      </c>
      <c r="G281" s="107">
        <v>63</v>
      </c>
      <c r="H281" s="107">
        <v>0</v>
      </c>
      <c r="I281" s="107">
        <v>0</v>
      </c>
      <c r="J281" s="107">
        <f t="shared" si="4"/>
        <v>21</v>
      </c>
      <c r="K281" s="107">
        <v>5558</v>
      </c>
      <c r="L281" s="107"/>
      <c r="M281" s="107"/>
      <c r="N281" s="107"/>
      <c r="O281" s="107"/>
    </row>
    <row r="282" spans="1:15" x14ac:dyDescent="0.15">
      <c r="A282" s="107">
        <v>1707</v>
      </c>
      <c r="B282" s="107" t="s">
        <v>244</v>
      </c>
      <c r="C282" s="107" t="s">
        <v>268</v>
      </c>
      <c r="D282" s="25">
        <v>2</v>
      </c>
      <c r="E282" s="107" t="s">
        <v>188</v>
      </c>
      <c r="F282" s="107" t="s">
        <v>208</v>
      </c>
      <c r="G282" s="107">
        <v>42</v>
      </c>
      <c r="H282" s="107">
        <v>0</v>
      </c>
      <c r="I282" s="107">
        <v>0</v>
      </c>
      <c r="J282" s="107">
        <f t="shared" si="4"/>
        <v>21</v>
      </c>
      <c r="K282" s="107">
        <v>5570</v>
      </c>
      <c r="L282" s="107"/>
      <c r="M282" s="107"/>
      <c r="N282" s="107"/>
      <c r="O282" s="107"/>
    </row>
    <row r="283" spans="1:15" x14ac:dyDescent="0.15">
      <c r="A283" s="107">
        <v>1708</v>
      </c>
      <c r="B283" s="107" t="s">
        <v>253</v>
      </c>
      <c r="C283" s="107" t="s">
        <v>268</v>
      </c>
      <c r="D283" s="25">
        <v>21.75</v>
      </c>
      <c r="E283" s="107" t="s">
        <v>188</v>
      </c>
      <c r="F283" s="107" t="s">
        <v>208</v>
      </c>
      <c r="G283" s="107">
        <v>456</v>
      </c>
      <c r="H283" s="107">
        <v>14</v>
      </c>
      <c r="I283" s="107">
        <v>0</v>
      </c>
      <c r="J283" s="107">
        <f t="shared" si="4"/>
        <v>20.997701149425286</v>
      </c>
      <c r="K283" s="107">
        <v>5571</v>
      </c>
      <c r="L283" s="107"/>
      <c r="M283" s="107"/>
      <c r="N283" s="107"/>
      <c r="O283" s="107"/>
    </row>
    <row r="284" spans="1:15" x14ac:dyDescent="0.15">
      <c r="A284" s="107">
        <v>1709</v>
      </c>
      <c r="B284" s="107" t="s">
        <v>192</v>
      </c>
      <c r="C284" s="107" t="s">
        <v>268</v>
      </c>
      <c r="D284" s="25">
        <v>2</v>
      </c>
      <c r="E284" s="107" t="s">
        <v>188</v>
      </c>
      <c r="F284" s="107" t="s">
        <v>208</v>
      </c>
      <c r="G284" s="107">
        <v>36</v>
      </c>
      <c r="H284" s="107">
        <v>0</v>
      </c>
      <c r="I284" s="107">
        <v>0</v>
      </c>
      <c r="J284" s="107">
        <f t="shared" si="4"/>
        <v>18</v>
      </c>
      <c r="K284" s="107">
        <v>5600</v>
      </c>
      <c r="L284" s="107"/>
      <c r="M284" s="107"/>
      <c r="N284" s="107"/>
      <c r="O284" s="107"/>
    </row>
    <row r="285" spans="1:15" x14ac:dyDescent="0.15">
      <c r="A285" s="107">
        <v>1711</v>
      </c>
      <c r="B285" s="107" t="s">
        <v>260</v>
      </c>
      <c r="C285" s="107" t="s">
        <v>268</v>
      </c>
      <c r="D285" s="25">
        <v>2</v>
      </c>
      <c r="E285" s="107" t="s">
        <v>188</v>
      </c>
      <c r="F285" s="107" t="s">
        <v>208</v>
      </c>
      <c r="G285" s="107">
        <v>36</v>
      </c>
      <c r="H285" s="107">
        <v>0</v>
      </c>
      <c r="I285" s="107">
        <v>0</v>
      </c>
      <c r="J285" s="107">
        <f t="shared" si="4"/>
        <v>18</v>
      </c>
      <c r="K285" s="107">
        <v>5612</v>
      </c>
      <c r="L285" s="107"/>
      <c r="M285" s="107"/>
      <c r="N285" s="107"/>
      <c r="O285" s="107"/>
    </row>
    <row r="286" spans="1:15" x14ac:dyDescent="0.15">
      <c r="A286" s="107">
        <v>1712</v>
      </c>
      <c r="B286" s="107" t="s">
        <v>247</v>
      </c>
      <c r="C286" s="107" t="s">
        <v>268</v>
      </c>
      <c r="D286" s="25">
        <v>2</v>
      </c>
      <c r="E286" s="107" t="s">
        <v>188</v>
      </c>
      <c r="F286" s="107" t="s">
        <v>208</v>
      </c>
      <c r="G286" s="107">
        <v>36</v>
      </c>
      <c r="H286" s="107">
        <v>0</v>
      </c>
      <c r="I286" s="107">
        <v>0</v>
      </c>
      <c r="J286" s="107">
        <f t="shared" si="4"/>
        <v>18</v>
      </c>
      <c r="K286" s="107">
        <v>5635</v>
      </c>
      <c r="L286" s="107"/>
      <c r="M286" s="107"/>
      <c r="N286" s="107"/>
      <c r="O286" s="107"/>
    </row>
    <row r="287" spans="1:15" x14ac:dyDescent="0.15">
      <c r="A287" s="107">
        <v>1713</v>
      </c>
      <c r="B287" s="107" t="s">
        <v>236</v>
      </c>
      <c r="C287" s="107" t="s">
        <v>268</v>
      </c>
      <c r="D287" s="25">
        <v>1</v>
      </c>
      <c r="E287" s="107" t="s">
        <v>188</v>
      </c>
      <c r="F287" s="107" t="s">
        <v>208</v>
      </c>
      <c r="G287" s="107">
        <v>18</v>
      </c>
      <c r="H287" s="107">
        <v>0</v>
      </c>
      <c r="I287" s="107">
        <v>0</v>
      </c>
      <c r="J287" s="107">
        <f t="shared" si="4"/>
        <v>18</v>
      </c>
      <c r="K287" s="107">
        <v>5646</v>
      </c>
      <c r="L287" s="107"/>
      <c r="M287" s="107"/>
      <c r="N287" s="107"/>
      <c r="O287" s="107"/>
    </row>
    <row r="288" spans="1:15" x14ac:dyDescent="0.15">
      <c r="A288" s="107">
        <v>1714</v>
      </c>
      <c r="B288" s="107" t="s">
        <v>200</v>
      </c>
      <c r="C288" s="107" t="s">
        <v>268</v>
      </c>
      <c r="D288" s="25">
        <v>1</v>
      </c>
      <c r="E288" s="107" t="s">
        <v>188</v>
      </c>
      <c r="F288" s="107" t="s">
        <v>208</v>
      </c>
      <c r="G288" s="107">
        <v>18</v>
      </c>
      <c r="H288" s="107">
        <v>0</v>
      </c>
      <c r="I288" s="107">
        <v>0</v>
      </c>
      <c r="J288" s="107">
        <f t="shared" si="4"/>
        <v>18</v>
      </c>
      <c r="K288" s="107">
        <v>5654</v>
      </c>
      <c r="L288" s="107"/>
      <c r="M288" s="107"/>
      <c r="N288" s="107"/>
      <c r="O288" s="107"/>
    </row>
    <row r="289" spans="1:11" x14ac:dyDescent="0.15">
      <c r="A289" s="107">
        <v>1717</v>
      </c>
      <c r="B289" s="107" t="s">
        <v>192</v>
      </c>
      <c r="C289" s="107" t="s">
        <v>268</v>
      </c>
      <c r="D289" s="25">
        <v>18</v>
      </c>
      <c r="E289" s="107" t="s">
        <v>188</v>
      </c>
      <c r="F289" s="107" t="s">
        <v>208</v>
      </c>
      <c r="G289" s="107">
        <v>324</v>
      </c>
      <c r="H289" s="107">
        <v>0</v>
      </c>
      <c r="I289" s="107">
        <v>0</v>
      </c>
      <c r="J289" s="107">
        <f t="shared" si="4"/>
        <v>18</v>
      </c>
      <c r="K289" s="107">
        <v>5683</v>
      </c>
    </row>
    <row r="290" spans="1:11" x14ac:dyDescent="0.15">
      <c r="A290" s="107">
        <v>1718</v>
      </c>
      <c r="B290" s="107" t="s">
        <v>253</v>
      </c>
      <c r="C290" s="107" t="s">
        <v>268</v>
      </c>
      <c r="D290" s="25">
        <v>2</v>
      </c>
      <c r="E290" s="107" t="s">
        <v>188</v>
      </c>
      <c r="F290" s="107" t="s">
        <v>208</v>
      </c>
      <c r="G290" s="107">
        <v>36</v>
      </c>
      <c r="H290" s="107">
        <v>0</v>
      </c>
      <c r="I290" s="107">
        <v>0</v>
      </c>
      <c r="J290" s="107">
        <f t="shared" si="4"/>
        <v>18</v>
      </c>
      <c r="K290" s="107">
        <v>5702</v>
      </c>
    </row>
    <row r="291" spans="1:11" x14ac:dyDescent="0.15">
      <c r="A291" s="107">
        <v>1718</v>
      </c>
      <c r="B291" s="107" t="s">
        <v>261</v>
      </c>
      <c r="C291" s="107" t="s">
        <v>268</v>
      </c>
      <c r="D291" s="25">
        <v>3</v>
      </c>
      <c r="E291" s="107" t="s">
        <v>188</v>
      </c>
      <c r="F291" s="107" t="s">
        <v>208</v>
      </c>
      <c r="G291" s="107">
        <v>54</v>
      </c>
      <c r="H291" s="107">
        <v>0</v>
      </c>
      <c r="I291" s="107">
        <v>0</v>
      </c>
      <c r="J291" s="107">
        <f t="shared" si="4"/>
        <v>18</v>
      </c>
      <c r="K291" s="107">
        <v>5703</v>
      </c>
    </row>
    <row r="292" spans="1:11" x14ac:dyDescent="0.15">
      <c r="A292" s="107">
        <v>1721</v>
      </c>
      <c r="B292" s="107" t="s">
        <v>192</v>
      </c>
      <c r="C292" s="107" t="s">
        <v>268</v>
      </c>
      <c r="D292" s="25">
        <v>1</v>
      </c>
      <c r="E292" s="107" t="s">
        <v>188</v>
      </c>
      <c r="F292" s="107" t="s">
        <v>208</v>
      </c>
      <c r="G292" s="107">
        <v>18</v>
      </c>
      <c r="H292" s="107">
        <v>0</v>
      </c>
      <c r="I292" s="107">
        <v>0</v>
      </c>
      <c r="J292" s="107">
        <f t="shared" si="4"/>
        <v>18</v>
      </c>
      <c r="K292" s="107">
        <v>5753</v>
      </c>
    </row>
    <row r="293" spans="1:11" x14ac:dyDescent="0.15">
      <c r="A293" s="107">
        <v>1723</v>
      </c>
      <c r="B293" s="107" t="s">
        <v>236</v>
      </c>
      <c r="C293" s="107" t="s">
        <v>268</v>
      </c>
      <c r="D293" s="25">
        <v>1</v>
      </c>
      <c r="E293" s="107" t="s">
        <v>188</v>
      </c>
      <c r="F293" s="107" t="s">
        <v>208</v>
      </c>
      <c r="G293" s="107">
        <v>18</v>
      </c>
      <c r="H293" s="107">
        <v>0</v>
      </c>
      <c r="I293" s="107">
        <v>0</v>
      </c>
      <c r="J293" s="107">
        <f t="shared" si="4"/>
        <v>18</v>
      </c>
      <c r="K293" s="107">
        <v>6808</v>
      </c>
    </row>
    <row r="294" spans="1:11" x14ac:dyDescent="0.15">
      <c r="A294" s="107">
        <v>1725</v>
      </c>
      <c r="B294" s="107" t="s">
        <v>200</v>
      </c>
      <c r="C294" s="107" t="s">
        <v>268</v>
      </c>
      <c r="D294" s="25">
        <v>7.25</v>
      </c>
      <c r="E294" s="107" t="s">
        <v>188</v>
      </c>
      <c r="F294" s="107" t="s">
        <v>208</v>
      </c>
      <c r="G294" s="107">
        <v>130</v>
      </c>
      <c r="H294" s="107">
        <v>10</v>
      </c>
      <c r="I294" s="107">
        <v>0</v>
      </c>
      <c r="J294" s="107">
        <f t="shared" si="4"/>
        <v>18</v>
      </c>
      <c r="K294" s="107">
        <v>5838</v>
      </c>
    </row>
    <row r="295" spans="1:11" x14ac:dyDescent="0.15">
      <c r="A295" s="107">
        <v>1726</v>
      </c>
      <c r="B295" s="107" t="s">
        <v>261</v>
      </c>
      <c r="C295" s="107" t="s">
        <v>268</v>
      </c>
      <c r="D295" s="25">
        <v>7.25</v>
      </c>
      <c r="E295" s="107" t="s">
        <v>188</v>
      </c>
      <c r="F295" s="107" t="s">
        <v>208</v>
      </c>
      <c r="G295" s="107">
        <v>130</v>
      </c>
      <c r="H295" s="107">
        <v>10</v>
      </c>
      <c r="I295" s="107">
        <v>0</v>
      </c>
      <c r="J295" s="107">
        <f t="shared" si="4"/>
        <v>18</v>
      </c>
      <c r="K295" s="107">
        <v>5855</v>
      </c>
    </row>
    <row r="296" spans="1:11" x14ac:dyDescent="0.15">
      <c r="A296" s="107">
        <v>1727</v>
      </c>
      <c r="B296" s="107" t="s">
        <v>192</v>
      </c>
      <c r="C296" s="107" t="s">
        <v>268</v>
      </c>
      <c r="D296" s="25">
        <v>8</v>
      </c>
      <c r="E296" s="107" t="s">
        <v>188</v>
      </c>
      <c r="F296" s="107" t="s">
        <v>208</v>
      </c>
      <c r="G296" s="107">
        <v>144</v>
      </c>
      <c r="H296" s="107">
        <v>0</v>
      </c>
      <c r="I296" s="107">
        <v>0</v>
      </c>
      <c r="J296" s="107">
        <f t="shared" si="4"/>
        <v>18</v>
      </c>
      <c r="K296" s="107">
        <v>5871</v>
      </c>
    </row>
    <row r="297" spans="1:11" x14ac:dyDescent="0.15">
      <c r="A297" s="107">
        <v>1728</v>
      </c>
      <c r="B297" s="107" t="s">
        <v>186</v>
      </c>
      <c r="C297" s="107" t="s">
        <v>268</v>
      </c>
      <c r="D297" s="25">
        <v>3.5</v>
      </c>
      <c r="E297" s="107" t="s">
        <v>188</v>
      </c>
      <c r="F297" s="107" t="s">
        <v>208</v>
      </c>
      <c r="G297" s="107">
        <v>63</v>
      </c>
      <c r="H297" s="107">
        <v>0</v>
      </c>
      <c r="I297" s="107">
        <v>0</v>
      </c>
      <c r="J297" s="107">
        <f t="shared" si="4"/>
        <v>18</v>
      </c>
      <c r="K297" s="107">
        <v>5900</v>
      </c>
    </row>
    <row r="298" spans="1:11" x14ac:dyDescent="0.15">
      <c r="A298" s="107">
        <v>1729</v>
      </c>
      <c r="B298" s="107" t="s">
        <v>261</v>
      </c>
      <c r="C298" s="107" t="s">
        <v>268</v>
      </c>
      <c r="D298" s="25">
        <v>5.5</v>
      </c>
      <c r="E298" s="107" t="s">
        <v>188</v>
      </c>
      <c r="F298" s="107" t="s">
        <v>208</v>
      </c>
      <c r="G298" s="107">
        <v>99</v>
      </c>
      <c r="H298" s="107">
        <v>0</v>
      </c>
      <c r="I298" s="107">
        <v>0</v>
      </c>
      <c r="J298" s="107">
        <f t="shared" si="4"/>
        <v>18</v>
      </c>
      <c r="K298" s="107">
        <v>5903</v>
      </c>
    </row>
    <row r="299" spans="1:11" x14ac:dyDescent="0.15">
      <c r="A299" s="107">
        <v>1730</v>
      </c>
      <c r="B299" s="107" t="s">
        <v>226</v>
      </c>
      <c r="C299" s="107" t="s">
        <v>268</v>
      </c>
      <c r="D299" s="25">
        <v>4</v>
      </c>
      <c r="E299" s="107" t="s">
        <v>188</v>
      </c>
      <c r="F299" s="107" t="s">
        <v>208</v>
      </c>
      <c r="G299" s="107">
        <v>72</v>
      </c>
      <c r="H299" s="107">
        <v>0</v>
      </c>
      <c r="I299" s="107">
        <v>0</v>
      </c>
      <c r="J299" s="107">
        <f t="shared" si="4"/>
        <v>18</v>
      </c>
      <c r="K299" s="107">
        <v>5935</v>
      </c>
    </row>
    <row r="300" spans="1:11" x14ac:dyDescent="0.15">
      <c r="A300" s="107">
        <v>1731</v>
      </c>
      <c r="B300" s="107" t="s">
        <v>261</v>
      </c>
      <c r="C300" s="107" t="s">
        <v>268</v>
      </c>
      <c r="D300" s="25">
        <v>5</v>
      </c>
      <c r="E300" s="107" t="s">
        <v>188</v>
      </c>
      <c r="F300" s="107" t="s">
        <v>208</v>
      </c>
      <c r="G300" s="107">
        <v>90</v>
      </c>
      <c r="H300" s="107">
        <v>0</v>
      </c>
      <c r="I300" s="107">
        <v>0</v>
      </c>
      <c r="J300" s="107">
        <f t="shared" si="4"/>
        <v>18</v>
      </c>
      <c r="K300" s="107">
        <v>5938</v>
      </c>
    </row>
    <row r="301" spans="1:11" x14ac:dyDescent="0.15">
      <c r="A301" s="107">
        <v>1732</v>
      </c>
      <c r="B301" s="107" t="s">
        <v>186</v>
      </c>
      <c r="C301" s="107" t="s">
        <v>268</v>
      </c>
      <c r="D301" s="25">
        <v>6</v>
      </c>
      <c r="E301" s="107" t="s">
        <v>188</v>
      </c>
      <c r="F301" s="107" t="s">
        <v>208</v>
      </c>
      <c r="G301" s="107">
        <v>108</v>
      </c>
      <c r="H301" s="107">
        <v>0</v>
      </c>
      <c r="I301" s="107">
        <v>0</v>
      </c>
      <c r="J301" s="107">
        <f t="shared" si="4"/>
        <v>18</v>
      </c>
      <c r="K301" s="107">
        <v>5957</v>
      </c>
    </row>
    <row r="302" spans="1:11" x14ac:dyDescent="0.15">
      <c r="A302" s="107">
        <v>1733</v>
      </c>
      <c r="B302" s="107" t="s">
        <v>253</v>
      </c>
      <c r="C302" s="107" t="s">
        <v>268</v>
      </c>
      <c r="D302" s="25">
        <v>3</v>
      </c>
      <c r="E302" s="107" t="s">
        <v>188</v>
      </c>
      <c r="F302" s="107" t="s">
        <v>208</v>
      </c>
      <c r="G302" s="107">
        <v>54</v>
      </c>
      <c r="H302" s="107">
        <v>0</v>
      </c>
      <c r="I302" s="107">
        <v>0</v>
      </c>
      <c r="J302" s="107">
        <f t="shared" si="4"/>
        <v>18</v>
      </c>
      <c r="K302" s="107">
        <v>5956</v>
      </c>
    </row>
    <row r="303" spans="1:11" x14ac:dyDescent="0.15">
      <c r="A303" s="107">
        <v>1734</v>
      </c>
      <c r="B303" s="107" t="s">
        <v>196</v>
      </c>
      <c r="C303" s="107" t="s">
        <v>268</v>
      </c>
      <c r="D303" s="25">
        <v>4</v>
      </c>
      <c r="E303" s="107" t="s">
        <v>188</v>
      </c>
      <c r="F303" s="107" t="s">
        <v>208</v>
      </c>
      <c r="G303" s="107">
        <v>72</v>
      </c>
      <c r="H303" s="107">
        <v>0</v>
      </c>
      <c r="I303" s="107">
        <v>0</v>
      </c>
      <c r="J303" s="107">
        <f t="shared" si="4"/>
        <v>18</v>
      </c>
      <c r="K303" s="107">
        <v>5981</v>
      </c>
    </row>
    <row r="304" spans="1:11" x14ac:dyDescent="0.15">
      <c r="A304" s="107">
        <v>1735</v>
      </c>
      <c r="B304" s="107" t="s">
        <v>244</v>
      </c>
      <c r="C304" s="107" t="s">
        <v>268</v>
      </c>
      <c r="D304" s="25">
        <v>5</v>
      </c>
      <c r="E304" s="107" t="s">
        <v>188</v>
      </c>
      <c r="F304" s="107" t="s">
        <v>208</v>
      </c>
      <c r="G304" s="107">
        <v>90</v>
      </c>
      <c r="H304" s="107">
        <v>0</v>
      </c>
      <c r="I304" s="107">
        <v>0</v>
      </c>
      <c r="J304" s="107">
        <f t="shared" si="4"/>
        <v>18</v>
      </c>
      <c r="K304" s="107">
        <v>6015</v>
      </c>
    </row>
    <row r="305" spans="1:14" x14ac:dyDescent="0.15">
      <c r="A305" s="107">
        <v>1736</v>
      </c>
      <c r="B305" s="107" t="s">
        <v>261</v>
      </c>
      <c r="C305" s="107" t="s">
        <v>268</v>
      </c>
      <c r="D305" s="25">
        <v>6</v>
      </c>
      <c r="E305" s="107" t="s">
        <v>188</v>
      </c>
      <c r="F305" s="107" t="s">
        <v>208</v>
      </c>
      <c r="G305" s="107">
        <v>108</v>
      </c>
      <c r="H305" s="107">
        <v>0</v>
      </c>
      <c r="I305" s="107">
        <v>0</v>
      </c>
      <c r="J305" s="107">
        <f t="shared" si="4"/>
        <v>18</v>
      </c>
      <c r="K305" s="107">
        <v>6014</v>
      </c>
      <c r="L305" s="107"/>
      <c r="M305" s="107"/>
      <c r="N305" s="107"/>
    </row>
    <row r="306" spans="1:14" x14ac:dyDescent="0.15">
      <c r="A306" s="107">
        <v>1737</v>
      </c>
      <c r="B306" s="107" t="s">
        <v>226</v>
      </c>
      <c r="C306" s="107" t="s">
        <v>268</v>
      </c>
      <c r="D306" s="25">
        <v>6.5</v>
      </c>
      <c r="E306" s="107" t="s">
        <v>188</v>
      </c>
      <c r="F306" s="107" t="s">
        <v>208</v>
      </c>
      <c r="G306" s="107">
        <v>117</v>
      </c>
      <c r="H306" s="107">
        <v>0</v>
      </c>
      <c r="I306" s="107">
        <v>0</v>
      </c>
      <c r="J306" s="107">
        <f t="shared" si="4"/>
        <v>18</v>
      </c>
      <c r="K306" s="107">
        <v>6035</v>
      </c>
      <c r="L306" s="107"/>
      <c r="M306" s="107"/>
      <c r="N306" s="107"/>
    </row>
    <row r="307" spans="1:14" x14ac:dyDescent="0.15">
      <c r="A307" s="107">
        <v>1738</v>
      </c>
      <c r="B307" s="107" t="s">
        <v>196</v>
      </c>
      <c r="C307" s="107" t="s">
        <v>268</v>
      </c>
      <c r="D307" s="25">
        <v>4</v>
      </c>
      <c r="E307" s="107" t="s">
        <v>188</v>
      </c>
      <c r="F307" s="107" t="s">
        <v>208</v>
      </c>
      <c r="G307" s="107">
        <v>72</v>
      </c>
      <c r="H307" s="107">
        <v>0</v>
      </c>
      <c r="I307" s="107">
        <v>0</v>
      </c>
      <c r="J307" s="107">
        <f t="shared" si="4"/>
        <v>18</v>
      </c>
      <c r="K307" s="107">
        <v>6060</v>
      </c>
      <c r="L307" s="107"/>
      <c r="M307" s="107"/>
      <c r="N307" s="107"/>
    </row>
    <row r="308" spans="1:14" x14ac:dyDescent="0.15">
      <c r="A308" s="107">
        <v>1739</v>
      </c>
      <c r="B308" s="107" t="s">
        <v>226</v>
      </c>
      <c r="C308" s="107" t="s">
        <v>268</v>
      </c>
      <c r="D308" s="25">
        <v>13</v>
      </c>
      <c r="E308" s="107" t="s">
        <v>188</v>
      </c>
      <c r="F308" s="107" t="s">
        <v>208</v>
      </c>
      <c r="G308" s="107">
        <v>234</v>
      </c>
      <c r="H308" s="107">
        <v>0</v>
      </c>
      <c r="I308" s="107">
        <v>0</v>
      </c>
      <c r="J308" s="107">
        <f t="shared" si="4"/>
        <v>18</v>
      </c>
      <c r="K308" s="107">
        <v>6089</v>
      </c>
      <c r="L308" s="107"/>
      <c r="M308" s="107"/>
      <c r="N308" s="107"/>
    </row>
    <row r="309" spans="1:14" x14ac:dyDescent="0.15">
      <c r="A309" s="107">
        <v>1740</v>
      </c>
      <c r="B309" s="107" t="s">
        <v>197</v>
      </c>
      <c r="C309" s="107" t="s">
        <v>268</v>
      </c>
      <c r="D309" s="25">
        <v>4</v>
      </c>
      <c r="E309" s="107" t="s">
        <v>188</v>
      </c>
      <c r="F309" s="107" t="s">
        <v>208</v>
      </c>
      <c r="G309" s="107">
        <v>72</v>
      </c>
      <c r="H309" s="107">
        <v>0</v>
      </c>
      <c r="I309" s="107">
        <v>0</v>
      </c>
      <c r="J309" s="107">
        <f t="shared" si="4"/>
        <v>18</v>
      </c>
      <c r="K309" s="107">
        <v>6098</v>
      </c>
      <c r="L309" s="107"/>
      <c r="M309" s="107"/>
      <c r="N309" s="107"/>
    </row>
    <row r="310" spans="1:14" x14ac:dyDescent="0.15">
      <c r="A310" s="107">
        <v>1741</v>
      </c>
      <c r="B310" s="107" t="s">
        <v>196</v>
      </c>
      <c r="C310" s="107" t="s">
        <v>268</v>
      </c>
      <c r="D310" s="25">
        <v>18</v>
      </c>
      <c r="E310" s="107" t="s">
        <v>188</v>
      </c>
      <c r="F310" s="107" t="s">
        <v>208</v>
      </c>
      <c r="G310" s="107">
        <v>324</v>
      </c>
      <c r="H310" s="107">
        <v>0</v>
      </c>
      <c r="I310" s="107">
        <v>0</v>
      </c>
      <c r="J310" s="107">
        <f t="shared" si="4"/>
        <v>18</v>
      </c>
      <c r="K310" s="107">
        <v>6115</v>
      </c>
      <c r="L310" s="107"/>
      <c r="M310" s="107"/>
      <c r="N310" s="107"/>
    </row>
    <row r="311" spans="1:14" x14ac:dyDescent="0.15">
      <c r="A311" s="107">
        <v>1742</v>
      </c>
      <c r="B311" s="107" t="s">
        <v>261</v>
      </c>
      <c r="C311" s="107" t="s">
        <v>268</v>
      </c>
      <c r="D311" s="25">
        <v>6</v>
      </c>
      <c r="E311" s="107" t="s">
        <v>188</v>
      </c>
      <c r="F311" s="107" t="s">
        <v>208</v>
      </c>
      <c r="G311" s="107">
        <v>108</v>
      </c>
      <c r="H311" s="107">
        <v>0</v>
      </c>
      <c r="I311" s="107">
        <v>0</v>
      </c>
      <c r="J311" s="107">
        <f t="shared" si="4"/>
        <v>18</v>
      </c>
      <c r="K311" s="107">
        <v>6122</v>
      </c>
      <c r="L311" s="107"/>
      <c r="M311" s="107"/>
      <c r="N311" s="107"/>
    </row>
    <row r="312" spans="1:14" x14ac:dyDescent="0.15">
      <c r="A312" s="107">
        <v>1742</v>
      </c>
      <c r="B312" s="107" t="s">
        <v>196</v>
      </c>
      <c r="C312" s="107" t="s">
        <v>268</v>
      </c>
      <c r="D312" s="25">
        <v>6</v>
      </c>
      <c r="E312" s="107" t="s">
        <v>188</v>
      </c>
      <c r="F312" s="107" t="s">
        <v>208</v>
      </c>
      <c r="G312" s="107">
        <v>108</v>
      </c>
      <c r="H312" s="107">
        <v>0</v>
      </c>
      <c r="I312" s="107">
        <v>0</v>
      </c>
      <c r="J312" s="107">
        <f t="shared" si="4"/>
        <v>18</v>
      </c>
      <c r="K312" s="107">
        <v>6123</v>
      </c>
      <c r="L312" s="107"/>
      <c r="M312" s="107"/>
      <c r="N312" s="107"/>
    </row>
    <row r="313" spans="1:14" x14ac:dyDescent="0.15">
      <c r="A313" s="107">
        <v>1743</v>
      </c>
      <c r="B313" s="107" t="s">
        <v>196</v>
      </c>
      <c r="C313" s="107" t="s">
        <v>268</v>
      </c>
      <c r="D313" s="25">
        <v>14</v>
      </c>
      <c r="E313" s="107" t="s">
        <v>188</v>
      </c>
      <c r="F313" s="107" t="s">
        <v>208</v>
      </c>
      <c r="G313" s="107">
        <v>252</v>
      </c>
      <c r="H313" s="107">
        <v>0</v>
      </c>
      <c r="I313" s="107">
        <v>0</v>
      </c>
      <c r="J313" s="107">
        <f t="shared" si="4"/>
        <v>18</v>
      </c>
      <c r="K313" s="107">
        <v>6143</v>
      </c>
      <c r="L313" s="107"/>
      <c r="M313" s="107"/>
      <c r="N313" s="107"/>
    </row>
    <row r="314" spans="1:14" x14ac:dyDescent="0.15">
      <c r="A314" s="107">
        <v>1744</v>
      </c>
      <c r="B314" s="107" t="s">
        <v>253</v>
      </c>
      <c r="C314" s="107" t="s">
        <v>268</v>
      </c>
      <c r="D314" s="25">
        <v>12</v>
      </c>
      <c r="E314" s="107" t="s">
        <v>188</v>
      </c>
      <c r="F314" s="107" t="s">
        <v>208</v>
      </c>
      <c r="G314" s="107">
        <v>172</v>
      </c>
      <c r="H314" s="107">
        <v>16</v>
      </c>
      <c r="I314" s="107">
        <v>0</v>
      </c>
      <c r="J314" s="107">
        <f t="shared" si="4"/>
        <v>14.4</v>
      </c>
      <c r="K314" s="107">
        <v>6160</v>
      </c>
      <c r="L314" s="107"/>
      <c r="M314" s="107"/>
      <c r="N314" s="107"/>
    </row>
    <row r="315" spans="1:14" x14ac:dyDescent="0.15">
      <c r="A315" s="107">
        <v>1745</v>
      </c>
      <c r="B315" s="107" t="s">
        <v>261</v>
      </c>
      <c r="C315" s="107" t="s">
        <v>268</v>
      </c>
      <c r="D315" s="25">
        <v>5</v>
      </c>
      <c r="E315" s="107" t="s">
        <v>188</v>
      </c>
      <c r="F315" s="107" t="s">
        <v>208</v>
      </c>
      <c r="G315" s="107">
        <v>48</v>
      </c>
      <c r="H315" s="107">
        <v>0</v>
      </c>
      <c r="I315" s="107">
        <v>0</v>
      </c>
      <c r="J315" s="107">
        <f t="shared" si="4"/>
        <v>9.6</v>
      </c>
      <c r="K315" s="107">
        <v>6176</v>
      </c>
      <c r="L315" s="107"/>
      <c r="M315" s="107"/>
      <c r="N315" s="107"/>
    </row>
    <row r="316" spans="1:14" x14ac:dyDescent="0.15">
      <c r="A316" s="107">
        <v>1746</v>
      </c>
      <c r="B316" s="107" t="s">
        <v>226</v>
      </c>
      <c r="C316" s="107" t="s">
        <v>268</v>
      </c>
      <c r="D316" s="25">
        <v>5</v>
      </c>
      <c r="E316" s="107" t="s">
        <v>188</v>
      </c>
      <c r="F316" s="107" t="s">
        <v>208</v>
      </c>
      <c r="G316" s="107">
        <v>48</v>
      </c>
      <c r="H316" s="107">
        <v>0</v>
      </c>
      <c r="I316" s="107">
        <v>0</v>
      </c>
      <c r="J316" s="107">
        <f t="shared" si="4"/>
        <v>9.6</v>
      </c>
      <c r="K316" s="107">
        <v>6188</v>
      </c>
      <c r="L316" s="107"/>
      <c r="M316" s="107"/>
      <c r="N316" s="107"/>
    </row>
    <row r="317" spans="1:14" x14ac:dyDescent="0.15">
      <c r="A317" s="107">
        <v>1747</v>
      </c>
      <c r="B317" s="107" t="s">
        <v>247</v>
      </c>
      <c r="C317" s="107" t="s">
        <v>268</v>
      </c>
      <c r="D317" s="25">
        <v>16</v>
      </c>
      <c r="E317" s="107" t="s">
        <v>188</v>
      </c>
      <c r="F317" s="107" t="s">
        <v>208</v>
      </c>
      <c r="G317" s="107">
        <v>9</v>
      </c>
      <c r="H317" s="107">
        <v>12</v>
      </c>
      <c r="I317" s="107">
        <v>0</v>
      </c>
      <c r="J317" s="107">
        <f t="shared" si="4"/>
        <v>0.6</v>
      </c>
      <c r="K317" s="107">
        <v>6207</v>
      </c>
      <c r="L317" s="107"/>
      <c r="M317" s="107"/>
      <c r="N317" s="107" t="s">
        <v>337</v>
      </c>
    </row>
    <row r="318" spans="1:14" x14ac:dyDescent="0.15">
      <c r="A318" s="107">
        <v>1748</v>
      </c>
      <c r="B318" s="107" t="s">
        <v>260</v>
      </c>
      <c r="C318" s="107" t="s">
        <v>268</v>
      </c>
      <c r="D318" s="25">
        <v>10</v>
      </c>
      <c r="E318" s="107" t="s">
        <v>188</v>
      </c>
      <c r="F318" s="107" t="s">
        <v>208</v>
      </c>
      <c r="G318" s="107">
        <v>96</v>
      </c>
      <c r="H318" s="107">
        <v>0</v>
      </c>
      <c r="I318" s="107">
        <v>0</v>
      </c>
      <c r="J318" s="107">
        <f t="shared" si="4"/>
        <v>9.6</v>
      </c>
      <c r="K318" s="107">
        <v>6218</v>
      </c>
      <c r="L318" s="107"/>
      <c r="M318" s="107"/>
      <c r="N318" s="107"/>
    </row>
    <row r="319" spans="1:14" x14ac:dyDescent="0.15">
      <c r="A319" s="107">
        <v>1749</v>
      </c>
      <c r="B319" s="107" t="s">
        <v>253</v>
      </c>
      <c r="C319" s="107" t="s">
        <v>268</v>
      </c>
      <c r="D319" s="25">
        <v>4</v>
      </c>
      <c r="E319" s="107" t="s">
        <v>188</v>
      </c>
      <c r="F319" s="107" t="s">
        <v>208</v>
      </c>
      <c r="G319" s="107">
        <v>38</v>
      </c>
      <c r="H319" s="107">
        <v>8</v>
      </c>
      <c r="I319" s="107">
        <v>0</v>
      </c>
      <c r="J319" s="107">
        <f t="shared" si="4"/>
        <v>9.6</v>
      </c>
      <c r="K319" s="107">
        <v>6233</v>
      </c>
      <c r="L319" s="107"/>
      <c r="M319" s="107"/>
      <c r="N319" s="107"/>
    </row>
    <row r="320" spans="1:14" x14ac:dyDescent="0.15">
      <c r="A320" s="107">
        <v>1750</v>
      </c>
      <c r="B320" s="107" t="s">
        <v>197</v>
      </c>
      <c r="C320" s="107" t="s">
        <v>268</v>
      </c>
      <c r="D320" s="25">
        <v>6</v>
      </c>
      <c r="E320" s="107" t="s">
        <v>188</v>
      </c>
      <c r="F320" s="107" t="s">
        <v>208</v>
      </c>
      <c r="G320" s="107">
        <v>57</v>
      </c>
      <c r="H320" s="107">
        <v>12</v>
      </c>
      <c r="I320" s="107">
        <v>0</v>
      </c>
      <c r="J320" s="107">
        <f t="shared" si="4"/>
        <v>9.6</v>
      </c>
      <c r="K320" s="107">
        <v>6254</v>
      </c>
      <c r="L320" s="107"/>
      <c r="M320" s="107"/>
      <c r="N320" s="107"/>
    </row>
    <row r="321" spans="1:11" x14ac:dyDescent="0.15">
      <c r="A321" s="107">
        <v>1751</v>
      </c>
      <c r="B321" s="107" t="s">
        <v>196</v>
      </c>
      <c r="C321" s="107" t="s">
        <v>268</v>
      </c>
      <c r="D321" s="25">
        <v>7</v>
      </c>
      <c r="E321" s="107" t="s">
        <v>188</v>
      </c>
      <c r="F321" s="107" t="s">
        <v>208</v>
      </c>
      <c r="G321" s="107">
        <v>67</v>
      </c>
      <c r="H321" s="107">
        <v>4</v>
      </c>
      <c r="I321" s="107">
        <v>0</v>
      </c>
      <c r="J321" s="107">
        <f t="shared" si="4"/>
        <v>9.6</v>
      </c>
      <c r="K321" s="107">
        <v>6270</v>
      </c>
    </row>
    <row r="322" spans="1:11" x14ac:dyDescent="0.15">
      <c r="A322" s="107">
        <v>1752</v>
      </c>
      <c r="B322" s="107" t="s">
        <v>260</v>
      </c>
      <c r="C322" s="107" t="s">
        <v>268</v>
      </c>
      <c r="D322" s="25">
        <v>7</v>
      </c>
      <c r="E322" s="107" t="s">
        <v>188</v>
      </c>
      <c r="F322" s="107" t="s">
        <v>208</v>
      </c>
      <c r="G322" s="107">
        <v>67</v>
      </c>
      <c r="H322" s="107">
        <v>4</v>
      </c>
      <c r="I322" s="107">
        <v>0</v>
      </c>
      <c r="J322" s="107">
        <f t="shared" ref="J322:J381" si="5">(G322+H322/20+I322/320)/D322</f>
        <v>9.6</v>
      </c>
      <c r="K322" s="107">
        <v>6286</v>
      </c>
    </row>
    <row r="323" spans="1:11" x14ac:dyDescent="0.15">
      <c r="A323" s="107">
        <v>1753</v>
      </c>
      <c r="B323" s="107" t="s">
        <v>196</v>
      </c>
      <c r="C323" s="107" t="s">
        <v>268</v>
      </c>
      <c r="D323" s="25">
        <v>5</v>
      </c>
      <c r="E323" s="107" t="s">
        <v>188</v>
      </c>
      <c r="F323" s="107" t="s">
        <v>208</v>
      </c>
      <c r="G323" s="107">
        <v>48</v>
      </c>
      <c r="H323" s="107">
        <v>0</v>
      </c>
      <c r="I323" s="107">
        <v>0</v>
      </c>
      <c r="J323" s="107">
        <f t="shared" si="5"/>
        <v>9.6</v>
      </c>
      <c r="K323" s="107">
        <v>6303</v>
      </c>
    </row>
    <row r="324" spans="1:11" x14ac:dyDescent="0.15">
      <c r="A324" s="107">
        <v>1754</v>
      </c>
      <c r="B324" s="107" t="s">
        <v>196</v>
      </c>
      <c r="C324" s="107" t="s">
        <v>268</v>
      </c>
      <c r="D324" s="25">
        <v>7</v>
      </c>
      <c r="E324" s="107" t="s">
        <v>188</v>
      </c>
      <c r="F324" s="107" t="s">
        <v>208</v>
      </c>
      <c r="G324" s="107">
        <v>67</v>
      </c>
      <c r="H324" s="107">
        <v>4</v>
      </c>
      <c r="I324" s="107">
        <v>0</v>
      </c>
      <c r="J324" s="107">
        <f t="shared" si="5"/>
        <v>9.6</v>
      </c>
      <c r="K324" s="107">
        <v>6314</v>
      </c>
    </row>
    <row r="325" spans="1:11" x14ac:dyDescent="0.15">
      <c r="A325" s="107">
        <v>1755</v>
      </c>
      <c r="B325" s="107" t="s">
        <v>226</v>
      </c>
      <c r="C325" s="107" t="s">
        <v>268</v>
      </c>
      <c r="D325" s="25">
        <v>5</v>
      </c>
      <c r="E325" s="107" t="s">
        <v>188</v>
      </c>
      <c r="F325" s="107" t="s">
        <v>208</v>
      </c>
      <c r="G325" s="107">
        <v>48</v>
      </c>
      <c r="H325" s="107">
        <v>0</v>
      </c>
      <c r="I325" s="107">
        <v>0</v>
      </c>
      <c r="J325" s="107">
        <f t="shared" si="5"/>
        <v>9.6</v>
      </c>
      <c r="K325" s="107">
        <v>6316</v>
      </c>
    </row>
    <row r="326" spans="1:11" x14ac:dyDescent="0.15">
      <c r="A326" s="107">
        <v>1756</v>
      </c>
      <c r="B326" s="107" t="s">
        <v>197</v>
      </c>
      <c r="C326" s="107" t="s">
        <v>268</v>
      </c>
      <c r="D326" s="25">
        <v>7</v>
      </c>
      <c r="E326" s="107" t="s">
        <v>188</v>
      </c>
      <c r="F326" s="107" t="s">
        <v>208</v>
      </c>
      <c r="G326" s="107">
        <v>67</v>
      </c>
      <c r="H326" s="107">
        <v>4</v>
      </c>
      <c r="I326" s="107">
        <v>0</v>
      </c>
      <c r="J326" s="107">
        <f t="shared" si="5"/>
        <v>9.6</v>
      </c>
      <c r="K326" s="107">
        <v>6333</v>
      </c>
    </row>
    <row r="327" spans="1:11" x14ac:dyDescent="0.15">
      <c r="A327" s="107">
        <v>1757</v>
      </c>
      <c r="B327" s="107" t="s">
        <v>186</v>
      </c>
      <c r="C327" s="107" t="s">
        <v>268</v>
      </c>
      <c r="D327" s="25">
        <v>5</v>
      </c>
      <c r="E327" s="107" t="s">
        <v>188</v>
      </c>
      <c r="F327" s="107" t="s">
        <v>208</v>
      </c>
      <c r="G327" s="107">
        <v>48</v>
      </c>
      <c r="H327" s="107">
        <v>0</v>
      </c>
      <c r="I327" s="107">
        <v>0</v>
      </c>
      <c r="J327" s="107">
        <f t="shared" si="5"/>
        <v>9.6</v>
      </c>
      <c r="K327" s="107">
        <v>6354</v>
      </c>
    </row>
    <row r="328" spans="1:11" x14ac:dyDescent="0.15">
      <c r="A328" s="107">
        <v>1759</v>
      </c>
      <c r="B328" s="107" t="s">
        <v>261</v>
      </c>
      <c r="C328" s="107" t="s">
        <v>268</v>
      </c>
      <c r="D328" s="25">
        <v>15</v>
      </c>
      <c r="E328" s="107" t="s">
        <v>188</v>
      </c>
      <c r="F328" s="107" t="s">
        <v>208</v>
      </c>
      <c r="G328" s="107">
        <v>144</v>
      </c>
      <c r="H328" s="107">
        <v>0</v>
      </c>
      <c r="I328" s="107">
        <v>0</v>
      </c>
      <c r="J328" s="107">
        <f t="shared" si="5"/>
        <v>9.6</v>
      </c>
      <c r="K328" s="107">
        <v>6364</v>
      </c>
    </row>
    <row r="329" spans="1:11" x14ac:dyDescent="0.15">
      <c r="A329" s="107">
        <v>1759</v>
      </c>
      <c r="B329" s="107" t="s">
        <v>261</v>
      </c>
      <c r="C329" s="107" t="s">
        <v>268</v>
      </c>
      <c r="D329" s="25">
        <v>10</v>
      </c>
      <c r="E329" s="107" t="s">
        <v>188</v>
      </c>
      <c r="F329" s="107" t="s">
        <v>208</v>
      </c>
      <c r="G329" s="107">
        <v>96</v>
      </c>
      <c r="H329" s="107">
        <v>0</v>
      </c>
      <c r="I329" s="107">
        <v>0</v>
      </c>
      <c r="J329" s="107">
        <f t="shared" si="5"/>
        <v>9.6</v>
      </c>
      <c r="K329" s="107">
        <v>6374</v>
      </c>
    </row>
    <row r="330" spans="1:11" x14ac:dyDescent="0.15">
      <c r="A330" s="107">
        <v>1760</v>
      </c>
      <c r="B330" s="107" t="s">
        <v>253</v>
      </c>
      <c r="C330" s="107" t="s">
        <v>268</v>
      </c>
      <c r="D330" s="25">
        <v>10</v>
      </c>
      <c r="E330" s="107" t="s">
        <v>188</v>
      </c>
      <c r="F330" s="107" t="s">
        <v>208</v>
      </c>
      <c r="G330" s="107">
        <v>96</v>
      </c>
      <c r="H330" s="107">
        <v>0</v>
      </c>
      <c r="I330" s="107">
        <v>0</v>
      </c>
      <c r="J330" s="107">
        <f t="shared" si="5"/>
        <v>9.6</v>
      </c>
      <c r="K330" s="107">
        <v>6388</v>
      </c>
    </row>
    <row r="331" spans="1:11" x14ac:dyDescent="0.15">
      <c r="A331" s="107">
        <v>1760</v>
      </c>
      <c r="B331" s="107" t="s">
        <v>253</v>
      </c>
      <c r="C331" s="107" t="s">
        <v>268</v>
      </c>
      <c r="D331" s="25">
        <v>10</v>
      </c>
      <c r="E331" s="107" t="s">
        <v>188</v>
      </c>
      <c r="F331" s="107" t="s">
        <v>208</v>
      </c>
      <c r="G331" s="107">
        <v>96</v>
      </c>
      <c r="H331" s="107">
        <v>0</v>
      </c>
      <c r="I331" s="107">
        <v>0</v>
      </c>
      <c r="J331" s="107">
        <f t="shared" si="5"/>
        <v>9.6</v>
      </c>
      <c r="K331" s="107">
        <v>6387</v>
      </c>
    </row>
    <row r="332" spans="1:11" x14ac:dyDescent="0.15">
      <c r="A332" s="107">
        <v>1760</v>
      </c>
      <c r="B332" s="107" t="s">
        <v>244</v>
      </c>
      <c r="C332" s="107" t="s">
        <v>268</v>
      </c>
      <c r="D332" s="25">
        <v>30</v>
      </c>
      <c r="E332" s="107" t="s">
        <v>188</v>
      </c>
      <c r="F332" s="107" t="s">
        <v>208</v>
      </c>
      <c r="G332" s="107">
        <v>288</v>
      </c>
      <c r="H332" s="107">
        <v>0</v>
      </c>
      <c r="I332" s="107">
        <v>0</v>
      </c>
      <c r="J332" s="107">
        <f t="shared" si="5"/>
        <v>9.6</v>
      </c>
      <c r="K332" s="107">
        <v>6374</v>
      </c>
    </row>
    <row r="333" spans="1:11" x14ac:dyDescent="0.15">
      <c r="A333" s="107">
        <v>1761</v>
      </c>
      <c r="B333" s="107" t="s">
        <v>260</v>
      </c>
      <c r="C333" s="107" t="s">
        <v>268</v>
      </c>
      <c r="D333" s="25">
        <v>20</v>
      </c>
      <c r="E333" s="107" t="s">
        <v>188</v>
      </c>
      <c r="F333" s="107" t="s">
        <v>208</v>
      </c>
      <c r="G333" s="107">
        <v>192</v>
      </c>
      <c r="H333" s="107">
        <v>0</v>
      </c>
      <c r="I333" s="107">
        <v>0</v>
      </c>
      <c r="J333" s="107">
        <f t="shared" si="5"/>
        <v>9.6</v>
      </c>
      <c r="K333" s="107">
        <v>6388</v>
      </c>
    </row>
    <row r="334" spans="1:11" x14ac:dyDescent="0.15">
      <c r="A334" s="107">
        <v>1761</v>
      </c>
      <c r="B334" s="107" t="s">
        <v>261</v>
      </c>
      <c r="C334" s="107" t="s">
        <v>268</v>
      </c>
      <c r="D334" s="25">
        <v>20</v>
      </c>
      <c r="E334" s="107" t="s">
        <v>188</v>
      </c>
      <c r="F334" s="107" t="s">
        <v>208</v>
      </c>
      <c r="G334" s="107">
        <v>192</v>
      </c>
      <c r="H334" s="107">
        <v>0</v>
      </c>
      <c r="I334" s="107">
        <v>0</v>
      </c>
      <c r="J334" s="107">
        <f t="shared" si="5"/>
        <v>9.6</v>
      </c>
      <c r="K334" s="107">
        <v>6387</v>
      </c>
    </row>
    <row r="335" spans="1:11" x14ac:dyDescent="0.15">
      <c r="A335" s="107">
        <v>1761</v>
      </c>
      <c r="B335" s="107" t="s">
        <v>260</v>
      </c>
      <c r="C335" s="107" t="s">
        <v>268</v>
      </c>
      <c r="D335" s="25">
        <v>10</v>
      </c>
      <c r="E335" s="107" t="s">
        <v>188</v>
      </c>
      <c r="F335" s="107" t="s">
        <v>208</v>
      </c>
      <c r="G335" s="107">
        <v>96</v>
      </c>
      <c r="H335" s="107">
        <v>0</v>
      </c>
      <c r="I335" s="107">
        <v>0</v>
      </c>
      <c r="J335" s="107">
        <f t="shared" si="5"/>
        <v>9.6</v>
      </c>
      <c r="K335" s="107">
        <v>6394</v>
      </c>
    </row>
    <row r="336" spans="1:11" x14ac:dyDescent="0.15">
      <c r="A336" s="107">
        <v>1763</v>
      </c>
      <c r="B336" s="107" t="s">
        <v>197</v>
      </c>
      <c r="C336" s="107" t="s">
        <v>268</v>
      </c>
      <c r="D336" s="25">
        <v>5</v>
      </c>
      <c r="E336" s="107" t="s">
        <v>188</v>
      </c>
      <c r="F336" s="107" t="s">
        <v>208</v>
      </c>
      <c r="G336" s="107">
        <v>48</v>
      </c>
      <c r="H336" s="107">
        <v>0</v>
      </c>
      <c r="I336" s="107">
        <v>0</v>
      </c>
      <c r="J336" s="107">
        <f t="shared" si="5"/>
        <v>9.6</v>
      </c>
      <c r="K336" s="107">
        <v>6423</v>
      </c>
    </row>
    <row r="337" spans="1:11" x14ac:dyDescent="0.15">
      <c r="A337" s="107">
        <v>1763</v>
      </c>
      <c r="B337" s="107" t="s">
        <v>244</v>
      </c>
      <c r="C337" s="107" t="s">
        <v>268</v>
      </c>
      <c r="D337" s="25">
        <v>8</v>
      </c>
      <c r="E337" s="107" t="s">
        <v>188</v>
      </c>
      <c r="F337" s="107" t="s">
        <v>208</v>
      </c>
      <c r="G337" s="107">
        <v>76</v>
      </c>
      <c r="H337" s="107">
        <v>16</v>
      </c>
      <c r="I337" s="107">
        <v>0</v>
      </c>
      <c r="J337" s="107">
        <f t="shared" si="5"/>
        <v>9.6</v>
      </c>
      <c r="K337" s="107">
        <v>6413</v>
      </c>
    </row>
    <row r="338" spans="1:11" x14ac:dyDescent="0.15">
      <c r="A338" s="107">
        <v>1764</v>
      </c>
      <c r="B338" s="107" t="s">
        <v>244</v>
      </c>
      <c r="C338" s="107" t="s">
        <v>268</v>
      </c>
      <c r="D338" s="25">
        <v>13</v>
      </c>
      <c r="E338" s="107" t="s">
        <v>188</v>
      </c>
      <c r="F338" s="107" t="s">
        <v>208</v>
      </c>
      <c r="G338" s="107">
        <v>127</v>
      </c>
      <c r="H338" s="107">
        <v>16</v>
      </c>
      <c r="I338" s="107">
        <v>0</v>
      </c>
      <c r="J338" s="107">
        <f t="shared" si="5"/>
        <v>9.8307692307692314</v>
      </c>
      <c r="K338" s="107">
        <v>6419</v>
      </c>
    </row>
    <row r="339" spans="1:11" x14ac:dyDescent="0.15">
      <c r="A339" s="107">
        <v>1764</v>
      </c>
      <c r="B339" s="107" t="s">
        <v>261</v>
      </c>
      <c r="C339" s="107" t="s">
        <v>268</v>
      </c>
      <c r="D339" s="25">
        <v>12</v>
      </c>
      <c r="E339" s="107" t="s">
        <v>188</v>
      </c>
      <c r="F339" s="107" t="s">
        <v>208</v>
      </c>
      <c r="G339" s="107">
        <v>115</v>
      </c>
      <c r="H339" s="107">
        <v>4</v>
      </c>
      <c r="I339" s="107">
        <v>0</v>
      </c>
      <c r="J339" s="107">
        <f t="shared" si="5"/>
        <v>9.6</v>
      </c>
      <c r="K339" s="107">
        <v>6423</v>
      </c>
    </row>
    <row r="340" spans="1:11" x14ac:dyDescent="0.15">
      <c r="A340" s="107">
        <v>1765</v>
      </c>
      <c r="B340" s="107" t="s">
        <v>196</v>
      </c>
      <c r="C340" s="107" t="s">
        <v>268</v>
      </c>
      <c r="D340" s="25">
        <v>10</v>
      </c>
      <c r="E340" s="107" t="s">
        <v>188</v>
      </c>
      <c r="F340" s="107" t="s">
        <v>208</v>
      </c>
      <c r="G340" s="107">
        <v>96</v>
      </c>
      <c r="H340" s="107">
        <v>0</v>
      </c>
      <c r="I340" s="107">
        <v>0</v>
      </c>
      <c r="J340" s="107">
        <f t="shared" si="5"/>
        <v>9.6</v>
      </c>
      <c r="K340" s="107">
        <v>6454</v>
      </c>
    </row>
    <row r="341" spans="1:11" x14ac:dyDescent="0.15">
      <c r="A341" s="107">
        <v>1766</v>
      </c>
      <c r="B341" s="107" t="s">
        <v>261</v>
      </c>
      <c r="C341" s="107" t="s">
        <v>268</v>
      </c>
      <c r="D341" s="25">
        <v>10</v>
      </c>
      <c r="E341" s="107" t="s">
        <v>188</v>
      </c>
      <c r="F341" s="107" t="s">
        <v>208</v>
      </c>
      <c r="G341" s="107">
        <v>96</v>
      </c>
      <c r="H341" s="107">
        <v>0</v>
      </c>
      <c r="I341" s="107">
        <v>0</v>
      </c>
      <c r="J341" s="107">
        <f t="shared" si="5"/>
        <v>9.6</v>
      </c>
      <c r="K341" s="107">
        <v>6457</v>
      </c>
    </row>
    <row r="342" spans="1:11" x14ac:dyDescent="0.15">
      <c r="A342" s="107">
        <v>1767</v>
      </c>
      <c r="B342" s="107" t="s">
        <v>197</v>
      </c>
      <c r="C342" s="107" t="s">
        <v>268</v>
      </c>
      <c r="D342" s="25">
        <v>10</v>
      </c>
      <c r="E342" s="107" t="s">
        <v>188</v>
      </c>
      <c r="F342" s="107" t="s">
        <v>208</v>
      </c>
      <c r="G342" s="107">
        <v>96</v>
      </c>
      <c r="H342" s="107">
        <v>0</v>
      </c>
      <c r="I342" s="107">
        <v>0</v>
      </c>
      <c r="J342" s="107">
        <f t="shared" si="5"/>
        <v>9.6</v>
      </c>
      <c r="K342" s="107">
        <v>6475</v>
      </c>
    </row>
    <row r="343" spans="1:11" x14ac:dyDescent="0.15">
      <c r="A343" s="107">
        <v>1768</v>
      </c>
      <c r="B343" s="107" t="s">
        <v>260</v>
      </c>
      <c r="C343" s="107" t="s">
        <v>268</v>
      </c>
      <c r="D343" s="25">
        <v>10</v>
      </c>
      <c r="E343" s="107" t="s">
        <v>188</v>
      </c>
      <c r="F343" s="107" t="s">
        <v>208</v>
      </c>
      <c r="G343" s="107">
        <v>96</v>
      </c>
      <c r="H343" s="107">
        <v>0</v>
      </c>
      <c r="I343" s="107">
        <v>0</v>
      </c>
      <c r="J343" s="107">
        <f t="shared" si="5"/>
        <v>9.6</v>
      </c>
      <c r="K343" s="107">
        <v>6489</v>
      </c>
    </row>
    <row r="344" spans="1:11" x14ac:dyDescent="0.15">
      <c r="A344" s="107">
        <v>1769</v>
      </c>
      <c r="B344" s="107" t="s">
        <v>260</v>
      </c>
      <c r="C344" s="107" t="s">
        <v>268</v>
      </c>
      <c r="D344" s="25">
        <v>10</v>
      </c>
      <c r="E344" s="107" t="s">
        <v>188</v>
      </c>
      <c r="F344" s="107" t="s">
        <v>208</v>
      </c>
      <c r="G344" s="107">
        <v>96</v>
      </c>
      <c r="H344" s="107">
        <v>0</v>
      </c>
      <c r="I344" s="107">
        <v>0</v>
      </c>
      <c r="J344" s="107">
        <f t="shared" si="5"/>
        <v>9.6</v>
      </c>
      <c r="K344" s="107">
        <v>6518</v>
      </c>
    </row>
    <row r="345" spans="1:11" x14ac:dyDescent="0.15">
      <c r="A345" s="107">
        <v>1770</v>
      </c>
      <c r="B345" s="107" t="s">
        <v>200</v>
      </c>
      <c r="C345" s="107" t="s">
        <v>268</v>
      </c>
      <c r="D345" s="25">
        <v>10</v>
      </c>
      <c r="E345" s="107" t="s">
        <v>188</v>
      </c>
      <c r="F345" s="107" t="s">
        <v>208</v>
      </c>
      <c r="G345" s="107">
        <v>88</v>
      </c>
      <c r="H345" s="107">
        <v>0</v>
      </c>
      <c r="I345" s="107">
        <v>0</v>
      </c>
      <c r="J345" s="107">
        <f t="shared" si="5"/>
        <v>8.8000000000000007</v>
      </c>
      <c r="K345" s="107">
        <v>6535</v>
      </c>
    </row>
    <row r="346" spans="1:11" x14ac:dyDescent="0.15">
      <c r="A346" s="107">
        <v>1771</v>
      </c>
      <c r="B346" s="107" t="s">
        <v>261</v>
      </c>
      <c r="C346" s="107" t="s">
        <v>268</v>
      </c>
      <c r="D346" s="25">
        <v>10</v>
      </c>
      <c r="E346" s="107" t="s">
        <v>188</v>
      </c>
      <c r="F346" s="107" t="s">
        <v>208</v>
      </c>
      <c r="G346" s="107">
        <v>88</v>
      </c>
      <c r="H346" s="107">
        <v>0</v>
      </c>
      <c r="I346" s="107">
        <v>0</v>
      </c>
      <c r="J346" s="107">
        <f t="shared" si="5"/>
        <v>8.8000000000000007</v>
      </c>
      <c r="K346" s="107">
        <v>6540</v>
      </c>
    </row>
    <row r="347" spans="1:11" x14ac:dyDescent="0.15">
      <c r="A347" s="107">
        <v>1772</v>
      </c>
      <c r="B347" s="107" t="s">
        <v>197</v>
      </c>
      <c r="C347" s="107" t="s">
        <v>268</v>
      </c>
      <c r="D347" s="25">
        <v>12</v>
      </c>
      <c r="E347" s="107" t="s">
        <v>188</v>
      </c>
      <c r="F347" s="107" t="s">
        <v>208</v>
      </c>
      <c r="G347" s="107">
        <v>105</v>
      </c>
      <c r="H347" s="107">
        <v>12</v>
      </c>
      <c r="I347" s="107">
        <v>0</v>
      </c>
      <c r="J347" s="107">
        <f t="shared" si="5"/>
        <v>8.7999999999999989</v>
      </c>
      <c r="K347" s="107">
        <v>6551</v>
      </c>
    </row>
    <row r="348" spans="1:11" x14ac:dyDescent="0.15">
      <c r="A348" s="107">
        <v>1773</v>
      </c>
      <c r="B348" s="107" t="s">
        <v>260</v>
      </c>
      <c r="C348" s="107" t="s">
        <v>268</v>
      </c>
      <c r="D348" s="25">
        <v>10</v>
      </c>
      <c r="E348" s="107" t="s">
        <v>188</v>
      </c>
      <c r="F348" s="107" t="s">
        <v>208</v>
      </c>
      <c r="G348" s="107">
        <v>88</v>
      </c>
      <c r="H348" s="107">
        <v>0</v>
      </c>
      <c r="I348" s="107">
        <v>0</v>
      </c>
      <c r="J348" s="107">
        <f t="shared" si="5"/>
        <v>8.8000000000000007</v>
      </c>
      <c r="K348" s="107">
        <v>6566</v>
      </c>
    </row>
    <row r="349" spans="1:11" x14ac:dyDescent="0.15">
      <c r="A349" s="107">
        <v>1774</v>
      </c>
      <c r="B349" s="107" t="s">
        <v>260</v>
      </c>
      <c r="C349" s="107" t="s">
        <v>268</v>
      </c>
      <c r="D349" s="25">
        <v>10</v>
      </c>
      <c r="E349" s="107" t="s">
        <v>188</v>
      </c>
      <c r="F349" s="107" t="s">
        <v>208</v>
      </c>
      <c r="G349" s="107">
        <v>88</v>
      </c>
      <c r="H349" s="107">
        <v>0</v>
      </c>
      <c r="I349" s="107">
        <v>0</v>
      </c>
      <c r="J349" s="25">
        <f t="shared" si="5"/>
        <v>8.8000000000000007</v>
      </c>
      <c r="K349" s="25">
        <v>6589</v>
      </c>
    </row>
    <row r="350" spans="1:11" x14ac:dyDescent="0.15">
      <c r="A350" s="107">
        <v>1775</v>
      </c>
      <c r="B350" s="107" t="s">
        <v>196</v>
      </c>
      <c r="C350" s="107" t="s">
        <v>268</v>
      </c>
      <c r="D350" s="25">
        <v>10</v>
      </c>
      <c r="E350" s="107" t="s">
        <v>188</v>
      </c>
      <c r="F350" s="107" t="s">
        <v>208</v>
      </c>
      <c r="G350" s="107">
        <v>88</v>
      </c>
      <c r="H350" s="107">
        <v>0</v>
      </c>
      <c r="I350" s="107">
        <v>0</v>
      </c>
      <c r="J350" s="107">
        <f t="shared" si="5"/>
        <v>8.8000000000000007</v>
      </c>
      <c r="K350" s="107">
        <v>6611</v>
      </c>
    </row>
    <row r="351" spans="1:11" x14ac:dyDescent="0.15">
      <c r="A351" s="107">
        <v>1776</v>
      </c>
      <c r="B351" s="107" t="s">
        <v>253</v>
      </c>
      <c r="C351" s="107" t="s">
        <v>268</v>
      </c>
      <c r="D351" s="25">
        <v>10</v>
      </c>
      <c r="E351" s="107" t="s">
        <v>188</v>
      </c>
      <c r="F351" s="107" t="s">
        <v>208</v>
      </c>
      <c r="G351" s="107">
        <v>88</v>
      </c>
      <c r="H351" s="107">
        <v>0</v>
      </c>
      <c r="I351" s="107">
        <v>0</v>
      </c>
      <c r="J351" s="107">
        <f t="shared" si="5"/>
        <v>8.8000000000000007</v>
      </c>
      <c r="K351" s="107">
        <v>6627</v>
      </c>
    </row>
    <row r="352" spans="1:11" x14ac:dyDescent="0.15">
      <c r="A352" s="107">
        <v>1777</v>
      </c>
      <c r="B352" s="107" t="s">
        <v>253</v>
      </c>
      <c r="C352" s="107" t="s">
        <v>268</v>
      </c>
      <c r="D352" s="25">
        <v>10</v>
      </c>
      <c r="E352" s="107" t="s">
        <v>188</v>
      </c>
      <c r="F352" s="107" t="s">
        <v>208</v>
      </c>
      <c r="G352" s="107">
        <v>88</v>
      </c>
      <c r="H352" s="107">
        <v>0</v>
      </c>
      <c r="I352" s="107">
        <v>0</v>
      </c>
      <c r="J352" s="107">
        <f t="shared" si="5"/>
        <v>8.8000000000000007</v>
      </c>
      <c r="K352" s="107">
        <v>6643</v>
      </c>
    </row>
    <row r="353" spans="1:14" x14ac:dyDescent="0.15">
      <c r="A353" s="107">
        <v>1778</v>
      </c>
      <c r="B353" s="107" t="s">
        <v>192</v>
      </c>
      <c r="C353" s="107" t="s">
        <v>268</v>
      </c>
      <c r="D353" s="25">
        <v>15</v>
      </c>
      <c r="E353" s="107" t="s">
        <v>188</v>
      </c>
      <c r="F353" s="107" t="s">
        <v>208</v>
      </c>
      <c r="G353" s="107">
        <v>132</v>
      </c>
      <c r="H353" s="107">
        <v>0</v>
      </c>
      <c r="I353" s="107">
        <v>0</v>
      </c>
      <c r="J353" s="107">
        <f t="shared" si="5"/>
        <v>8.8000000000000007</v>
      </c>
      <c r="K353" s="107">
        <v>6663</v>
      </c>
      <c r="L353" s="107"/>
      <c r="M353" s="107"/>
      <c r="N353" s="107"/>
    </row>
    <row r="354" spans="1:14" x14ac:dyDescent="0.15">
      <c r="A354" s="107">
        <v>1779</v>
      </c>
      <c r="B354" s="107" t="s">
        <v>260</v>
      </c>
      <c r="C354" s="107" t="s">
        <v>268</v>
      </c>
      <c r="D354" s="25">
        <v>7</v>
      </c>
      <c r="E354" s="107" t="s">
        <v>188</v>
      </c>
      <c r="F354" s="107" t="s">
        <v>208</v>
      </c>
      <c r="G354" s="107">
        <v>61</v>
      </c>
      <c r="H354" s="107">
        <v>12</v>
      </c>
      <c r="I354" s="107">
        <v>0</v>
      </c>
      <c r="J354" s="107">
        <f t="shared" si="5"/>
        <v>8.8000000000000007</v>
      </c>
      <c r="K354" s="107">
        <v>6669</v>
      </c>
      <c r="L354" s="107"/>
      <c r="M354" s="107"/>
      <c r="N354" s="107"/>
    </row>
    <row r="355" spans="1:14" x14ac:dyDescent="0.15">
      <c r="A355" s="107">
        <v>1780</v>
      </c>
      <c r="B355" s="107" t="s">
        <v>196</v>
      </c>
      <c r="C355" s="107" t="s">
        <v>268</v>
      </c>
      <c r="D355" s="25">
        <v>10</v>
      </c>
      <c r="E355" s="107" t="s">
        <v>188</v>
      </c>
      <c r="F355" s="107" t="s">
        <v>208</v>
      </c>
      <c r="G355" s="107">
        <v>88</v>
      </c>
      <c r="H355" s="107">
        <v>0</v>
      </c>
      <c r="I355" s="107">
        <v>0</v>
      </c>
      <c r="J355" s="107">
        <f t="shared" si="5"/>
        <v>8.8000000000000007</v>
      </c>
      <c r="K355" s="107">
        <v>6679</v>
      </c>
      <c r="L355" s="107"/>
      <c r="M355" s="107"/>
      <c r="N355" s="107"/>
    </row>
    <row r="356" spans="1:14" x14ac:dyDescent="0.15">
      <c r="A356" s="107">
        <v>1780</v>
      </c>
      <c r="B356" s="107" t="s">
        <v>200</v>
      </c>
      <c r="C356" s="107" t="s">
        <v>268</v>
      </c>
      <c r="D356" s="25">
        <v>15</v>
      </c>
      <c r="E356" s="107" t="s">
        <v>188</v>
      </c>
      <c r="F356" s="107" t="s">
        <v>208</v>
      </c>
      <c r="G356" s="107">
        <v>132</v>
      </c>
      <c r="H356" s="107">
        <v>0</v>
      </c>
      <c r="I356" s="107">
        <v>0</v>
      </c>
      <c r="J356" s="107">
        <f t="shared" si="5"/>
        <v>8.8000000000000007</v>
      </c>
      <c r="K356" s="107">
        <v>6689</v>
      </c>
      <c r="L356" s="107"/>
      <c r="M356" s="107"/>
      <c r="N356" s="107"/>
    </row>
    <row r="357" spans="1:14" x14ac:dyDescent="0.15">
      <c r="A357" s="107">
        <v>1781</v>
      </c>
      <c r="B357" s="107" t="s">
        <v>261</v>
      </c>
      <c r="C357" s="107" t="s">
        <v>268</v>
      </c>
      <c r="D357" s="25">
        <v>18</v>
      </c>
      <c r="E357" s="107" t="s">
        <v>188</v>
      </c>
      <c r="F357" s="107" t="s">
        <v>208</v>
      </c>
      <c r="G357" s="107">
        <v>158</v>
      </c>
      <c r="H357" s="107">
        <v>8</v>
      </c>
      <c r="I357" s="107">
        <v>0</v>
      </c>
      <c r="J357" s="107">
        <f t="shared" si="5"/>
        <v>8.8000000000000007</v>
      </c>
      <c r="K357" s="107">
        <v>6699</v>
      </c>
      <c r="L357" s="107"/>
      <c r="M357" s="107"/>
      <c r="N357" s="107"/>
    </row>
    <row r="358" spans="1:14" x14ac:dyDescent="0.15">
      <c r="A358" s="107">
        <v>1783</v>
      </c>
      <c r="B358" s="107" t="s">
        <v>236</v>
      </c>
      <c r="C358" s="107" t="s">
        <v>268</v>
      </c>
      <c r="D358" s="25">
        <v>11</v>
      </c>
      <c r="E358" s="107" t="s">
        <v>188</v>
      </c>
      <c r="F358" s="107" t="s">
        <v>208</v>
      </c>
      <c r="G358" s="107">
        <v>96</v>
      </c>
      <c r="H358" s="107">
        <v>16</v>
      </c>
      <c r="I358" s="107">
        <v>0</v>
      </c>
      <c r="J358" s="25">
        <f t="shared" si="5"/>
        <v>8.7999999999999989</v>
      </c>
      <c r="K358" s="107">
        <v>6714</v>
      </c>
      <c r="L358" s="107"/>
      <c r="M358" s="107"/>
      <c r="N358" s="107"/>
    </row>
    <row r="359" spans="1:14" x14ac:dyDescent="0.15">
      <c r="A359" s="107">
        <v>1783</v>
      </c>
      <c r="B359" s="107" t="s">
        <v>261</v>
      </c>
      <c r="C359" s="107" t="s">
        <v>268</v>
      </c>
      <c r="D359" s="25">
        <v>12</v>
      </c>
      <c r="E359" s="107" t="s">
        <v>188</v>
      </c>
      <c r="F359" s="107" t="s">
        <v>208</v>
      </c>
      <c r="G359" s="107">
        <v>105</v>
      </c>
      <c r="H359" s="107">
        <v>12</v>
      </c>
      <c r="I359" s="107">
        <v>0</v>
      </c>
      <c r="J359" s="107">
        <f t="shared" si="5"/>
        <v>8.7999999999999989</v>
      </c>
      <c r="K359" s="107">
        <v>6701</v>
      </c>
      <c r="L359" s="107"/>
      <c r="M359" s="107"/>
      <c r="N359" s="107"/>
    </row>
    <row r="360" spans="1:14" x14ac:dyDescent="0.15">
      <c r="A360" s="107">
        <v>1784</v>
      </c>
      <c r="B360" s="107" t="s">
        <v>261</v>
      </c>
      <c r="C360" s="107" t="s">
        <v>268</v>
      </c>
      <c r="D360" s="25">
        <v>6</v>
      </c>
      <c r="E360" s="107" t="s">
        <v>188</v>
      </c>
      <c r="F360" s="107" t="s">
        <v>208</v>
      </c>
      <c r="G360" s="107">
        <v>52</v>
      </c>
      <c r="H360" s="107">
        <v>16</v>
      </c>
      <c r="I360" s="107">
        <v>0</v>
      </c>
      <c r="J360" s="25">
        <f t="shared" si="5"/>
        <v>8.7999999999999989</v>
      </c>
      <c r="K360" s="25">
        <v>6705</v>
      </c>
      <c r="L360" s="107"/>
      <c r="M360" s="107"/>
      <c r="N360" s="107"/>
    </row>
    <row r="361" spans="1:14" x14ac:dyDescent="0.15">
      <c r="A361" s="107">
        <v>1784</v>
      </c>
      <c r="B361" s="107" t="s">
        <v>236</v>
      </c>
      <c r="C361" s="107" t="s">
        <v>268</v>
      </c>
      <c r="D361" s="25">
        <v>11</v>
      </c>
      <c r="E361" s="107" t="s">
        <v>188</v>
      </c>
      <c r="F361" s="107" t="s">
        <v>208</v>
      </c>
      <c r="G361" s="107">
        <v>96</v>
      </c>
      <c r="H361" s="107">
        <v>16</v>
      </c>
      <c r="I361" s="107">
        <v>0</v>
      </c>
      <c r="J361" s="107">
        <f t="shared" si="5"/>
        <v>8.7999999999999989</v>
      </c>
      <c r="K361" s="107">
        <v>6733</v>
      </c>
      <c r="L361" s="107"/>
      <c r="M361" s="107"/>
      <c r="N361" s="107"/>
    </row>
    <row r="362" spans="1:14" x14ac:dyDescent="0.15">
      <c r="A362" s="107">
        <v>1785</v>
      </c>
      <c r="B362" s="107" t="s">
        <v>186</v>
      </c>
      <c r="C362" s="107" t="s">
        <v>268</v>
      </c>
      <c r="D362" s="25">
        <v>5</v>
      </c>
      <c r="E362" s="107" t="s">
        <v>188</v>
      </c>
      <c r="F362" s="107" t="s">
        <v>208</v>
      </c>
      <c r="G362" s="107">
        <v>44</v>
      </c>
      <c r="H362" s="107">
        <v>0</v>
      </c>
      <c r="I362" s="107">
        <v>0</v>
      </c>
      <c r="J362" s="107">
        <f t="shared" si="5"/>
        <v>8.8000000000000007</v>
      </c>
      <c r="K362" s="107">
        <v>6736</v>
      </c>
      <c r="L362" s="107"/>
      <c r="M362" s="107"/>
      <c r="N362" s="107"/>
    </row>
    <row r="363" spans="1:14" x14ac:dyDescent="0.15">
      <c r="A363" s="107">
        <v>1786</v>
      </c>
      <c r="B363" s="107" t="s">
        <v>261</v>
      </c>
      <c r="C363" s="107" t="s">
        <v>268</v>
      </c>
      <c r="D363" s="25">
        <v>7.75</v>
      </c>
      <c r="E363" s="107" t="s">
        <v>188</v>
      </c>
      <c r="F363" s="107" t="s">
        <v>208</v>
      </c>
      <c r="G363" s="107">
        <v>68</v>
      </c>
      <c r="H363" s="107">
        <v>4</v>
      </c>
      <c r="I363" s="107">
        <v>0</v>
      </c>
      <c r="J363" s="107">
        <f t="shared" si="5"/>
        <v>8.8000000000000007</v>
      </c>
      <c r="K363" s="107">
        <v>6746</v>
      </c>
      <c r="L363" s="107"/>
      <c r="M363" s="107"/>
      <c r="N363" s="107"/>
    </row>
    <row r="364" spans="1:14" x14ac:dyDescent="0.15">
      <c r="A364" s="107">
        <v>1787</v>
      </c>
      <c r="B364" s="107" t="s">
        <v>197</v>
      </c>
      <c r="C364" s="107" t="s">
        <v>268</v>
      </c>
      <c r="D364" s="25">
        <v>2</v>
      </c>
      <c r="E364" s="107" t="s">
        <v>338</v>
      </c>
      <c r="F364" s="107" t="s">
        <v>208</v>
      </c>
      <c r="G364" s="107">
        <v>44</v>
      </c>
      <c r="H364" s="107">
        <v>0</v>
      </c>
      <c r="I364" s="107">
        <v>0</v>
      </c>
      <c r="J364" s="107">
        <f t="shared" si="5"/>
        <v>22</v>
      </c>
      <c r="K364" s="107">
        <v>6752</v>
      </c>
      <c r="L364" s="107"/>
      <c r="M364" s="107"/>
      <c r="N364" s="107" t="s">
        <v>339</v>
      </c>
    </row>
    <row r="365" spans="1:14" x14ac:dyDescent="0.15">
      <c r="A365" s="107">
        <v>1788</v>
      </c>
      <c r="B365" s="107" t="s">
        <v>236</v>
      </c>
      <c r="C365" s="107" t="s">
        <v>268</v>
      </c>
      <c r="D365" s="25">
        <v>2</v>
      </c>
      <c r="E365" s="107" t="s">
        <v>188</v>
      </c>
      <c r="F365" s="107" t="s">
        <v>208</v>
      </c>
      <c r="G365" s="107">
        <v>17</v>
      </c>
      <c r="H365" s="107">
        <v>12</v>
      </c>
      <c r="I365" s="107">
        <v>0</v>
      </c>
      <c r="J365" s="25">
        <f t="shared" si="5"/>
        <v>8.8000000000000007</v>
      </c>
      <c r="K365" s="25">
        <v>6786</v>
      </c>
      <c r="L365" s="107"/>
      <c r="M365" s="107"/>
      <c r="N365" s="107"/>
    </row>
    <row r="366" spans="1:14" x14ac:dyDescent="0.15">
      <c r="A366" s="107">
        <v>1789</v>
      </c>
      <c r="B366" s="107" t="s">
        <v>253</v>
      </c>
      <c r="C366" s="107" t="s">
        <v>268</v>
      </c>
      <c r="D366" s="25">
        <v>2</v>
      </c>
      <c r="E366" s="107" t="s">
        <v>188</v>
      </c>
      <c r="F366" s="107" t="s">
        <v>208</v>
      </c>
      <c r="G366" s="107">
        <v>17</v>
      </c>
      <c r="H366" s="107">
        <v>12</v>
      </c>
      <c r="I366" s="107">
        <v>0</v>
      </c>
      <c r="J366" s="25">
        <f t="shared" si="5"/>
        <v>8.8000000000000007</v>
      </c>
      <c r="K366" s="25">
        <v>6785</v>
      </c>
      <c r="L366" s="107"/>
      <c r="M366" s="107"/>
      <c r="N366" s="107"/>
    </row>
    <row r="367" spans="1:14" x14ac:dyDescent="0.15">
      <c r="A367" s="107">
        <v>1789</v>
      </c>
      <c r="B367" s="107" t="s">
        <v>226</v>
      </c>
      <c r="C367" s="107" t="s">
        <v>268</v>
      </c>
      <c r="D367" s="25">
        <v>2.125</v>
      </c>
      <c r="E367" s="107" t="s">
        <v>188</v>
      </c>
      <c r="F367" s="107" t="s">
        <v>208</v>
      </c>
      <c r="G367" s="107">
        <v>18</v>
      </c>
      <c r="H367" s="107">
        <v>14</v>
      </c>
      <c r="I367" s="107">
        <v>0</v>
      </c>
      <c r="J367" s="25">
        <f t="shared" si="5"/>
        <v>8.7999999999999989</v>
      </c>
      <c r="K367" s="25">
        <v>6785</v>
      </c>
      <c r="L367" s="107"/>
      <c r="M367" s="107"/>
      <c r="N367" s="107"/>
    </row>
    <row r="368" spans="1:14" x14ac:dyDescent="0.15">
      <c r="A368" s="107">
        <v>1790</v>
      </c>
      <c r="B368" s="107" t="s">
        <v>226</v>
      </c>
      <c r="C368" s="107" t="s">
        <v>268</v>
      </c>
      <c r="D368" s="25">
        <v>3</v>
      </c>
      <c r="E368" s="107" t="s">
        <v>188</v>
      </c>
      <c r="F368" s="107" t="s">
        <v>208</v>
      </c>
      <c r="G368" s="107">
        <v>26</v>
      </c>
      <c r="H368" s="107">
        <v>8</v>
      </c>
      <c r="I368" s="107">
        <v>0</v>
      </c>
      <c r="J368" s="25">
        <f t="shared" si="5"/>
        <v>8.7999999999999989</v>
      </c>
      <c r="K368" s="25">
        <v>6790</v>
      </c>
      <c r="L368" s="107"/>
      <c r="M368" s="107"/>
      <c r="N368" s="107"/>
    </row>
    <row r="369" spans="1:15" x14ac:dyDescent="0.15">
      <c r="A369" s="107">
        <v>1791</v>
      </c>
      <c r="B369" s="107" t="s">
        <v>197</v>
      </c>
      <c r="C369" s="107" t="s">
        <v>268</v>
      </c>
      <c r="D369" s="25">
        <v>2</v>
      </c>
      <c r="E369" s="107" t="s">
        <v>188</v>
      </c>
      <c r="F369" s="107" t="s">
        <v>208</v>
      </c>
      <c r="G369" s="107">
        <v>17</v>
      </c>
      <c r="H369" s="107">
        <v>12</v>
      </c>
      <c r="I369" s="107">
        <v>0</v>
      </c>
      <c r="J369" s="107">
        <f t="shared" si="5"/>
        <v>8.8000000000000007</v>
      </c>
      <c r="K369" s="107">
        <v>6804</v>
      </c>
      <c r="L369" s="107"/>
      <c r="M369" s="107"/>
      <c r="N369" s="107"/>
      <c r="O369" s="107"/>
    </row>
    <row r="370" spans="1:15" x14ac:dyDescent="0.15">
      <c r="A370" s="107">
        <v>1792</v>
      </c>
      <c r="B370" s="107" t="s">
        <v>196</v>
      </c>
      <c r="C370" s="107" t="s">
        <v>268</v>
      </c>
      <c r="D370" s="25">
        <v>2</v>
      </c>
      <c r="E370" s="107" t="s">
        <v>188</v>
      </c>
      <c r="F370" s="107" t="s">
        <v>208</v>
      </c>
      <c r="G370" s="107">
        <v>17</v>
      </c>
      <c r="H370" s="107">
        <v>12</v>
      </c>
      <c r="I370" s="107">
        <v>0</v>
      </c>
      <c r="J370" s="107">
        <f t="shared" si="5"/>
        <v>8.8000000000000007</v>
      </c>
      <c r="K370" s="107">
        <v>6811</v>
      </c>
      <c r="L370" s="107"/>
      <c r="M370" s="107"/>
      <c r="N370" s="107"/>
      <c r="O370" s="107"/>
    </row>
    <row r="371" spans="1:15" x14ac:dyDescent="0.15">
      <c r="A371" s="107">
        <v>1793</v>
      </c>
      <c r="B371" s="107" t="s">
        <v>192</v>
      </c>
      <c r="C371" s="107" t="s">
        <v>268</v>
      </c>
      <c r="D371" s="25">
        <v>2.5</v>
      </c>
      <c r="E371" s="107" t="s">
        <v>188</v>
      </c>
      <c r="F371" s="107" t="s">
        <v>208</v>
      </c>
      <c r="G371" s="107">
        <v>22</v>
      </c>
      <c r="H371" s="107">
        <v>0</v>
      </c>
      <c r="I371" s="107">
        <v>0</v>
      </c>
      <c r="J371" s="107">
        <f t="shared" si="5"/>
        <v>8.8000000000000007</v>
      </c>
      <c r="K371" s="107">
        <v>6826</v>
      </c>
      <c r="L371" s="107"/>
      <c r="M371" s="107"/>
      <c r="N371" s="107"/>
      <c r="O371" s="107"/>
    </row>
    <row r="372" spans="1:15" x14ac:dyDescent="0.15">
      <c r="A372" s="107">
        <v>1793</v>
      </c>
      <c r="B372" s="107" t="s">
        <v>247</v>
      </c>
      <c r="C372" s="107" t="s">
        <v>270</v>
      </c>
      <c r="D372" s="25">
        <v>3</v>
      </c>
      <c r="E372" s="107" t="s">
        <v>188</v>
      </c>
      <c r="F372" s="107" t="s">
        <v>208</v>
      </c>
      <c r="G372" s="107">
        <v>26</v>
      </c>
      <c r="H372" s="107">
        <v>8</v>
      </c>
      <c r="I372" s="107">
        <v>0</v>
      </c>
      <c r="J372" s="107">
        <f t="shared" si="5"/>
        <v>8.7999999999999989</v>
      </c>
      <c r="K372" s="107">
        <v>6826</v>
      </c>
      <c r="L372" s="107"/>
      <c r="M372" s="107"/>
      <c r="N372" s="107"/>
      <c r="O372" s="107"/>
    </row>
    <row r="373" spans="1:15" x14ac:dyDescent="0.15">
      <c r="A373" s="107">
        <v>1794</v>
      </c>
      <c r="B373" s="107" t="s">
        <v>260</v>
      </c>
      <c r="C373" s="107" t="s">
        <v>270</v>
      </c>
      <c r="D373" s="25">
        <v>4</v>
      </c>
      <c r="E373" s="107" t="s">
        <v>188</v>
      </c>
      <c r="F373" s="107" t="s">
        <v>208</v>
      </c>
      <c r="G373" s="107">
        <v>35</v>
      </c>
      <c r="H373" s="107">
        <v>4</v>
      </c>
      <c r="I373" s="107">
        <v>0</v>
      </c>
      <c r="J373" s="107">
        <f t="shared" si="5"/>
        <v>8.8000000000000007</v>
      </c>
      <c r="K373" s="107">
        <v>6840</v>
      </c>
      <c r="L373" s="107"/>
      <c r="M373" s="107"/>
      <c r="N373" s="107"/>
      <c r="O373" s="107"/>
    </row>
    <row r="374" spans="1:15" x14ac:dyDescent="0.15">
      <c r="A374" s="107">
        <v>1794</v>
      </c>
      <c r="B374" s="107" t="s">
        <v>261</v>
      </c>
      <c r="C374" s="107" t="s">
        <v>268</v>
      </c>
      <c r="D374" s="25">
        <v>26</v>
      </c>
      <c r="E374" s="107" t="s">
        <v>188</v>
      </c>
      <c r="F374" s="107" t="s">
        <v>208</v>
      </c>
      <c r="G374" s="107">
        <v>228</v>
      </c>
      <c r="H374" s="107">
        <v>16</v>
      </c>
      <c r="I374" s="107">
        <v>0</v>
      </c>
      <c r="J374" s="107">
        <f t="shared" si="5"/>
        <v>8.8000000000000007</v>
      </c>
      <c r="K374" s="107">
        <v>6839</v>
      </c>
      <c r="L374" s="107"/>
      <c r="M374" s="107"/>
      <c r="N374" s="107"/>
      <c r="O374" s="107"/>
    </row>
    <row r="375" spans="1:15" ht="14" x14ac:dyDescent="0.2">
      <c r="A375" s="58">
        <v>1653</v>
      </c>
      <c r="B375" s="58" t="s">
        <v>197</v>
      </c>
      <c r="C375" s="107" t="s">
        <v>274</v>
      </c>
      <c r="D375" s="60">
        <v>4</v>
      </c>
      <c r="E375" s="58" t="s">
        <v>340</v>
      </c>
      <c r="F375" s="58" t="s">
        <v>341</v>
      </c>
      <c r="G375" s="58">
        <v>459</v>
      </c>
      <c r="H375" s="58">
        <v>0</v>
      </c>
      <c r="I375" s="58">
        <v>0</v>
      </c>
      <c r="J375" s="107">
        <f t="shared" si="5"/>
        <v>114.75</v>
      </c>
      <c r="K375" s="58">
        <v>3989</v>
      </c>
      <c r="L375" s="58">
        <v>1784</v>
      </c>
      <c r="M375" s="58">
        <v>147</v>
      </c>
      <c r="N375" s="107">
        <f>3010/111.5</f>
        <v>26.995515695067265</v>
      </c>
      <c r="O375" s="107">
        <f>J375/N375</f>
        <v>4.2507059800664448</v>
      </c>
    </row>
    <row r="376" spans="1:15" ht="14" x14ac:dyDescent="0.2">
      <c r="A376" s="58">
        <v>1696</v>
      </c>
      <c r="B376" s="58" t="s">
        <v>253</v>
      </c>
      <c r="C376" s="107" t="s">
        <v>274</v>
      </c>
      <c r="D376" s="61">
        <v>2</v>
      </c>
      <c r="E376" s="64" t="s">
        <v>188</v>
      </c>
      <c r="F376" s="64" t="s">
        <v>342</v>
      </c>
      <c r="G376" s="64">
        <v>48</v>
      </c>
      <c r="H376" s="58">
        <v>0</v>
      </c>
      <c r="I376" s="58">
        <v>0</v>
      </c>
      <c r="J376" s="107">
        <f t="shared" si="5"/>
        <v>24</v>
      </c>
      <c r="K376" s="58">
        <v>4037</v>
      </c>
      <c r="L376" s="58">
        <v>1844</v>
      </c>
      <c r="M376" s="58">
        <v>1380</v>
      </c>
      <c r="N376" s="107"/>
      <c r="O376" s="107"/>
    </row>
    <row r="377" spans="1:15" ht="14" x14ac:dyDescent="0.2">
      <c r="A377" s="58">
        <v>1662</v>
      </c>
      <c r="B377" s="58" t="s">
        <v>197</v>
      </c>
      <c r="C377" s="107" t="s">
        <v>274</v>
      </c>
      <c r="D377" s="62">
        <v>3.625</v>
      </c>
      <c r="E377" s="58" t="s">
        <v>336</v>
      </c>
      <c r="F377" s="58" t="s">
        <v>343</v>
      </c>
      <c r="G377" s="58">
        <v>69</v>
      </c>
      <c r="H377" s="58">
        <v>12</v>
      </c>
      <c r="I377" s="58">
        <v>0</v>
      </c>
      <c r="J377" s="107">
        <f t="shared" si="5"/>
        <v>19.2</v>
      </c>
      <c r="K377" s="58">
        <v>3997</v>
      </c>
      <c r="L377" s="58">
        <v>1795</v>
      </c>
      <c r="M377" s="58">
        <v>303</v>
      </c>
      <c r="N377" s="107"/>
      <c r="O377" s="107"/>
    </row>
    <row r="378" spans="1:15" ht="14" x14ac:dyDescent="0.2">
      <c r="A378" s="58">
        <v>1663</v>
      </c>
      <c r="B378" s="59" t="s">
        <v>197</v>
      </c>
      <c r="C378" s="107" t="s">
        <v>274</v>
      </c>
      <c r="D378" s="61">
        <v>3</v>
      </c>
      <c r="E378" s="58" t="s">
        <v>344</v>
      </c>
      <c r="F378" s="58" t="s">
        <v>343</v>
      </c>
      <c r="G378" s="58">
        <v>14</v>
      </c>
      <c r="H378" s="58">
        <v>8</v>
      </c>
      <c r="I378" s="58">
        <v>0</v>
      </c>
      <c r="J378" s="107">
        <f t="shared" si="5"/>
        <v>4.8</v>
      </c>
      <c r="K378" s="58">
        <v>3998</v>
      </c>
      <c r="L378" s="58">
        <v>1797</v>
      </c>
      <c r="M378" s="58" t="s">
        <v>290</v>
      </c>
      <c r="N378" s="107">
        <f>27.814/111.5</f>
        <v>0.24945291479820628</v>
      </c>
      <c r="O378" s="107">
        <f>J378/N378</f>
        <v>19.24210829078881</v>
      </c>
    </row>
    <row r="379" spans="1:15" ht="14" x14ac:dyDescent="0.2">
      <c r="A379" s="58">
        <v>1665</v>
      </c>
      <c r="B379" s="58" t="s">
        <v>197</v>
      </c>
      <c r="C379" s="107" t="s">
        <v>274</v>
      </c>
      <c r="D379" s="63">
        <v>4.0625</v>
      </c>
      <c r="E379" s="58" t="s">
        <v>188</v>
      </c>
      <c r="F379" s="58" t="s">
        <v>343</v>
      </c>
      <c r="G379" s="58">
        <v>78</v>
      </c>
      <c r="H379" s="58">
        <v>0</v>
      </c>
      <c r="I379" s="58">
        <v>0</v>
      </c>
      <c r="J379" s="107">
        <f t="shared" si="5"/>
        <v>19.2</v>
      </c>
      <c r="K379" s="58">
        <v>4000</v>
      </c>
      <c r="L379" s="58">
        <v>1798</v>
      </c>
      <c r="M379" s="58">
        <v>63</v>
      </c>
      <c r="N379" s="107"/>
      <c r="O379" s="107"/>
    </row>
    <row r="380" spans="1:15" ht="14" x14ac:dyDescent="0.2">
      <c r="A380" s="58">
        <v>1666</v>
      </c>
      <c r="B380" s="58" t="s">
        <v>197</v>
      </c>
      <c r="C380" s="107" t="s">
        <v>274</v>
      </c>
      <c r="D380" s="63">
        <v>3.6875</v>
      </c>
      <c r="E380" s="58" t="s">
        <v>188</v>
      </c>
      <c r="F380" s="58" t="s">
        <v>343</v>
      </c>
      <c r="G380" s="58">
        <v>70</v>
      </c>
      <c r="H380" s="58">
        <v>16</v>
      </c>
      <c r="I380" s="58">
        <v>0</v>
      </c>
      <c r="J380" s="107">
        <f t="shared" si="5"/>
        <v>19.2</v>
      </c>
      <c r="K380" s="58">
        <v>4001</v>
      </c>
      <c r="L380" s="58">
        <v>1800</v>
      </c>
      <c r="M380" s="58">
        <v>38</v>
      </c>
      <c r="N380" s="107"/>
      <c r="O380" s="107"/>
    </row>
    <row r="381" spans="1:15" ht="14" x14ac:dyDescent="0.2">
      <c r="A381" s="58">
        <v>1666</v>
      </c>
      <c r="B381" s="58" t="s">
        <v>196</v>
      </c>
      <c r="C381" s="107" t="s">
        <v>274</v>
      </c>
      <c r="D381" s="61">
        <v>1</v>
      </c>
      <c r="E381" s="58" t="s">
        <v>344</v>
      </c>
      <c r="F381" s="58" t="s">
        <v>343</v>
      </c>
      <c r="G381" s="58">
        <v>4</v>
      </c>
      <c r="H381" s="58">
        <v>16</v>
      </c>
      <c r="I381" s="58">
        <v>0</v>
      </c>
      <c r="J381" s="107">
        <f t="shared" si="5"/>
        <v>4.8</v>
      </c>
      <c r="K381" s="58">
        <v>4001</v>
      </c>
      <c r="L381" s="58">
        <v>1800</v>
      </c>
      <c r="M381" s="58">
        <v>47</v>
      </c>
      <c r="N381" s="107">
        <f>27.814/111.5</f>
        <v>0.24945291479820628</v>
      </c>
      <c r="O381" s="107">
        <f>J381/N381</f>
        <v>19.24210829078881</v>
      </c>
    </row>
    <row r="382" spans="1:15" x14ac:dyDescent="0.15">
      <c r="A382" s="107">
        <v>1686</v>
      </c>
      <c r="B382" s="107" t="s">
        <v>236</v>
      </c>
      <c r="C382" s="107" t="s">
        <v>295</v>
      </c>
      <c r="D382" s="107">
        <v>240</v>
      </c>
      <c r="E382" s="107" t="s">
        <v>193</v>
      </c>
      <c r="F382" s="107" t="s">
        <v>345</v>
      </c>
      <c r="G382" s="107">
        <v>12</v>
      </c>
      <c r="H382" s="107">
        <v>0</v>
      </c>
      <c r="I382" s="107">
        <v>0</v>
      </c>
      <c r="J382" s="107">
        <v>0.05</v>
      </c>
      <c r="K382" s="107">
        <v>4023</v>
      </c>
      <c r="L382" s="107">
        <v>1829</v>
      </c>
      <c r="M382" s="107">
        <v>839</v>
      </c>
      <c r="N382" s="107"/>
      <c r="O382" s="107"/>
    </row>
    <row r="383" spans="1:15" x14ac:dyDescent="0.15">
      <c r="A383" s="107">
        <v>1659</v>
      </c>
      <c r="B383" s="107" t="s">
        <v>197</v>
      </c>
      <c r="C383" s="107" t="s">
        <v>274</v>
      </c>
      <c r="D383" s="107">
        <v>48</v>
      </c>
      <c r="E383" s="107"/>
      <c r="F383" s="107" t="s">
        <v>346</v>
      </c>
      <c r="G383" s="107">
        <v>10</v>
      </c>
      <c r="H383" s="107">
        <v>0</v>
      </c>
      <c r="I383" s="107">
        <v>0</v>
      </c>
      <c r="J383" s="107">
        <v>0.20833333333333334</v>
      </c>
      <c r="K383" s="107">
        <v>3993</v>
      </c>
      <c r="L383" s="107">
        <v>1792</v>
      </c>
      <c r="M383" s="107">
        <v>167</v>
      </c>
      <c r="N383" s="107" t="s">
        <v>317</v>
      </c>
      <c r="O383" s="107"/>
    </row>
    <row r="384" spans="1:15" x14ac:dyDescent="0.15">
      <c r="A384" s="107">
        <v>1655</v>
      </c>
      <c r="B384" s="107" t="s">
        <v>226</v>
      </c>
      <c r="C384" s="107" t="s">
        <v>274</v>
      </c>
      <c r="D384" s="107">
        <v>250</v>
      </c>
      <c r="E384" s="107" t="s">
        <v>193</v>
      </c>
      <c r="F384" s="107" t="s">
        <v>347</v>
      </c>
      <c r="G384" s="107">
        <v>25</v>
      </c>
      <c r="H384" s="107">
        <v>0</v>
      </c>
      <c r="I384" s="107">
        <v>0</v>
      </c>
      <c r="J384" s="107">
        <v>0.1</v>
      </c>
      <c r="K384" s="107">
        <v>3990</v>
      </c>
      <c r="L384" s="107">
        <v>1788</v>
      </c>
      <c r="M384" s="107">
        <v>208</v>
      </c>
      <c r="N384" s="107" t="s">
        <v>276</v>
      </c>
      <c r="O384" s="107" t="s">
        <v>277</v>
      </c>
    </row>
    <row r="385" spans="1:15" x14ac:dyDescent="0.15">
      <c r="A385" s="107">
        <v>1655</v>
      </c>
      <c r="B385" s="107" t="s">
        <v>236</v>
      </c>
      <c r="C385" s="107" t="s">
        <v>274</v>
      </c>
      <c r="D385" s="107">
        <v>50</v>
      </c>
      <c r="E385" s="107"/>
      <c r="F385" s="107" t="s">
        <v>348</v>
      </c>
      <c r="G385" s="107">
        <v>167</v>
      </c>
      <c r="H385" s="107">
        <v>10</v>
      </c>
      <c r="I385" s="107">
        <v>0</v>
      </c>
      <c r="J385" s="107">
        <v>3.35</v>
      </c>
      <c r="K385" s="107">
        <v>3990</v>
      </c>
      <c r="L385" s="107">
        <v>1788</v>
      </c>
      <c r="M385" s="107">
        <v>204</v>
      </c>
      <c r="N385" s="107" t="s">
        <v>349</v>
      </c>
      <c r="O385" s="107"/>
    </row>
    <row r="386" spans="1:15" x14ac:dyDescent="0.15">
      <c r="A386" s="107">
        <v>1655</v>
      </c>
      <c r="B386" s="107" t="s">
        <v>197</v>
      </c>
      <c r="C386" s="107" t="s">
        <v>274</v>
      </c>
      <c r="D386" s="107">
        <v>0.5</v>
      </c>
      <c r="E386" s="107" t="s">
        <v>323</v>
      </c>
      <c r="F386" s="107" t="s">
        <v>350</v>
      </c>
      <c r="G386" s="107">
        <v>60</v>
      </c>
      <c r="H386" s="107">
        <v>0</v>
      </c>
      <c r="I386" s="107">
        <v>0</v>
      </c>
      <c r="J386" s="107">
        <v>120</v>
      </c>
      <c r="K386" s="107">
        <v>3990</v>
      </c>
      <c r="L386" s="107">
        <v>1788</v>
      </c>
      <c r="M386" s="107">
        <v>205</v>
      </c>
      <c r="N386" s="107"/>
      <c r="O386" s="107" t="s">
        <v>277</v>
      </c>
    </row>
    <row r="387" spans="1:15" x14ac:dyDescent="0.15">
      <c r="A387" s="107">
        <v>1655</v>
      </c>
      <c r="B387" s="107" t="s">
        <v>226</v>
      </c>
      <c r="C387" s="107" t="s">
        <v>274</v>
      </c>
      <c r="D387" s="107">
        <v>0.66666700000000001</v>
      </c>
      <c r="E387" s="107" t="s">
        <v>324</v>
      </c>
      <c r="F387" s="107" t="s">
        <v>350</v>
      </c>
      <c r="G387" s="107">
        <v>80</v>
      </c>
      <c r="H387" s="107">
        <v>0</v>
      </c>
      <c r="I387" s="107">
        <v>0</v>
      </c>
      <c r="J387" s="107">
        <v>119.99994000002999</v>
      </c>
      <c r="K387" s="107">
        <v>3990</v>
      </c>
      <c r="L387" s="107">
        <v>1788</v>
      </c>
      <c r="M387" s="107">
        <v>207</v>
      </c>
      <c r="N387" s="107" t="s">
        <v>276</v>
      </c>
      <c r="O387" s="107" t="s">
        <v>277</v>
      </c>
    </row>
    <row r="388" spans="1:15" x14ac:dyDescent="0.15">
      <c r="A388" s="107">
        <v>1655</v>
      </c>
      <c r="B388" s="107" t="s">
        <v>197</v>
      </c>
      <c r="C388" s="107" t="s">
        <v>274</v>
      </c>
      <c r="D388" s="107">
        <v>3</v>
      </c>
      <c r="E388" s="107" t="s">
        <v>324</v>
      </c>
      <c r="F388" s="107" t="s">
        <v>350</v>
      </c>
      <c r="G388" s="107">
        <v>360</v>
      </c>
      <c r="H388" s="107">
        <v>0</v>
      </c>
      <c r="I388" s="107">
        <v>0</v>
      </c>
      <c r="J388" s="107">
        <v>120</v>
      </c>
      <c r="K388" s="107">
        <v>3990</v>
      </c>
      <c r="L388" s="107">
        <v>1788</v>
      </c>
      <c r="M388" s="107">
        <v>149</v>
      </c>
      <c r="N388" s="107"/>
      <c r="O388" s="107"/>
    </row>
    <row r="389" spans="1:15" x14ac:dyDescent="0.15">
      <c r="A389" s="107">
        <v>1656</v>
      </c>
      <c r="B389" s="107" t="s">
        <v>260</v>
      </c>
      <c r="C389" s="107" t="s">
        <v>274</v>
      </c>
      <c r="D389" s="107">
        <v>10</v>
      </c>
      <c r="E389" s="107" t="s">
        <v>193</v>
      </c>
      <c r="F389" s="107" t="s">
        <v>350</v>
      </c>
      <c r="G389" s="107">
        <v>5</v>
      </c>
      <c r="H389" s="107">
        <v>0</v>
      </c>
      <c r="I389" s="107">
        <v>0</v>
      </c>
      <c r="J389" s="107">
        <v>0.5</v>
      </c>
      <c r="K389" s="107">
        <v>3991</v>
      </c>
      <c r="L389" s="107">
        <v>1788</v>
      </c>
      <c r="M389" s="107">
        <v>160</v>
      </c>
      <c r="N389" s="107"/>
      <c r="O389" s="107"/>
    </row>
    <row r="390" spans="1:15" x14ac:dyDescent="0.15">
      <c r="A390" s="107">
        <v>1657</v>
      </c>
      <c r="B390" s="107" t="s">
        <v>197</v>
      </c>
      <c r="C390" s="107" t="s">
        <v>274</v>
      </c>
      <c r="D390" s="107">
        <v>46</v>
      </c>
      <c r="E390" s="107" t="s">
        <v>193</v>
      </c>
      <c r="F390" s="107" t="s">
        <v>350</v>
      </c>
      <c r="G390" s="107">
        <v>23</v>
      </c>
      <c r="H390" s="107">
        <v>0</v>
      </c>
      <c r="I390" s="107">
        <v>0</v>
      </c>
      <c r="J390" s="107">
        <v>0.5</v>
      </c>
      <c r="K390" s="107">
        <v>3992</v>
      </c>
      <c r="L390" s="107">
        <v>1789</v>
      </c>
      <c r="M390" s="107">
        <v>228</v>
      </c>
      <c r="N390" s="107"/>
      <c r="O390" s="107"/>
    </row>
    <row r="391" spans="1:15" x14ac:dyDescent="0.15">
      <c r="A391" s="107">
        <v>1659</v>
      </c>
      <c r="B391" s="107" t="s">
        <v>244</v>
      </c>
      <c r="C391" s="107" t="s">
        <v>274</v>
      </c>
      <c r="D391" s="107">
        <v>4</v>
      </c>
      <c r="E391" s="107" t="s">
        <v>193</v>
      </c>
      <c r="F391" s="107" t="s">
        <v>350</v>
      </c>
      <c r="G391" s="107">
        <v>2</v>
      </c>
      <c r="H391" s="107">
        <v>8</v>
      </c>
      <c r="I391" s="107">
        <v>0</v>
      </c>
      <c r="J391" s="107">
        <v>0.6</v>
      </c>
      <c r="K391" s="107">
        <v>3994</v>
      </c>
      <c r="L391" s="107">
        <v>1792</v>
      </c>
      <c r="M391" s="107">
        <v>180</v>
      </c>
      <c r="N391" s="107"/>
      <c r="O391" s="107"/>
    </row>
    <row r="392" spans="1:15" x14ac:dyDescent="0.15">
      <c r="A392" s="107">
        <v>1661</v>
      </c>
      <c r="B392" s="107" t="s">
        <v>260</v>
      </c>
      <c r="C392" s="107" t="s">
        <v>274</v>
      </c>
      <c r="D392" s="107">
        <v>10</v>
      </c>
      <c r="E392" s="107" t="s">
        <v>193</v>
      </c>
      <c r="F392" s="107" t="s">
        <v>350</v>
      </c>
      <c r="G392" s="107">
        <v>6</v>
      </c>
      <c r="H392" s="107">
        <v>0</v>
      </c>
      <c r="I392" s="107">
        <v>0</v>
      </c>
      <c r="J392" s="107">
        <v>0.6</v>
      </c>
      <c r="K392" s="107">
        <v>3996</v>
      </c>
      <c r="L392" s="107">
        <v>1794</v>
      </c>
      <c r="M392" s="107" t="s">
        <v>290</v>
      </c>
      <c r="N392" s="107"/>
      <c r="O392" s="107"/>
    </row>
    <row r="393" spans="1:15" x14ac:dyDescent="0.15">
      <c r="A393" s="107">
        <v>1662</v>
      </c>
      <c r="B393" s="107" t="s">
        <v>261</v>
      </c>
      <c r="C393" s="107" t="s">
        <v>274</v>
      </c>
      <c r="D393" s="107">
        <v>517</v>
      </c>
      <c r="E393" s="107" t="s">
        <v>193</v>
      </c>
      <c r="F393" s="107" t="s">
        <v>350</v>
      </c>
      <c r="G393" s="107">
        <v>310</v>
      </c>
      <c r="H393" s="107">
        <v>4</v>
      </c>
      <c r="I393" s="107">
        <v>0</v>
      </c>
      <c r="J393" s="107">
        <v>0.6</v>
      </c>
      <c r="K393" s="107">
        <v>3997</v>
      </c>
      <c r="L393" s="107">
        <v>1795</v>
      </c>
      <c r="M393" s="107" t="s">
        <v>290</v>
      </c>
      <c r="N393" s="107"/>
      <c r="O393" s="107"/>
    </row>
    <row r="394" spans="1:15" x14ac:dyDescent="0.15">
      <c r="A394" s="107">
        <v>1663</v>
      </c>
      <c r="B394" s="107" t="s">
        <v>236</v>
      </c>
      <c r="C394" s="107" t="s">
        <v>274</v>
      </c>
      <c r="D394" s="107">
        <v>1984</v>
      </c>
      <c r="E394" s="107" t="s">
        <v>193</v>
      </c>
      <c r="F394" s="107" t="s">
        <v>350</v>
      </c>
      <c r="G394" s="107">
        <v>1039</v>
      </c>
      <c r="H394" s="107">
        <v>14</v>
      </c>
      <c r="I394" s="107">
        <v>0</v>
      </c>
      <c r="J394" s="107">
        <v>0.52404233870967742</v>
      </c>
      <c r="K394" s="107">
        <v>3998</v>
      </c>
      <c r="L394" s="107">
        <v>1797</v>
      </c>
      <c r="M394" s="107" t="s">
        <v>290</v>
      </c>
      <c r="N394" s="107"/>
      <c r="O394" s="107"/>
    </row>
    <row r="395" spans="1:15" x14ac:dyDescent="0.15">
      <c r="A395" s="107">
        <v>1665</v>
      </c>
      <c r="B395" s="107" t="s">
        <v>196</v>
      </c>
      <c r="C395" s="107" t="s">
        <v>274</v>
      </c>
      <c r="D395" s="107">
        <v>7</v>
      </c>
      <c r="E395" s="107" t="s">
        <v>193</v>
      </c>
      <c r="F395" s="107" t="s">
        <v>350</v>
      </c>
      <c r="G395" s="107">
        <v>5</v>
      </c>
      <c r="H395" s="107">
        <v>5</v>
      </c>
      <c r="I395" s="107">
        <v>0</v>
      </c>
      <c r="J395" s="107">
        <v>0.75</v>
      </c>
      <c r="K395" s="107">
        <v>4000</v>
      </c>
      <c r="L395" s="107">
        <v>1798</v>
      </c>
      <c r="M395" s="107">
        <v>72</v>
      </c>
      <c r="N395" s="107"/>
      <c r="O395" s="107"/>
    </row>
    <row r="396" spans="1:15" x14ac:dyDescent="0.15">
      <c r="A396" s="107">
        <v>1666</v>
      </c>
      <c r="B396" s="107" t="s">
        <v>197</v>
      </c>
      <c r="C396" s="107" t="s">
        <v>274</v>
      </c>
      <c r="D396" s="107">
        <v>1.6666666666666665</v>
      </c>
      <c r="E396" s="107" t="s">
        <v>324</v>
      </c>
      <c r="F396" s="107" t="s">
        <v>350</v>
      </c>
      <c r="G396" s="107">
        <v>150</v>
      </c>
      <c r="H396" s="107">
        <v>0</v>
      </c>
      <c r="I396" s="107">
        <v>0</v>
      </c>
      <c r="J396" s="107">
        <v>90.000000000000014</v>
      </c>
      <c r="K396" s="107">
        <v>4001</v>
      </c>
      <c r="L396" s="107">
        <v>1800</v>
      </c>
      <c r="M396" s="107">
        <v>40</v>
      </c>
      <c r="N396" s="107"/>
      <c r="O396" s="107"/>
    </row>
    <row r="397" spans="1:15" x14ac:dyDescent="0.15">
      <c r="A397" s="107">
        <v>1667</v>
      </c>
      <c r="B397" s="107" t="s">
        <v>197</v>
      </c>
      <c r="C397" s="107" t="s">
        <v>274</v>
      </c>
      <c r="D397" s="107">
        <v>0.75</v>
      </c>
      <c r="E397" s="107" t="s">
        <v>324</v>
      </c>
      <c r="F397" s="107" t="s">
        <v>350</v>
      </c>
      <c r="G397" s="107">
        <v>112</v>
      </c>
      <c r="H397" s="107">
        <v>10</v>
      </c>
      <c r="I397" s="107">
        <v>0</v>
      </c>
      <c r="J397" s="107">
        <v>150</v>
      </c>
      <c r="K397" s="107">
        <v>4002</v>
      </c>
      <c r="L397" s="107">
        <v>1802</v>
      </c>
      <c r="M397" s="107">
        <v>760</v>
      </c>
      <c r="N397" s="107"/>
      <c r="O397" s="107"/>
    </row>
    <row r="398" spans="1:15" x14ac:dyDescent="0.15">
      <c r="A398" s="107">
        <v>1668</v>
      </c>
      <c r="B398" s="107" t="s">
        <v>197</v>
      </c>
      <c r="C398" s="107" t="s">
        <v>274</v>
      </c>
      <c r="D398" s="107">
        <v>187</v>
      </c>
      <c r="E398" s="107" t="s">
        <v>193</v>
      </c>
      <c r="F398" s="107" t="s">
        <v>350</v>
      </c>
      <c r="G398" s="107">
        <v>112</v>
      </c>
      <c r="H398" s="107">
        <v>4</v>
      </c>
      <c r="I398" s="107">
        <v>0</v>
      </c>
      <c r="J398" s="107">
        <v>0.6</v>
      </c>
      <c r="K398" s="107">
        <v>4003</v>
      </c>
      <c r="L398" s="107">
        <v>1802</v>
      </c>
      <c r="M398" s="107">
        <v>42</v>
      </c>
      <c r="N398" s="107"/>
      <c r="O398" s="107"/>
    </row>
    <row r="399" spans="1:15" x14ac:dyDescent="0.15">
      <c r="A399" s="107">
        <v>1669</v>
      </c>
      <c r="B399" s="107" t="s">
        <v>196</v>
      </c>
      <c r="C399" s="107" t="s">
        <v>274</v>
      </c>
      <c r="D399" s="107">
        <v>114</v>
      </c>
      <c r="E399" s="107" t="s">
        <v>193</v>
      </c>
      <c r="F399" s="107" t="s">
        <v>350</v>
      </c>
      <c r="G399" s="107">
        <v>85</v>
      </c>
      <c r="H399" s="107">
        <v>10</v>
      </c>
      <c r="I399" s="107">
        <v>0</v>
      </c>
      <c r="J399" s="107">
        <v>0.75</v>
      </c>
      <c r="K399" s="107">
        <v>4004</v>
      </c>
      <c r="L399" s="107">
        <v>1805</v>
      </c>
      <c r="M399" s="107">
        <v>570</v>
      </c>
      <c r="N399" s="107"/>
      <c r="O399" s="107"/>
    </row>
    <row r="400" spans="1:15" x14ac:dyDescent="0.15">
      <c r="A400" s="107">
        <v>1670</v>
      </c>
      <c r="B400" s="107" t="s">
        <v>197</v>
      </c>
      <c r="C400" s="107" t="s">
        <v>274</v>
      </c>
      <c r="D400" s="107">
        <v>160</v>
      </c>
      <c r="E400" s="107" t="s">
        <v>193</v>
      </c>
      <c r="F400" s="107" t="s">
        <v>350</v>
      </c>
      <c r="G400" s="107">
        <v>25</v>
      </c>
      <c r="H400" s="107">
        <v>0</v>
      </c>
      <c r="I400" s="107">
        <v>0</v>
      </c>
      <c r="J400" s="107">
        <v>0.15625</v>
      </c>
      <c r="K400" s="107">
        <v>4006</v>
      </c>
      <c r="L400" s="107">
        <v>1808</v>
      </c>
      <c r="M400" s="107">
        <v>635</v>
      </c>
      <c r="N400" s="107"/>
      <c r="O400" s="107"/>
    </row>
    <row r="401" spans="1:14" x14ac:dyDescent="0.15">
      <c r="A401" s="107">
        <v>1671</v>
      </c>
      <c r="B401" s="107" t="s">
        <v>197</v>
      </c>
      <c r="C401" s="107" t="s">
        <v>274</v>
      </c>
      <c r="D401" s="107">
        <v>3</v>
      </c>
      <c r="E401" s="107" t="s">
        <v>193</v>
      </c>
      <c r="F401" s="107" t="s">
        <v>350</v>
      </c>
      <c r="G401" s="107">
        <v>1</v>
      </c>
      <c r="H401" s="107">
        <v>16</v>
      </c>
      <c r="I401" s="107">
        <v>0</v>
      </c>
      <c r="J401" s="107">
        <v>0.6</v>
      </c>
      <c r="K401" s="107">
        <v>4008</v>
      </c>
      <c r="L401" s="107">
        <v>1810</v>
      </c>
      <c r="M401" s="107">
        <v>412</v>
      </c>
      <c r="N401" s="107"/>
    </row>
    <row r="402" spans="1:14" x14ac:dyDescent="0.15">
      <c r="A402" s="107">
        <v>1672</v>
      </c>
      <c r="B402" s="107" t="s">
        <v>196</v>
      </c>
      <c r="C402" s="107" t="s">
        <v>274</v>
      </c>
      <c r="D402" s="107">
        <v>6</v>
      </c>
      <c r="E402" s="107" t="s">
        <v>324</v>
      </c>
      <c r="F402" s="107" t="s">
        <v>350</v>
      </c>
      <c r="G402" s="107">
        <v>720</v>
      </c>
      <c r="H402" s="107">
        <v>0</v>
      </c>
      <c r="I402" s="107">
        <v>0</v>
      </c>
      <c r="J402" s="107">
        <v>120</v>
      </c>
      <c r="K402" s="107">
        <v>4008</v>
      </c>
      <c r="L402" s="107">
        <v>1810</v>
      </c>
      <c r="M402" s="107">
        <v>511</v>
      </c>
      <c r="N402" s="107"/>
    </row>
    <row r="403" spans="1:14" x14ac:dyDescent="0.15">
      <c r="A403" s="107">
        <v>1672</v>
      </c>
      <c r="B403" s="107" t="s">
        <v>197</v>
      </c>
      <c r="C403" s="107" t="s">
        <v>274</v>
      </c>
      <c r="D403" s="107">
        <v>92</v>
      </c>
      <c r="E403" s="107" t="s">
        <v>193</v>
      </c>
      <c r="F403" s="107" t="s">
        <v>350</v>
      </c>
      <c r="G403" s="107">
        <v>55</v>
      </c>
      <c r="H403" s="107">
        <v>4</v>
      </c>
      <c r="I403" s="107">
        <v>0</v>
      </c>
      <c r="J403" s="107">
        <v>0.6</v>
      </c>
      <c r="K403" s="107">
        <v>4008</v>
      </c>
      <c r="L403" s="107">
        <v>1810</v>
      </c>
      <c r="M403" s="107">
        <v>525</v>
      </c>
      <c r="N403" s="107"/>
    </row>
    <row r="404" spans="1:14" x14ac:dyDescent="0.15">
      <c r="A404" s="107">
        <v>1673</v>
      </c>
      <c r="B404" s="107" t="s">
        <v>197</v>
      </c>
      <c r="C404" s="107" t="s">
        <v>274</v>
      </c>
      <c r="D404" s="107">
        <v>91</v>
      </c>
      <c r="E404" s="107" t="s">
        <v>193</v>
      </c>
      <c r="F404" s="107" t="s">
        <v>350</v>
      </c>
      <c r="G404" s="107">
        <v>34</v>
      </c>
      <c r="H404" s="107">
        <v>2</v>
      </c>
      <c r="I404" s="107">
        <v>8</v>
      </c>
      <c r="J404" s="107">
        <v>0.375</v>
      </c>
      <c r="K404" s="107">
        <v>4010</v>
      </c>
      <c r="L404" s="107">
        <v>1812</v>
      </c>
      <c r="M404" s="107">
        <v>548</v>
      </c>
      <c r="N404" s="107"/>
    </row>
    <row r="405" spans="1:14" x14ac:dyDescent="0.15">
      <c r="A405" s="107">
        <v>1674</v>
      </c>
      <c r="B405" s="107" t="s">
        <v>197</v>
      </c>
      <c r="C405" s="107" t="s">
        <v>274</v>
      </c>
      <c r="D405" s="107">
        <v>1</v>
      </c>
      <c r="E405" s="107" t="s">
        <v>193</v>
      </c>
      <c r="F405" s="107" t="s">
        <v>350</v>
      </c>
      <c r="G405" s="107">
        <v>0</v>
      </c>
      <c r="H405" s="107">
        <v>7</v>
      </c>
      <c r="I405" s="107">
        <v>8</v>
      </c>
      <c r="J405" s="107">
        <v>0.375</v>
      </c>
      <c r="K405" s="107">
        <v>4011</v>
      </c>
      <c r="L405" s="107">
        <v>1814</v>
      </c>
      <c r="M405" s="107">
        <v>595</v>
      </c>
      <c r="N405" s="107" t="s">
        <v>294</v>
      </c>
    </row>
    <row r="406" spans="1:14" x14ac:dyDescent="0.15">
      <c r="A406" s="107">
        <v>1676</v>
      </c>
      <c r="B406" s="107" t="s">
        <v>197</v>
      </c>
      <c r="C406" s="107" t="s">
        <v>274</v>
      </c>
      <c r="D406" s="107">
        <v>200</v>
      </c>
      <c r="E406" s="107" t="s">
        <v>193</v>
      </c>
      <c r="F406" s="107" t="s">
        <v>350</v>
      </c>
      <c r="G406" s="107">
        <v>75</v>
      </c>
      <c r="H406" s="107">
        <v>0</v>
      </c>
      <c r="I406" s="107">
        <v>0</v>
      </c>
      <c r="J406" s="107">
        <v>0.375</v>
      </c>
      <c r="K406" s="107">
        <v>4012</v>
      </c>
      <c r="L406" s="107">
        <v>1814</v>
      </c>
      <c r="M406" s="107">
        <v>430</v>
      </c>
      <c r="N406" s="107"/>
    </row>
    <row r="407" spans="1:14" x14ac:dyDescent="0.15">
      <c r="A407" s="107">
        <v>1677</v>
      </c>
      <c r="B407" s="107" t="s">
        <v>197</v>
      </c>
      <c r="C407" s="107" t="s">
        <v>274</v>
      </c>
      <c r="D407" s="107">
        <v>30</v>
      </c>
      <c r="E407" s="107" t="s">
        <v>193</v>
      </c>
      <c r="F407" s="107" t="s">
        <v>350</v>
      </c>
      <c r="G407" s="107">
        <v>11</v>
      </c>
      <c r="H407" s="107">
        <v>5</v>
      </c>
      <c r="I407" s="107">
        <v>0</v>
      </c>
      <c r="J407" s="107">
        <v>0.375</v>
      </c>
      <c r="K407" s="107">
        <v>4013</v>
      </c>
      <c r="L407" s="107">
        <v>1816</v>
      </c>
      <c r="M407" s="107">
        <v>742</v>
      </c>
      <c r="N407" s="107"/>
    </row>
    <row r="408" spans="1:14" x14ac:dyDescent="0.15">
      <c r="A408" s="107">
        <v>1681</v>
      </c>
      <c r="B408" s="107" t="s">
        <v>197</v>
      </c>
      <c r="C408" s="107" t="s">
        <v>271</v>
      </c>
      <c r="D408" s="107">
        <v>40</v>
      </c>
      <c r="E408" s="107" t="s">
        <v>193</v>
      </c>
      <c r="F408" s="107" t="s">
        <v>350</v>
      </c>
      <c r="G408" s="107">
        <v>14</v>
      </c>
      <c r="H408" s="107">
        <v>0</v>
      </c>
      <c r="I408" s="107">
        <v>0</v>
      </c>
      <c r="J408" s="107">
        <v>0.35</v>
      </c>
      <c r="K408" s="107">
        <v>4017</v>
      </c>
      <c r="L408" s="107">
        <v>1819</v>
      </c>
      <c r="M408" s="107">
        <v>427</v>
      </c>
      <c r="N408" s="107"/>
    </row>
    <row r="409" spans="1:14" x14ac:dyDescent="0.15">
      <c r="A409" s="107">
        <v>1682</v>
      </c>
      <c r="B409" s="107" t="s">
        <v>200</v>
      </c>
      <c r="C409" s="107" t="s">
        <v>271</v>
      </c>
      <c r="D409" s="107">
        <v>45</v>
      </c>
      <c r="E409" s="107" t="s">
        <v>193</v>
      </c>
      <c r="F409" s="107" t="s">
        <v>350</v>
      </c>
      <c r="G409" s="107">
        <v>15</v>
      </c>
      <c r="H409" s="107">
        <v>15</v>
      </c>
      <c r="I409" s="107">
        <v>0</v>
      </c>
      <c r="J409" s="107">
        <v>0.35</v>
      </c>
      <c r="K409" s="107">
        <v>4018</v>
      </c>
      <c r="L409" s="107">
        <v>1820</v>
      </c>
      <c r="M409" s="107">
        <v>821</v>
      </c>
      <c r="N409" s="107" t="s">
        <v>273</v>
      </c>
    </row>
    <row r="410" spans="1:14" x14ac:dyDescent="0.15">
      <c r="A410" s="107">
        <v>1683</v>
      </c>
      <c r="B410" s="107" t="s">
        <v>196</v>
      </c>
      <c r="C410" s="107" t="s">
        <v>271</v>
      </c>
      <c r="D410" s="107">
        <v>60</v>
      </c>
      <c r="E410" s="107" t="s">
        <v>193</v>
      </c>
      <c r="F410" s="107" t="s">
        <v>350</v>
      </c>
      <c r="G410" s="107">
        <v>21</v>
      </c>
      <c r="H410" s="107">
        <v>0</v>
      </c>
      <c r="I410" s="107">
        <v>0</v>
      </c>
      <c r="J410" s="107">
        <v>0.35</v>
      </c>
      <c r="K410" s="107">
        <v>4019</v>
      </c>
      <c r="L410" s="107">
        <v>1822</v>
      </c>
      <c r="M410" s="107">
        <v>600</v>
      </c>
      <c r="N410" s="107"/>
    </row>
    <row r="411" spans="1:14" x14ac:dyDescent="0.15">
      <c r="A411" s="107">
        <v>1684</v>
      </c>
      <c r="B411" s="107" t="s">
        <v>197</v>
      </c>
      <c r="C411" s="107" t="s">
        <v>271</v>
      </c>
      <c r="D411" s="107">
        <v>40</v>
      </c>
      <c r="E411" s="107" t="s">
        <v>193</v>
      </c>
      <c r="F411" s="107" t="s">
        <v>350</v>
      </c>
      <c r="G411" s="107">
        <v>14</v>
      </c>
      <c r="H411" s="107">
        <v>0</v>
      </c>
      <c r="I411" s="107">
        <v>0</v>
      </c>
      <c r="J411" s="107">
        <v>0.35</v>
      </c>
      <c r="K411" s="107">
        <v>4021</v>
      </c>
      <c r="L411" s="107">
        <v>1825</v>
      </c>
      <c r="M411" s="107">
        <v>668</v>
      </c>
      <c r="N411" s="107"/>
    </row>
    <row r="412" spans="1:14" x14ac:dyDescent="0.15">
      <c r="A412" s="107">
        <v>1685</v>
      </c>
      <c r="B412" s="107" t="s">
        <v>197</v>
      </c>
      <c r="C412" s="107" t="s">
        <v>271</v>
      </c>
      <c r="D412" s="107">
        <v>1</v>
      </c>
      <c r="E412" s="107" t="s">
        <v>324</v>
      </c>
      <c r="F412" s="107" t="s">
        <v>350</v>
      </c>
      <c r="G412" s="107">
        <v>180</v>
      </c>
      <c r="H412" s="107">
        <v>0</v>
      </c>
      <c r="I412" s="107">
        <v>0</v>
      </c>
      <c r="J412" s="107">
        <v>180</v>
      </c>
      <c r="K412" s="107">
        <v>4022</v>
      </c>
      <c r="L412" s="107">
        <v>1827</v>
      </c>
      <c r="M412" s="107">
        <v>609</v>
      </c>
      <c r="N412" s="107"/>
    </row>
    <row r="413" spans="1:14" x14ac:dyDescent="0.15">
      <c r="A413" s="107">
        <v>1685</v>
      </c>
      <c r="B413" s="107" t="s">
        <v>197</v>
      </c>
      <c r="C413" s="107" t="s">
        <v>271</v>
      </c>
      <c r="D413" s="107">
        <v>120</v>
      </c>
      <c r="E413" s="107" t="s">
        <v>193</v>
      </c>
      <c r="F413" s="107" t="s">
        <v>350</v>
      </c>
      <c r="G413" s="107">
        <v>72</v>
      </c>
      <c r="H413" s="107">
        <v>0</v>
      </c>
      <c r="I413" s="107">
        <v>0</v>
      </c>
      <c r="J413" s="107">
        <v>0.6</v>
      </c>
      <c r="K413" s="107">
        <v>4022</v>
      </c>
      <c r="L413" s="107">
        <v>1827</v>
      </c>
      <c r="M413" s="107">
        <v>609</v>
      </c>
      <c r="N413" s="107"/>
    </row>
    <row r="414" spans="1:14" x14ac:dyDescent="0.15">
      <c r="A414" s="107">
        <v>1685</v>
      </c>
      <c r="B414" s="107" t="s">
        <v>196</v>
      </c>
      <c r="C414" s="107" t="s">
        <v>271</v>
      </c>
      <c r="D414" s="107">
        <v>340</v>
      </c>
      <c r="E414" s="107" t="s">
        <v>193</v>
      </c>
      <c r="F414" s="107" t="s">
        <v>350</v>
      </c>
      <c r="G414" s="107">
        <v>153</v>
      </c>
      <c r="H414" s="107">
        <v>0</v>
      </c>
      <c r="I414" s="107">
        <v>0</v>
      </c>
      <c r="J414" s="107">
        <v>0.45</v>
      </c>
      <c r="K414" s="107">
        <v>4022</v>
      </c>
      <c r="L414" s="107">
        <v>1827</v>
      </c>
      <c r="M414" s="107">
        <v>600</v>
      </c>
      <c r="N414" s="107"/>
    </row>
    <row r="415" spans="1:14" x14ac:dyDescent="0.15">
      <c r="A415" s="107">
        <v>1686</v>
      </c>
      <c r="B415" s="107" t="s">
        <v>247</v>
      </c>
      <c r="C415" s="107" t="s">
        <v>295</v>
      </c>
      <c r="D415" s="107">
        <v>68</v>
      </c>
      <c r="E415" s="107" t="s">
        <v>193</v>
      </c>
      <c r="F415" s="107" t="s">
        <v>350</v>
      </c>
      <c r="G415" s="107">
        <v>20</v>
      </c>
      <c r="H415" s="107">
        <v>8</v>
      </c>
      <c r="I415" s="107">
        <v>0</v>
      </c>
      <c r="J415" s="107">
        <v>0.3</v>
      </c>
      <c r="K415" s="107">
        <v>4023</v>
      </c>
      <c r="L415" s="107">
        <v>1829</v>
      </c>
      <c r="M415" s="107">
        <v>830</v>
      </c>
      <c r="N415" s="107"/>
    </row>
    <row r="416" spans="1:14" x14ac:dyDescent="0.15">
      <c r="A416" s="107">
        <v>1688</v>
      </c>
      <c r="B416" s="107" t="s">
        <v>260</v>
      </c>
      <c r="C416" s="107" t="s">
        <v>271</v>
      </c>
      <c r="D416" s="107">
        <v>1</v>
      </c>
      <c r="E416" s="107" t="s">
        <v>193</v>
      </c>
      <c r="F416" s="107" t="s">
        <v>350</v>
      </c>
      <c r="G416" s="107">
        <v>0</v>
      </c>
      <c r="H416" s="107">
        <v>8</v>
      </c>
      <c r="I416" s="107">
        <v>0</v>
      </c>
      <c r="J416" s="107">
        <v>0.4</v>
      </c>
      <c r="K416" s="107">
        <v>4025</v>
      </c>
      <c r="L416" s="107">
        <v>1831</v>
      </c>
      <c r="M416" s="107">
        <v>579</v>
      </c>
      <c r="N416" s="107"/>
    </row>
    <row r="417" spans="1:14" x14ac:dyDescent="0.15">
      <c r="A417" s="107">
        <v>1689</v>
      </c>
      <c r="B417" s="107" t="s">
        <v>197</v>
      </c>
      <c r="C417" s="107" t="s">
        <v>271</v>
      </c>
      <c r="D417" s="107">
        <v>8</v>
      </c>
      <c r="E417" s="107" t="s">
        <v>193</v>
      </c>
      <c r="F417" s="107" t="s">
        <v>350</v>
      </c>
      <c r="G417" s="107">
        <v>2</v>
      </c>
      <c r="H417" s="107">
        <v>16</v>
      </c>
      <c r="I417" s="107">
        <v>0</v>
      </c>
      <c r="J417" s="107">
        <v>0.35</v>
      </c>
      <c r="K417" s="107">
        <v>4027</v>
      </c>
      <c r="L417" s="107">
        <v>1832</v>
      </c>
      <c r="M417" s="107">
        <v>482</v>
      </c>
      <c r="N417" s="107"/>
    </row>
    <row r="418" spans="1:14" x14ac:dyDescent="0.15">
      <c r="A418" s="107">
        <v>1690</v>
      </c>
      <c r="B418" s="107" t="s">
        <v>200</v>
      </c>
      <c r="C418" s="107" t="s">
        <v>271</v>
      </c>
      <c r="D418" s="107">
        <v>1.5</v>
      </c>
      <c r="E418" s="107" t="s">
        <v>324</v>
      </c>
      <c r="F418" s="107" t="s">
        <v>350</v>
      </c>
      <c r="G418" s="107">
        <v>180</v>
      </c>
      <c r="H418" s="107">
        <v>0</v>
      </c>
      <c r="I418" s="107">
        <v>0</v>
      </c>
      <c r="J418" s="107">
        <v>120</v>
      </c>
      <c r="K418" s="107">
        <v>4028</v>
      </c>
      <c r="L418" s="107">
        <v>1834</v>
      </c>
      <c r="M418" s="107">
        <v>400</v>
      </c>
      <c r="N418" s="107"/>
    </row>
    <row r="419" spans="1:14" x14ac:dyDescent="0.15">
      <c r="A419" s="107">
        <v>1691</v>
      </c>
      <c r="B419" s="107" t="s">
        <v>244</v>
      </c>
      <c r="C419" s="107" t="s">
        <v>271</v>
      </c>
      <c r="D419" s="107">
        <v>3</v>
      </c>
      <c r="E419" s="107" t="s">
        <v>324</v>
      </c>
      <c r="F419" s="107" t="s">
        <v>350</v>
      </c>
      <c r="G419" s="107">
        <v>360</v>
      </c>
      <c r="H419" s="107">
        <v>0</v>
      </c>
      <c r="I419" s="107">
        <v>0</v>
      </c>
      <c r="J419" s="107">
        <v>120</v>
      </c>
      <c r="K419" s="107">
        <v>4028</v>
      </c>
      <c r="L419" s="107">
        <v>1834</v>
      </c>
      <c r="M419" s="107">
        <v>383</v>
      </c>
      <c r="N419" s="107"/>
    </row>
    <row r="420" spans="1:14" x14ac:dyDescent="0.15">
      <c r="A420" s="107">
        <v>1693</v>
      </c>
      <c r="B420" s="107" t="s">
        <v>253</v>
      </c>
      <c r="C420" s="107" t="s">
        <v>271</v>
      </c>
      <c r="D420" s="107">
        <v>100</v>
      </c>
      <c r="E420" s="107" t="s">
        <v>193</v>
      </c>
      <c r="F420" s="107" t="s">
        <v>350</v>
      </c>
      <c r="G420" s="107">
        <v>50</v>
      </c>
      <c r="H420" s="107">
        <v>0</v>
      </c>
      <c r="I420" s="107">
        <v>0</v>
      </c>
      <c r="J420" s="107">
        <v>0.5</v>
      </c>
      <c r="K420" s="107">
        <v>4030</v>
      </c>
      <c r="L420" s="107">
        <v>1836</v>
      </c>
      <c r="M420" s="107">
        <v>236</v>
      </c>
      <c r="N420" s="107"/>
    </row>
    <row r="421" spans="1:14" x14ac:dyDescent="0.15">
      <c r="A421" s="107">
        <v>1694</v>
      </c>
      <c r="B421" s="107" t="s">
        <v>261</v>
      </c>
      <c r="C421" s="107" t="s">
        <v>271</v>
      </c>
      <c r="D421" s="107">
        <v>150</v>
      </c>
      <c r="E421" s="107" t="s">
        <v>193</v>
      </c>
      <c r="F421" s="107" t="s">
        <v>350</v>
      </c>
      <c r="G421" s="107">
        <v>75</v>
      </c>
      <c r="H421" s="107">
        <v>0</v>
      </c>
      <c r="I421" s="107">
        <v>0</v>
      </c>
      <c r="J421" s="107">
        <v>0.5</v>
      </c>
      <c r="K421" s="107">
        <v>4032</v>
      </c>
      <c r="L421" s="107">
        <v>1839</v>
      </c>
      <c r="M421" s="107">
        <v>254</v>
      </c>
      <c r="N421" s="107"/>
    </row>
    <row r="422" spans="1:14" x14ac:dyDescent="0.15">
      <c r="A422" s="107">
        <v>1696</v>
      </c>
      <c r="B422" s="107" t="s">
        <v>226</v>
      </c>
      <c r="C422" s="107" t="s">
        <v>271</v>
      </c>
      <c r="D422" s="107">
        <v>1</v>
      </c>
      <c r="E422" s="107" t="s">
        <v>351</v>
      </c>
      <c r="F422" s="107" t="s">
        <v>350</v>
      </c>
      <c r="G422" s="107">
        <v>160</v>
      </c>
      <c r="H422" s="107">
        <v>0</v>
      </c>
      <c r="I422" s="107">
        <v>0</v>
      </c>
      <c r="J422" s="107">
        <v>160</v>
      </c>
      <c r="K422" s="107">
        <v>4037</v>
      </c>
      <c r="L422" s="107">
        <v>1844</v>
      </c>
      <c r="M422" s="107">
        <v>1379</v>
      </c>
      <c r="N422" s="107"/>
    </row>
    <row r="423" spans="1:14" x14ac:dyDescent="0.15">
      <c r="A423" s="107">
        <v>1697</v>
      </c>
      <c r="B423" s="107" t="s">
        <v>197</v>
      </c>
      <c r="C423" s="107" t="s">
        <v>271</v>
      </c>
      <c r="D423" s="107">
        <v>4</v>
      </c>
      <c r="E423" s="107" t="s">
        <v>193</v>
      </c>
      <c r="F423" s="107" t="s">
        <v>350</v>
      </c>
      <c r="G423" s="107">
        <v>2</v>
      </c>
      <c r="H423" s="107">
        <v>0</v>
      </c>
      <c r="I423" s="107">
        <v>0</v>
      </c>
      <c r="J423" s="107">
        <v>0.5</v>
      </c>
      <c r="K423" s="107">
        <v>4038</v>
      </c>
      <c r="L423" s="107">
        <v>1846</v>
      </c>
      <c r="M423" s="107">
        <v>713</v>
      </c>
      <c r="N423" s="107" t="s">
        <v>294</v>
      </c>
    </row>
    <row r="424" spans="1:14" x14ac:dyDescent="0.15">
      <c r="A424" s="107">
        <v>1698</v>
      </c>
      <c r="B424" s="107" t="s">
        <v>200</v>
      </c>
      <c r="C424" s="107" t="s">
        <v>271</v>
      </c>
      <c r="D424" s="107">
        <v>60</v>
      </c>
      <c r="E424" s="107" t="s">
        <v>193</v>
      </c>
      <c r="F424" s="107" t="s">
        <v>350</v>
      </c>
      <c r="G424" s="107">
        <v>33</v>
      </c>
      <c r="H424" s="107">
        <v>0</v>
      </c>
      <c r="I424" s="107">
        <v>0</v>
      </c>
      <c r="J424" s="107">
        <v>0.55000000000000004</v>
      </c>
      <c r="K424" s="107">
        <v>4043</v>
      </c>
      <c r="L424" s="107">
        <v>1851</v>
      </c>
      <c r="M424" s="107">
        <v>829</v>
      </c>
      <c r="N424" s="107"/>
    </row>
    <row r="425" spans="1:14" x14ac:dyDescent="0.15">
      <c r="A425" s="107">
        <v>1699</v>
      </c>
      <c r="B425" s="107" t="s">
        <v>197</v>
      </c>
      <c r="C425" s="107" t="s">
        <v>271</v>
      </c>
      <c r="D425" s="107">
        <v>4</v>
      </c>
      <c r="E425" s="107" t="s">
        <v>193</v>
      </c>
      <c r="F425" s="107" t="s">
        <v>350</v>
      </c>
      <c r="G425" s="107">
        <v>2</v>
      </c>
      <c r="H425" s="107">
        <v>4</v>
      </c>
      <c r="I425" s="107">
        <v>0</v>
      </c>
      <c r="J425" s="107">
        <v>0.55000000000000004</v>
      </c>
      <c r="K425" s="107">
        <v>4043</v>
      </c>
      <c r="L425" s="107">
        <v>1851</v>
      </c>
      <c r="M425" s="107">
        <v>850</v>
      </c>
      <c r="N425" s="107"/>
    </row>
    <row r="426" spans="1:14" x14ac:dyDescent="0.15">
      <c r="A426" s="107">
        <v>1700</v>
      </c>
      <c r="B426" s="107" t="s">
        <v>236</v>
      </c>
      <c r="C426" s="107" t="s">
        <v>271</v>
      </c>
      <c r="D426" s="107">
        <v>60</v>
      </c>
      <c r="E426" s="107" t="s">
        <v>193</v>
      </c>
      <c r="F426" s="107" t="s">
        <v>350</v>
      </c>
      <c r="G426" s="107">
        <v>30</v>
      </c>
      <c r="H426" s="107">
        <v>0</v>
      </c>
      <c r="I426" s="107">
        <v>0</v>
      </c>
      <c r="J426" s="107">
        <v>0.5</v>
      </c>
      <c r="K426" s="107">
        <v>4047</v>
      </c>
      <c r="L426" s="107">
        <v>1855</v>
      </c>
      <c r="M426" s="107">
        <v>547</v>
      </c>
      <c r="N426" s="107" t="s">
        <v>294</v>
      </c>
    </row>
    <row r="427" spans="1:14" x14ac:dyDescent="0.15">
      <c r="A427" s="107">
        <v>1702</v>
      </c>
      <c r="B427" s="107" t="s">
        <v>226</v>
      </c>
      <c r="C427" s="107" t="s">
        <v>271</v>
      </c>
      <c r="D427" s="107">
        <v>1442</v>
      </c>
      <c r="E427" s="107" t="s">
        <v>193</v>
      </c>
      <c r="F427" s="107" t="s">
        <v>350</v>
      </c>
      <c r="G427" s="107">
        <v>576</v>
      </c>
      <c r="H427" s="107">
        <v>16</v>
      </c>
      <c r="I427" s="107">
        <v>0</v>
      </c>
      <c r="J427" s="107">
        <v>0.39999999999999997</v>
      </c>
      <c r="K427" s="107">
        <v>4049</v>
      </c>
      <c r="L427" s="107">
        <v>1856</v>
      </c>
      <c r="M427" s="107">
        <v>503</v>
      </c>
      <c r="N427" s="107"/>
    </row>
    <row r="428" spans="1:14" x14ac:dyDescent="0.15">
      <c r="A428" s="107">
        <v>1703</v>
      </c>
      <c r="B428" s="107" t="s">
        <v>226</v>
      </c>
      <c r="C428" s="107" t="s">
        <v>271</v>
      </c>
      <c r="D428" s="107">
        <v>830</v>
      </c>
      <c r="E428" s="107" t="s">
        <v>193</v>
      </c>
      <c r="F428" s="107" t="s">
        <v>350</v>
      </c>
      <c r="G428" s="107">
        <v>290</v>
      </c>
      <c r="H428" s="107">
        <v>10</v>
      </c>
      <c r="I428" s="107">
        <v>0</v>
      </c>
      <c r="J428" s="107">
        <v>0.35</v>
      </c>
      <c r="K428" s="107">
        <v>4050</v>
      </c>
      <c r="L428" s="107">
        <v>1858</v>
      </c>
      <c r="M428" s="107">
        <v>539</v>
      </c>
      <c r="N428" s="107"/>
    </row>
    <row r="429" spans="1:14" x14ac:dyDescent="0.15">
      <c r="A429" s="107">
        <v>1717</v>
      </c>
      <c r="B429" s="107" t="s">
        <v>192</v>
      </c>
      <c r="C429" s="107" t="s">
        <v>268</v>
      </c>
      <c r="D429" s="25">
        <v>320</v>
      </c>
      <c r="E429" s="107" t="s">
        <v>193</v>
      </c>
      <c r="F429" s="107" t="s">
        <v>350</v>
      </c>
      <c r="G429" s="107">
        <v>137</v>
      </c>
      <c r="H429" s="107">
        <v>0</v>
      </c>
      <c r="I429" s="107">
        <v>0</v>
      </c>
      <c r="J429" s="107">
        <f t="shared" ref="J429:J449" si="6">(G429+H429/20+I429/320)/D429</f>
        <v>0.42812499999999998</v>
      </c>
      <c r="K429" s="107">
        <v>5683</v>
      </c>
      <c r="L429" s="107"/>
      <c r="M429" s="107"/>
      <c r="N429" s="107"/>
    </row>
    <row r="430" spans="1:14" x14ac:dyDescent="0.15">
      <c r="A430" s="107">
        <v>1741</v>
      </c>
      <c r="B430" s="107" t="s">
        <v>196</v>
      </c>
      <c r="C430" s="107" t="s">
        <v>268</v>
      </c>
      <c r="D430" s="25">
        <v>320</v>
      </c>
      <c r="E430" s="107" t="s">
        <v>193</v>
      </c>
      <c r="F430" s="107" t="s">
        <v>350</v>
      </c>
      <c r="G430" s="107">
        <v>106</v>
      </c>
      <c r="H430" s="107">
        <v>0</v>
      </c>
      <c r="I430" s="107">
        <v>0</v>
      </c>
      <c r="J430" s="107">
        <f t="shared" si="6"/>
        <v>0.33124999999999999</v>
      </c>
      <c r="K430" s="107">
        <v>6115</v>
      </c>
      <c r="L430" s="107"/>
      <c r="M430" s="107"/>
      <c r="N430" s="107"/>
    </row>
    <row r="431" spans="1:14" x14ac:dyDescent="0.15">
      <c r="A431" s="107">
        <v>1748</v>
      </c>
      <c r="B431" s="107" t="s">
        <v>260</v>
      </c>
      <c r="C431" s="107" t="s">
        <v>268</v>
      </c>
      <c r="D431" s="25">
        <v>320</v>
      </c>
      <c r="E431" s="107" t="s">
        <v>193</v>
      </c>
      <c r="F431" s="107" t="s">
        <v>350</v>
      </c>
      <c r="G431" s="107">
        <v>111</v>
      </c>
      <c r="H431" s="27">
        <v>0</v>
      </c>
      <c r="I431" s="107">
        <v>0</v>
      </c>
      <c r="J431" s="107">
        <f t="shared" si="6"/>
        <v>0.34687499999999999</v>
      </c>
      <c r="K431" s="107">
        <v>6218</v>
      </c>
      <c r="L431" s="107"/>
      <c r="M431" s="107"/>
      <c r="N431" s="107"/>
    </row>
    <row r="432" spans="1:14" x14ac:dyDescent="0.15">
      <c r="A432" s="107">
        <v>1783</v>
      </c>
      <c r="B432" s="107" t="s">
        <v>261</v>
      </c>
      <c r="C432" s="107" t="s">
        <v>268</v>
      </c>
      <c r="D432" s="25">
        <v>1204</v>
      </c>
      <c r="E432" s="107" t="s">
        <v>193</v>
      </c>
      <c r="F432" s="107" t="s">
        <v>350</v>
      </c>
      <c r="G432" s="107">
        <v>621</v>
      </c>
      <c r="H432" s="107">
        <v>9</v>
      </c>
      <c r="I432" s="107">
        <v>8</v>
      </c>
      <c r="J432" s="107">
        <f t="shared" si="6"/>
        <v>0.51617524916943525</v>
      </c>
      <c r="K432" s="107">
        <v>6701</v>
      </c>
      <c r="L432" s="107"/>
      <c r="M432" s="107"/>
      <c r="N432" s="107"/>
    </row>
    <row r="433" spans="1:14" x14ac:dyDescent="0.15">
      <c r="A433" s="107">
        <v>1708</v>
      </c>
      <c r="B433" s="107" t="s">
        <v>253</v>
      </c>
      <c r="C433" s="107" t="s">
        <v>268</v>
      </c>
      <c r="D433" s="25">
        <v>703</v>
      </c>
      <c r="E433" s="107" t="s">
        <v>193</v>
      </c>
      <c r="F433" s="107" t="s">
        <v>209</v>
      </c>
      <c r="G433" s="107">
        <v>237</v>
      </c>
      <c r="H433" s="107">
        <v>5</v>
      </c>
      <c r="I433" s="107">
        <v>0</v>
      </c>
      <c r="J433" s="107">
        <f t="shared" si="6"/>
        <v>0.33748221906116643</v>
      </c>
      <c r="K433" s="107">
        <v>5571</v>
      </c>
      <c r="L433" s="107"/>
      <c r="M433" s="107"/>
      <c r="N433" s="107"/>
    </row>
    <row r="434" spans="1:14" x14ac:dyDescent="0.15">
      <c r="A434" s="107">
        <v>1716</v>
      </c>
      <c r="B434" s="107" t="s">
        <v>197</v>
      </c>
      <c r="C434" s="107" t="s">
        <v>268</v>
      </c>
      <c r="D434" s="25">
        <v>225</v>
      </c>
      <c r="E434" s="107" t="s">
        <v>193</v>
      </c>
      <c r="F434" s="107" t="s">
        <v>209</v>
      </c>
      <c r="G434" s="107">
        <v>92</v>
      </c>
      <c r="H434" s="107">
        <v>12</v>
      </c>
      <c r="I434" s="107">
        <v>8</v>
      </c>
      <c r="J434" s="107">
        <f t="shared" si="6"/>
        <v>0.41166666666666668</v>
      </c>
      <c r="K434" s="107">
        <v>5670</v>
      </c>
      <c r="L434" s="107"/>
      <c r="M434" s="107"/>
      <c r="N434" s="107"/>
    </row>
    <row r="435" spans="1:14" x14ac:dyDescent="0.15">
      <c r="A435" s="107">
        <v>1720</v>
      </c>
      <c r="B435" s="107" t="s">
        <v>253</v>
      </c>
      <c r="C435" s="107" t="s">
        <v>268</v>
      </c>
      <c r="D435" s="25">
        <v>1120</v>
      </c>
      <c r="E435" s="107" t="s">
        <v>193</v>
      </c>
      <c r="F435" s="107" t="s">
        <v>209</v>
      </c>
      <c r="G435" s="107">
        <v>476</v>
      </c>
      <c r="H435" s="107">
        <v>17</v>
      </c>
      <c r="I435" s="107">
        <v>0</v>
      </c>
      <c r="J435" s="107">
        <f t="shared" si="6"/>
        <v>0.42575892857142861</v>
      </c>
      <c r="K435" s="107">
        <v>5731</v>
      </c>
      <c r="L435" s="107"/>
      <c r="M435" s="107"/>
      <c r="N435" s="107" t="s">
        <v>352</v>
      </c>
    </row>
    <row r="436" spans="1:14" x14ac:dyDescent="0.15">
      <c r="A436" s="107">
        <v>1760</v>
      </c>
      <c r="B436" s="107" t="s">
        <v>244</v>
      </c>
      <c r="C436" s="107" t="s">
        <v>268</v>
      </c>
      <c r="D436" s="25">
        <v>48</v>
      </c>
      <c r="E436" s="107" t="s">
        <v>193</v>
      </c>
      <c r="F436" s="107" t="s">
        <v>209</v>
      </c>
      <c r="G436" s="107">
        <v>19</v>
      </c>
      <c r="H436" s="107">
        <v>4</v>
      </c>
      <c r="I436" s="107">
        <v>0</v>
      </c>
      <c r="J436" s="107">
        <f t="shared" si="6"/>
        <v>0.39999999999999997</v>
      </c>
      <c r="K436" s="107">
        <v>6374</v>
      </c>
      <c r="L436" s="107"/>
      <c r="M436" s="107"/>
      <c r="N436" s="107"/>
    </row>
    <row r="437" spans="1:14" x14ac:dyDescent="0.15">
      <c r="A437" s="107">
        <v>1761</v>
      </c>
      <c r="B437" s="107" t="s">
        <v>261</v>
      </c>
      <c r="C437" s="107" t="s">
        <v>268</v>
      </c>
      <c r="D437" s="25">
        <v>540</v>
      </c>
      <c r="E437" s="107" t="s">
        <v>193</v>
      </c>
      <c r="F437" s="107" t="s">
        <v>209</v>
      </c>
      <c r="G437" s="107">
        <v>326</v>
      </c>
      <c r="H437" s="107">
        <v>8</v>
      </c>
      <c r="I437" s="107">
        <v>0</v>
      </c>
      <c r="J437" s="107">
        <f t="shared" si="6"/>
        <v>0.60444444444444445</v>
      </c>
      <c r="K437" s="107">
        <v>6387</v>
      </c>
      <c r="L437" s="107"/>
      <c r="M437" s="107"/>
      <c r="N437" s="107" t="s">
        <v>353</v>
      </c>
    </row>
    <row r="438" spans="1:14" x14ac:dyDescent="0.15">
      <c r="A438" s="107">
        <v>1762</v>
      </c>
      <c r="B438" s="107" t="s">
        <v>261</v>
      </c>
      <c r="C438" s="107" t="s">
        <v>268</v>
      </c>
      <c r="D438" s="25">
        <v>761</v>
      </c>
      <c r="E438" s="107" t="s">
        <v>193</v>
      </c>
      <c r="F438" s="107" t="s">
        <v>209</v>
      </c>
      <c r="G438" s="107">
        <v>456</v>
      </c>
      <c r="H438" s="107">
        <v>12</v>
      </c>
      <c r="I438" s="107">
        <v>0</v>
      </c>
      <c r="J438" s="107">
        <f t="shared" si="6"/>
        <v>0.6</v>
      </c>
      <c r="K438" s="107">
        <v>6394</v>
      </c>
      <c r="L438" s="107"/>
      <c r="M438" s="107"/>
      <c r="N438" s="107"/>
    </row>
    <row r="439" spans="1:14" x14ac:dyDescent="0.15">
      <c r="A439" s="107">
        <v>1763</v>
      </c>
      <c r="B439" s="107" t="s">
        <v>244</v>
      </c>
      <c r="C439" s="107" t="s">
        <v>268</v>
      </c>
      <c r="D439" s="25">
        <v>678</v>
      </c>
      <c r="E439" s="107" t="s">
        <v>193</v>
      </c>
      <c r="F439" s="107" t="s">
        <v>209</v>
      </c>
      <c r="G439" s="107">
        <v>305</v>
      </c>
      <c r="H439" s="107">
        <v>2</v>
      </c>
      <c r="I439" s="107">
        <v>0</v>
      </c>
      <c r="J439" s="107">
        <f t="shared" si="6"/>
        <v>0.45</v>
      </c>
      <c r="K439" s="107">
        <v>6413</v>
      </c>
      <c r="L439" s="107"/>
      <c r="M439" s="107"/>
      <c r="N439" s="107"/>
    </row>
    <row r="440" spans="1:14" x14ac:dyDescent="0.15">
      <c r="A440" s="107">
        <v>1764</v>
      </c>
      <c r="B440" s="107" t="s">
        <v>244</v>
      </c>
      <c r="C440" s="107" t="s">
        <v>268</v>
      </c>
      <c r="D440" s="25">
        <v>806</v>
      </c>
      <c r="E440" s="107" t="s">
        <v>193</v>
      </c>
      <c r="F440" s="107" t="s">
        <v>209</v>
      </c>
      <c r="G440" s="107">
        <v>322</v>
      </c>
      <c r="H440" s="107">
        <v>8</v>
      </c>
      <c r="I440" s="107">
        <v>0</v>
      </c>
      <c r="J440" s="107">
        <f t="shared" si="6"/>
        <v>0.39999999999999997</v>
      </c>
      <c r="K440" s="107">
        <v>6419</v>
      </c>
      <c r="L440" s="107"/>
      <c r="M440" s="107"/>
      <c r="N440" s="107"/>
    </row>
    <row r="441" spans="1:14" x14ac:dyDescent="0.15">
      <c r="A441" s="107">
        <v>1764</v>
      </c>
      <c r="B441" s="107" t="s">
        <v>261</v>
      </c>
      <c r="C441" s="107" t="s">
        <v>268</v>
      </c>
      <c r="D441" s="25">
        <v>828</v>
      </c>
      <c r="E441" s="107" t="s">
        <v>193</v>
      </c>
      <c r="F441" s="107" t="s">
        <v>209</v>
      </c>
      <c r="G441" s="107">
        <v>331</v>
      </c>
      <c r="H441" s="107">
        <v>4</v>
      </c>
      <c r="I441" s="107">
        <v>0</v>
      </c>
      <c r="J441" s="107">
        <f t="shared" si="6"/>
        <v>0.39999999999999997</v>
      </c>
      <c r="K441" s="107">
        <v>6423</v>
      </c>
      <c r="L441" s="107"/>
      <c r="M441" s="107"/>
      <c r="N441" s="107"/>
    </row>
    <row r="442" spans="1:14" x14ac:dyDescent="0.15">
      <c r="A442" s="107">
        <v>1769</v>
      </c>
      <c r="B442" s="107" t="s">
        <v>260</v>
      </c>
      <c r="C442" s="107" t="s">
        <v>268</v>
      </c>
      <c r="D442" s="25">
        <v>750</v>
      </c>
      <c r="E442" s="107" t="s">
        <v>193</v>
      </c>
      <c r="F442" s="107" t="s">
        <v>209</v>
      </c>
      <c r="G442" s="107">
        <v>262</v>
      </c>
      <c r="H442" s="107">
        <v>10</v>
      </c>
      <c r="I442" s="107">
        <v>0</v>
      </c>
      <c r="J442" s="107">
        <f t="shared" si="6"/>
        <v>0.35</v>
      </c>
      <c r="K442" s="107">
        <v>6518</v>
      </c>
      <c r="L442" s="107"/>
      <c r="M442" s="107"/>
      <c r="N442" s="107"/>
    </row>
    <row r="443" spans="1:14" x14ac:dyDescent="0.15">
      <c r="A443" s="107">
        <v>1778</v>
      </c>
      <c r="B443" s="107" t="s">
        <v>192</v>
      </c>
      <c r="C443" s="107" t="s">
        <v>268</v>
      </c>
      <c r="D443" s="25">
        <v>390</v>
      </c>
      <c r="E443" s="107" t="s">
        <v>193</v>
      </c>
      <c r="F443" s="107" t="s">
        <v>209</v>
      </c>
      <c r="G443" s="107">
        <v>836</v>
      </c>
      <c r="H443" s="107">
        <v>11</v>
      </c>
      <c r="I443" s="107">
        <v>0</v>
      </c>
      <c r="J443" s="73">
        <f t="shared" si="6"/>
        <v>2.145</v>
      </c>
      <c r="K443" s="107">
        <v>6663</v>
      </c>
      <c r="L443" s="107"/>
      <c r="M443" s="107"/>
      <c r="N443" s="107"/>
    </row>
    <row r="444" spans="1:14" x14ac:dyDescent="0.15">
      <c r="A444" s="107">
        <v>1784</v>
      </c>
      <c r="B444" s="107" t="s">
        <v>261</v>
      </c>
      <c r="C444" s="107" t="s">
        <v>268</v>
      </c>
      <c r="D444" s="25">
        <v>300</v>
      </c>
      <c r="E444" s="107" t="s">
        <v>193</v>
      </c>
      <c r="F444" s="107" t="s">
        <v>209</v>
      </c>
      <c r="G444" s="107">
        <v>123</v>
      </c>
      <c r="H444" s="107">
        <v>15</v>
      </c>
      <c r="I444" s="107">
        <v>0</v>
      </c>
      <c r="J444" s="25">
        <f t="shared" si="6"/>
        <v>0.41249999999999998</v>
      </c>
      <c r="K444" s="25">
        <v>6705</v>
      </c>
      <c r="L444" s="107"/>
      <c r="M444" s="107"/>
      <c r="N444" s="107"/>
    </row>
    <row r="445" spans="1:14" x14ac:dyDescent="0.15">
      <c r="A445" s="107">
        <v>1786</v>
      </c>
      <c r="B445" s="107" t="s">
        <v>261</v>
      </c>
      <c r="C445" s="107" t="s">
        <v>268</v>
      </c>
      <c r="D445" s="25">
        <v>288</v>
      </c>
      <c r="E445" s="107" t="s">
        <v>193</v>
      </c>
      <c r="F445" s="107" t="s">
        <v>209</v>
      </c>
      <c r="G445" s="107">
        <v>36</v>
      </c>
      <c r="H445" s="107">
        <v>0</v>
      </c>
      <c r="I445" s="107">
        <v>0</v>
      </c>
      <c r="J445" s="107">
        <f t="shared" si="6"/>
        <v>0.125</v>
      </c>
      <c r="K445" s="107">
        <v>6746</v>
      </c>
      <c r="L445" s="107"/>
      <c r="M445" s="107"/>
      <c r="N445" s="107"/>
    </row>
    <row r="446" spans="1:14" x14ac:dyDescent="0.15">
      <c r="A446" s="107">
        <v>1789</v>
      </c>
      <c r="B446" s="107" t="s">
        <v>226</v>
      </c>
      <c r="C446" s="107" t="s">
        <v>268</v>
      </c>
      <c r="D446" s="25">
        <v>105</v>
      </c>
      <c r="E446" s="107" t="s">
        <v>193</v>
      </c>
      <c r="F446" s="107" t="s">
        <v>209</v>
      </c>
      <c r="G446" s="107">
        <v>45</v>
      </c>
      <c r="H446" s="107">
        <v>9</v>
      </c>
      <c r="I446" s="107">
        <v>8</v>
      </c>
      <c r="J446" s="25">
        <f t="shared" si="6"/>
        <v>0.43309523809523809</v>
      </c>
      <c r="K446" s="25">
        <v>6785</v>
      </c>
      <c r="L446" s="107"/>
      <c r="M446" s="107"/>
      <c r="N446" s="107"/>
    </row>
    <row r="447" spans="1:14" x14ac:dyDescent="0.15">
      <c r="A447" s="107">
        <v>1790</v>
      </c>
      <c r="B447" s="107" t="s">
        <v>226</v>
      </c>
      <c r="C447" s="107" t="s">
        <v>268</v>
      </c>
      <c r="D447" s="25">
        <v>318</v>
      </c>
      <c r="E447" s="107" t="s">
        <v>193</v>
      </c>
      <c r="F447" s="107" t="s">
        <v>209</v>
      </c>
      <c r="G447" s="107">
        <v>131</v>
      </c>
      <c r="H447" s="107">
        <v>3</v>
      </c>
      <c r="I447" s="107">
        <v>8</v>
      </c>
      <c r="J447" s="25">
        <f t="shared" si="6"/>
        <v>0.41250000000000003</v>
      </c>
      <c r="K447" s="25">
        <v>6790</v>
      </c>
      <c r="L447" s="107"/>
      <c r="M447" s="107"/>
      <c r="N447" s="107"/>
    </row>
    <row r="448" spans="1:14" x14ac:dyDescent="0.15">
      <c r="A448" s="107">
        <v>1791</v>
      </c>
      <c r="B448" s="107" t="s">
        <v>197</v>
      </c>
      <c r="C448" s="107" t="s">
        <v>268</v>
      </c>
      <c r="D448" s="25">
        <v>160</v>
      </c>
      <c r="E448" s="107" t="s">
        <v>193</v>
      </c>
      <c r="F448" s="107" t="s">
        <v>209</v>
      </c>
      <c r="G448" s="107">
        <v>66</v>
      </c>
      <c r="H448" s="107">
        <v>0</v>
      </c>
      <c r="I448" s="107">
        <v>0</v>
      </c>
      <c r="J448" s="107">
        <f t="shared" si="6"/>
        <v>0.41249999999999998</v>
      </c>
      <c r="K448" s="107">
        <v>6804</v>
      </c>
      <c r="L448" s="107"/>
      <c r="M448" s="107"/>
      <c r="N448" s="107"/>
    </row>
    <row r="449" spans="1:14" x14ac:dyDescent="0.15">
      <c r="A449" s="107">
        <v>1793</v>
      </c>
      <c r="B449" s="107" t="s">
        <v>247</v>
      </c>
      <c r="C449" s="107" t="s">
        <v>270</v>
      </c>
      <c r="D449" s="25">
        <v>334</v>
      </c>
      <c r="E449" s="107" t="s">
        <v>193</v>
      </c>
      <c r="F449" s="107" t="s">
        <v>209</v>
      </c>
      <c r="G449" s="107">
        <v>105</v>
      </c>
      <c r="H449" s="107">
        <v>5</v>
      </c>
      <c r="I449" s="107">
        <v>0</v>
      </c>
      <c r="J449" s="107">
        <f t="shared" si="6"/>
        <v>0.31511976047904194</v>
      </c>
      <c r="K449" s="107">
        <v>6826</v>
      </c>
      <c r="L449" s="107"/>
      <c r="M449" s="107"/>
      <c r="N449" s="107"/>
    </row>
    <row r="450" spans="1:14" x14ac:dyDescent="0.15">
      <c r="A450" s="107">
        <v>1659</v>
      </c>
      <c r="B450" s="107" t="s">
        <v>197</v>
      </c>
      <c r="C450" s="107" t="s">
        <v>274</v>
      </c>
      <c r="D450" s="107">
        <v>800</v>
      </c>
      <c r="E450" s="107" t="s">
        <v>204</v>
      </c>
      <c r="F450" s="107" t="s">
        <v>354</v>
      </c>
      <c r="G450" s="107">
        <v>1440</v>
      </c>
      <c r="H450" s="107">
        <v>0</v>
      </c>
      <c r="I450" s="107">
        <v>0</v>
      </c>
      <c r="J450" s="107">
        <v>1.8</v>
      </c>
      <c r="K450" s="107">
        <v>3993</v>
      </c>
      <c r="L450" s="107">
        <v>1792</v>
      </c>
      <c r="M450" s="107">
        <v>167</v>
      </c>
      <c r="N450" s="107" t="s">
        <v>317</v>
      </c>
    </row>
    <row r="451" spans="1:14" x14ac:dyDescent="0.15">
      <c r="A451" s="107">
        <v>1655</v>
      </c>
      <c r="B451" s="107" t="s">
        <v>226</v>
      </c>
      <c r="C451" s="107" t="s">
        <v>274</v>
      </c>
      <c r="D451" s="107">
        <v>1</v>
      </c>
      <c r="E451" s="107" t="s">
        <v>289</v>
      </c>
      <c r="F451" s="107" t="s">
        <v>355</v>
      </c>
      <c r="G451" s="107">
        <v>16</v>
      </c>
      <c r="H451" s="107">
        <v>0</v>
      </c>
      <c r="I451" s="107">
        <v>0</v>
      </c>
      <c r="J451" s="107">
        <v>16</v>
      </c>
      <c r="K451" s="107">
        <v>3990</v>
      </c>
      <c r="L451" s="107">
        <v>1788</v>
      </c>
      <c r="M451" s="107">
        <v>169</v>
      </c>
      <c r="N451" s="107"/>
    </row>
    <row r="452" spans="1:14" x14ac:dyDescent="0.15">
      <c r="A452" s="107">
        <v>1657</v>
      </c>
      <c r="B452" s="107" t="s">
        <v>197</v>
      </c>
      <c r="C452" s="107" t="s">
        <v>274</v>
      </c>
      <c r="D452" s="107">
        <v>3</v>
      </c>
      <c r="E452" s="107" t="s">
        <v>289</v>
      </c>
      <c r="F452" s="107" t="s">
        <v>355</v>
      </c>
      <c r="G452" s="107">
        <v>180</v>
      </c>
      <c r="H452" s="107">
        <v>0</v>
      </c>
      <c r="I452" s="107">
        <v>0</v>
      </c>
      <c r="J452" s="107">
        <v>60</v>
      </c>
      <c r="K452" s="107">
        <v>3992</v>
      </c>
      <c r="L452" s="107">
        <v>1789</v>
      </c>
      <c r="M452" s="107">
        <v>228</v>
      </c>
      <c r="N452" s="107"/>
    </row>
    <row r="453" spans="1:14" x14ac:dyDescent="0.15">
      <c r="A453" s="107">
        <v>1659</v>
      </c>
      <c r="B453" s="107" t="s">
        <v>197</v>
      </c>
      <c r="C453" s="107" t="s">
        <v>274</v>
      </c>
      <c r="D453" s="107">
        <v>0.875</v>
      </c>
      <c r="E453" s="107" t="s">
        <v>280</v>
      </c>
      <c r="F453" s="107" t="s">
        <v>355</v>
      </c>
      <c r="G453" s="107">
        <v>210</v>
      </c>
      <c r="H453" s="107">
        <v>18</v>
      </c>
      <c r="I453" s="107">
        <v>12</v>
      </c>
      <c r="J453" s="107">
        <v>241.07142857142858</v>
      </c>
      <c r="K453" s="107">
        <v>3994</v>
      </c>
      <c r="L453" s="107">
        <v>1792</v>
      </c>
      <c r="M453" s="107">
        <v>328</v>
      </c>
      <c r="N453" s="107"/>
    </row>
    <row r="454" spans="1:14" x14ac:dyDescent="0.15">
      <c r="A454" s="107">
        <v>1660</v>
      </c>
      <c r="B454" s="107" t="s">
        <v>197</v>
      </c>
      <c r="C454" s="107" t="s">
        <v>274</v>
      </c>
      <c r="D454" s="107">
        <v>0.6875</v>
      </c>
      <c r="E454" s="107" t="s">
        <v>280</v>
      </c>
      <c r="F454" s="107" t="s">
        <v>355</v>
      </c>
      <c r="G454" s="107">
        <v>154</v>
      </c>
      <c r="H454" s="107">
        <v>13</v>
      </c>
      <c r="I454" s="107">
        <v>12</v>
      </c>
      <c r="J454" s="107">
        <v>225</v>
      </c>
      <c r="K454" s="107">
        <v>3995</v>
      </c>
      <c r="L454" s="107">
        <v>1793</v>
      </c>
      <c r="M454" s="107">
        <v>199</v>
      </c>
      <c r="N454" s="107"/>
    </row>
    <row r="455" spans="1:14" x14ac:dyDescent="0.15">
      <c r="A455" s="107">
        <v>1661</v>
      </c>
      <c r="B455" s="107" t="s">
        <v>260</v>
      </c>
      <c r="C455" s="107" t="s">
        <v>274</v>
      </c>
      <c r="D455" s="107">
        <v>4</v>
      </c>
      <c r="E455" s="107" t="s">
        <v>293</v>
      </c>
      <c r="F455" s="107" t="s">
        <v>355</v>
      </c>
      <c r="G455" s="107">
        <v>11</v>
      </c>
      <c r="H455" s="107">
        <v>4</v>
      </c>
      <c r="I455" s="107">
        <v>0</v>
      </c>
      <c r="J455" s="107">
        <v>2.8</v>
      </c>
      <c r="K455" s="107">
        <v>3996</v>
      </c>
      <c r="L455" s="107">
        <v>1794</v>
      </c>
      <c r="M455" s="107" t="s">
        <v>290</v>
      </c>
      <c r="N455" s="107"/>
    </row>
    <row r="456" spans="1:14" x14ac:dyDescent="0.15">
      <c r="A456" s="107">
        <v>1662</v>
      </c>
      <c r="B456" s="107" t="s">
        <v>261</v>
      </c>
      <c r="C456" s="107" t="s">
        <v>274</v>
      </c>
      <c r="D456" s="107">
        <v>36.59375</v>
      </c>
      <c r="E456" s="107" t="s">
        <v>289</v>
      </c>
      <c r="F456" s="107" t="s">
        <v>355</v>
      </c>
      <c r="G456" s="107">
        <v>3380</v>
      </c>
      <c r="H456" s="107">
        <v>0</v>
      </c>
      <c r="I456" s="107">
        <v>0</v>
      </c>
      <c r="J456" s="107">
        <v>92.365499573014517</v>
      </c>
      <c r="K456" s="107">
        <v>3997</v>
      </c>
      <c r="L456" s="107">
        <v>1795</v>
      </c>
      <c r="M456" s="107" t="s">
        <v>290</v>
      </c>
      <c r="N456" s="107"/>
    </row>
    <row r="457" spans="1:14" x14ac:dyDescent="0.15">
      <c r="A457" s="107">
        <v>1666</v>
      </c>
      <c r="B457" s="107" t="s">
        <v>197</v>
      </c>
      <c r="C457" s="107" t="s">
        <v>274</v>
      </c>
      <c r="D457" s="107">
        <v>1</v>
      </c>
      <c r="E457" s="107" t="s">
        <v>280</v>
      </c>
      <c r="F457" s="107" t="s">
        <v>355</v>
      </c>
      <c r="G457" s="107">
        <v>288</v>
      </c>
      <c r="H457" s="107">
        <v>0</v>
      </c>
      <c r="I457" s="107">
        <v>0</v>
      </c>
      <c r="J457" s="107">
        <v>288</v>
      </c>
      <c r="K457" s="107">
        <v>4001</v>
      </c>
      <c r="L457" s="107">
        <v>1800</v>
      </c>
      <c r="M457" s="107">
        <v>40</v>
      </c>
      <c r="N457" s="107"/>
    </row>
    <row r="458" spans="1:14" x14ac:dyDescent="0.15">
      <c r="A458" s="107">
        <v>1667</v>
      </c>
      <c r="B458" s="107" t="s">
        <v>197</v>
      </c>
      <c r="C458" s="107" t="s">
        <v>274</v>
      </c>
      <c r="D458" s="107">
        <v>41</v>
      </c>
      <c r="E458" s="107" t="s">
        <v>291</v>
      </c>
      <c r="F458" s="107" t="s">
        <v>355</v>
      </c>
      <c r="G458" s="107">
        <v>710</v>
      </c>
      <c r="H458" s="107">
        <v>13</v>
      </c>
      <c r="I458" s="107">
        <v>0</v>
      </c>
      <c r="J458" s="107">
        <v>17.332926829268292</v>
      </c>
      <c r="K458" s="107">
        <v>4002</v>
      </c>
      <c r="L458" s="107">
        <v>1802</v>
      </c>
      <c r="M458" s="107">
        <v>762</v>
      </c>
      <c r="N458" s="107"/>
    </row>
    <row r="459" spans="1:14" x14ac:dyDescent="0.15">
      <c r="A459" s="107">
        <v>1668</v>
      </c>
      <c r="B459" s="107" t="s">
        <v>197</v>
      </c>
      <c r="C459" s="107" t="s">
        <v>274</v>
      </c>
      <c r="D459" s="107">
        <v>21</v>
      </c>
      <c r="E459" s="107" t="s">
        <v>289</v>
      </c>
      <c r="F459" s="107" t="s">
        <v>355</v>
      </c>
      <c r="G459" s="107">
        <v>1478</v>
      </c>
      <c r="H459" s="107">
        <v>8</v>
      </c>
      <c r="I459" s="107">
        <v>0</v>
      </c>
      <c r="J459" s="107">
        <v>70.400000000000006</v>
      </c>
      <c r="K459" s="107">
        <v>4003</v>
      </c>
      <c r="L459" s="107">
        <v>1802</v>
      </c>
      <c r="M459" s="107">
        <v>41</v>
      </c>
      <c r="N459" s="107"/>
    </row>
    <row r="460" spans="1:14" x14ac:dyDescent="0.15">
      <c r="A460" s="107">
        <v>1668</v>
      </c>
      <c r="B460" s="107" t="s">
        <v>197</v>
      </c>
      <c r="C460" s="107" t="s">
        <v>274</v>
      </c>
      <c r="D460" s="107">
        <v>133</v>
      </c>
      <c r="E460" s="107" t="s">
        <v>293</v>
      </c>
      <c r="F460" s="107" t="s">
        <v>355</v>
      </c>
      <c r="G460" s="107">
        <v>266</v>
      </c>
      <c r="H460" s="107">
        <v>0</v>
      </c>
      <c r="I460" s="107">
        <v>0</v>
      </c>
      <c r="J460" s="107">
        <v>2</v>
      </c>
      <c r="K460" s="107">
        <v>4003</v>
      </c>
      <c r="L460" s="107">
        <v>1802</v>
      </c>
      <c r="M460" s="107">
        <v>41</v>
      </c>
      <c r="N460" s="107"/>
    </row>
    <row r="461" spans="1:14" x14ac:dyDescent="0.15">
      <c r="A461" s="107">
        <v>1669</v>
      </c>
      <c r="B461" s="107" t="s">
        <v>196</v>
      </c>
      <c r="C461" s="107" t="s">
        <v>274</v>
      </c>
      <c r="D461" s="107">
        <v>428</v>
      </c>
      <c r="E461" s="107" t="s">
        <v>293</v>
      </c>
      <c r="F461" s="107" t="s">
        <v>355</v>
      </c>
      <c r="G461" s="107">
        <v>936</v>
      </c>
      <c r="H461" s="107">
        <v>0</v>
      </c>
      <c r="I461" s="107">
        <v>0</v>
      </c>
      <c r="J461" s="107">
        <v>2.1869158878504673</v>
      </c>
      <c r="K461" s="107">
        <v>4004</v>
      </c>
      <c r="L461" s="107">
        <v>1805</v>
      </c>
      <c r="M461" s="107">
        <v>570</v>
      </c>
      <c r="N461" s="107"/>
    </row>
    <row r="462" spans="1:14" x14ac:dyDescent="0.15">
      <c r="A462" s="107">
        <v>1670</v>
      </c>
      <c r="B462" s="107" t="s">
        <v>197</v>
      </c>
      <c r="C462" s="107" t="s">
        <v>274</v>
      </c>
      <c r="D462" s="107">
        <v>1</v>
      </c>
      <c r="E462" s="107" t="s">
        <v>296</v>
      </c>
      <c r="F462" s="107" t="s">
        <v>355</v>
      </c>
      <c r="G462" s="107">
        <v>49</v>
      </c>
      <c r="H462" s="107">
        <v>10</v>
      </c>
      <c r="I462" s="107">
        <v>0</v>
      </c>
      <c r="J462" s="107">
        <v>49.5</v>
      </c>
      <c r="K462" s="107">
        <v>4006</v>
      </c>
      <c r="L462" s="107">
        <v>1808</v>
      </c>
      <c r="M462" s="107">
        <v>635</v>
      </c>
      <c r="N462" s="107"/>
    </row>
    <row r="463" spans="1:14" x14ac:dyDescent="0.15">
      <c r="A463" s="107">
        <v>1671</v>
      </c>
      <c r="B463" s="107" t="s">
        <v>356</v>
      </c>
      <c r="C463" s="107" t="s">
        <v>274</v>
      </c>
      <c r="D463" s="107">
        <v>1</v>
      </c>
      <c r="E463" s="107" t="s">
        <v>293</v>
      </c>
      <c r="F463" s="107" t="s">
        <v>355</v>
      </c>
      <c r="G463" s="107">
        <v>0</v>
      </c>
      <c r="H463" s="107">
        <v>9</v>
      </c>
      <c r="I463" s="107">
        <v>0</v>
      </c>
      <c r="J463" s="107">
        <v>0.45</v>
      </c>
      <c r="K463" s="107">
        <v>4008</v>
      </c>
      <c r="L463" s="107">
        <v>1810</v>
      </c>
      <c r="M463" s="107">
        <v>430</v>
      </c>
      <c r="N463" s="107"/>
    </row>
    <row r="464" spans="1:14" x14ac:dyDescent="0.15">
      <c r="A464" s="107">
        <v>1672</v>
      </c>
      <c r="B464" s="107" t="s">
        <v>196</v>
      </c>
      <c r="C464" s="107" t="s">
        <v>274</v>
      </c>
      <c r="D464" s="107">
        <v>4</v>
      </c>
      <c r="E464" s="107" t="s">
        <v>280</v>
      </c>
      <c r="F464" s="107" t="s">
        <v>355</v>
      </c>
      <c r="G464" s="107">
        <v>480</v>
      </c>
      <c r="H464" s="107">
        <v>0</v>
      </c>
      <c r="I464" s="107">
        <v>0</v>
      </c>
      <c r="J464" s="107">
        <v>120</v>
      </c>
      <c r="K464" s="107">
        <v>4008</v>
      </c>
      <c r="L464" s="107">
        <v>1810</v>
      </c>
      <c r="M464" s="107">
        <v>511</v>
      </c>
      <c r="N464" s="107"/>
    </row>
    <row r="465" spans="1:14" x14ac:dyDescent="0.15">
      <c r="A465" s="107">
        <v>1673</v>
      </c>
      <c r="B465" s="107" t="s">
        <v>197</v>
      </c>
      <c r="C465" s="107" t="s">
        <v>274</v>
      </c>
      <c r="D465" s="107">
        <v>13.25</v>
      </c>
      <c r="E465" s="107" t="s">
        <v>293</v>
      </c>
      <c r="F465" s="107" t="s">
        <v>355</v>
      </c>
      <c r="G465" s="107">
        <v>7</v>
      </c>
      <c r="H465" s="107">
        <v>16</v>
      </c>
      <c r="I465" s="107">
        <v>0</v>
      </c>
      <c r="J465" s="107">
        <v>0.58867924528301885</v>
      </c>
      <c r="K465" s="107">
        <v>4010</v>
      </c>
      <c r="L465" s="107">
        <v>1812</v>
      </c>
      <c r="M465" s="107">
        <v>548</v>
      </c>
      <c r="N465" s="107"/>
    </row>
    <row r="466" spans="1:14" x14ac:dyDescent="0.15">
      <c r="A466" s="107">
        <v>1674</v>
      </c>
      <c r="B466" s="107" t="s">
        <v>196</v>
      </c>
      <c r="C466" s="107" t="s">
        <v>274</v>
      </c>
      <c r="D466" s="107">
        <v>6</v>
      </c>
      <c r="E466" s="107" t="s">
        <v>293</v>
      </c>
      <c r="F466" s="107" t="s">
        <v>355</v>
      </c>
      <c r="G466" s="107">
        <v>3</v>
      </c>
      <c r="H466" s="107">
        <v>12</v>
      </c>
      <c r="I466" s="107">
        <v>0</v>
      </c>
      <c r="J466" s="107">
        <v>0.6</v>
      </c>
      <c r="K466" s="107">
        <v>4011</v>
      </c>
      <c r="L466" s="107">
        <v>1814</v>
      </c>
      <c r="M466" s="107">
        <v>600</v>
      </c>
      <c r="N466" s="107" t="s">
        <v>294</v>
      </c>
    </row>
    <row r="467" spans="1:14" x14ac:dyDescent="0.15">
      <c r="A467" s="107">
        <v>1676</v>
      </c>
      <c r="B467" s="107" t="s">
        <v>196</v>
      </c>
      <c r="C467" s="107" t="s">
        <v>274</v>
      </c>
      <c r="D467" s="107">
        <v>16</v>
      </c>
      <c r="E467" s="107" t="s">
        <v>293</v>
      </c>
      <c r="F467" s="107" t="s">
        <v>355</v>
      </c>
      <c r="G467" s="107">
        <v>11</v>
      </c>
      <c r="H467" s="107">
        <v>12</v>
      </c>
      <c r="I467" s="107">
        <v>0</v>
      </c>
      <c r="J467" s="107">
        <v>0.72499999999999998</v>
      </c>
      <c r="K467" s="107">
        <v>4012</v>
      </c>
      <c r="L467" s="107">
        <v>1814</v>
      </c>
      <c r="M467" s="107">
        <v>441</v>
      </c>
      <c r="N467" s="107"/>
    </row>
    <row r="468" spans="1:14" x14ac:dyDescent="0.15">
      <c r="A468" s="107">
        <v>1677</v>
      </c>
      <c r="B468" s="107" t="s">
        <v>197</v>
      </c>
      <c r="C468" s="107" t="s">
        <v>274</v>
      </c>
      <c r="D468" s="107">
        <v>128</v>
      </c>
      <c r="E468" s="107" t="s">
        <v>293</v>
      </c>
      <c r="F468" s="107" t="s">
        <v>355</v>
      </c>
      <c r="G468" s="107">
        <v>87</v>
      </c>
      <c r="H468" s="107">
        <v>4</v>
      </c>
      <c r="I468" s="107">
        <v>0</v>
      </c>
      <c r="J468" s="107">
        <v>0.68125000000000002</v>
      </c>
      <c r="K468" s="107">
        <v>4013</v>
      </c>
      <c r="L468" s="107">
        <v>1816</v>
      </c>
      <c r="M468" s="107">
        <v>742</v>
      </c>
      <c r="N468" s="107"/>
    </row>
    <row r="469" spans="1:14" x14ac:dyDescent="0.15">
      <c r="A469" s="107">
        <v>1678</v>
      </c>
      <c r="B469" s="107" t="s">
        <v>197</v>
      </c>
      <c r="C469" s="107" t="s">
        <v>295</v>
      </c>
      <c r="D469" s="107">
        <v>0.5</v>
      </c>
      <c r="E469" s="107" t="s">
        <v>296</v>
      </c>
      <c r="F469" s="107" t="s">
        <v>355</v>
      </c>
      <c r="G469" s="107">
        <v>38</v>
      </c>
      <c r="H469" s="107">
        <v>8</v>
      </c>
      <c r="I469" s="107">
        <v>0</v>
      </c>
      <c r="J469" s="107">
        <v>76.8</v>
      </c>
      <c r="K469" s="107">
        <v>4014</v>
      </c>
      <c r="L469" s="107">
        <v>4903</v>
      </c>
      <c r="M469" s="107">
        <v>666</v>
      </c>
      <c r="N469" s="107"/>
    </row>
    <row r="470" spans="1:14" x14ac:dyDescent="0.15">
      <c r="A470" s="107">
        <v>1681</v>
      </c>
      <c r="B470" s="107" t="s">
        <v>197</v>
      </c>
      <c r="C470" s="107" t="s">
        <v>271</v>
      </c>
      <c r="D470" s="107">
        <v>1.0625</v>
      </c>
      <c r="E470" s="107" t="s">
        <v>357</v>
      </c>
      <c r="F470" s="107" t="s">
        <v>355</v>
      </c>
      <c r="G470" s="107">
        <v>27</v>
      </c>
      <c r="H470" s="107">
        <v>15</v>
      </c>
      <c r="I470" s="107">
        <v>19</v>
      </c>
      <c r="J470" s="107">
        <v>26.173529411764704</v>
      </c>
      <c r="K470" s="107">
        <v>4017</v>
      </c>
      <c r="L470" s="107">
        <v>1819</v>
      </c>
      <c r="M470" s="107">
        <v>428</v>
      </c>
      <c r="N470" s="107"/>
    </row>
    <row r="471" spans="1:14" x14ac:dyDescent="0.15">
      <c r="A471" s="107">
        <v>1682</v>
      </c>
      <c r="B471" s="107" t="s">
        <v>197</v>
      </c>
      <c r="C471" s="107" t="s">
        <v>271</v>
      </c>
      <c r="D471" s="107">
        <v>2</v>
      </c>
      <c r="E471" s="107" t="s">
        <v>293</v>
      </c>
      <c r="F471" s="107" t="s">
        <v>355</v>
      </c>
      <c r="G471" s="107">
        <v>1</v>
      </c>
      <c r="H471" s="107">
        <v>8</v>
      </c>
      <c r="I471" s="107">
        <v>0</v>
      </c>
      <c r="J471" s="107">
        <v>0.7</v>
      </c>
      <c r="K471" s="107">
        <v>4018</v>
      </c>
      <c r="L471" s="107">
        <v>1820</v>
      </c>
      <c r="M471" s="107">
        <v>754</v>
      </c>
      <c r="N471" s="107" t="s">
        <v>294</v>
      </c>
    </row>
    <row r="472" spans="1:14" x14ac:dyDescent="0.15">
      <c r="A472" s="107">
        <v>1683</v>
      </c>
      <c r="B472" s="107" t="s">
        <v>197</v>
      </c>
      <c r="C472" s="107" t="s">
        <v>271</v>
      </c>
      <c r="D472" s="107">
        <v>4</v>
      </c>
      <c r="E472" s="107" t="s">
        <v>293</v>
      </c>
      <c r="F472" s="107" t="s">
        <v>355</v>
      </c>
      <c r="G472" s="107">
        <v>2</v>
      </c>
      <c r="H472" s="107">
        <v>16</v>
      </c>
      <c r="I472" s="107">
        <v>0</v>
      </c>
      <c r="J472" s="107">
        <v>0.7</v>
      </c>
      <c r="K472" s="107">
        <v>4019</v>
      </c>
      <c r="L472" s="107">
        <v>1822</v>
      </c>
      <c r="M472" s="107">
        <v>600</v>
      </c>
      <c r="N472" s="107"/>
    </row>
    <row r="473" spans="1:14" x14ac:dyDescent="0.15">
      <c r="A473" s="107">
        <v>1684</v>
      </c>
      <c r="B473" s="107" t="s">
        <v>197</v>
      </c>
      <c r="C473" s="107" t="s">
        <v>271</v>
      </c>
      <c r="D473" s="107">
        <v>2</v>
      </c>
      <c r="E473" s="107" t="s">
        <v>293</v>
      </c>
      <c r="F473" s="107" t="s">
        <v>355</v>
      </c>
      <c r="G473" s="107">
        <v>1</v>
      </c>
      <c r="H473" s="107">
        <v>8</v>
      </c>
      <c r="I473" s="107">
        <v>0</v>
      </c>
      <c r="J473" s="107">
        <v>0.7</v>
      </c>
      <c r="K473" s="107">
        <v>4021</v>
      </c>
      <c r="L473" s="107">
        <v>1825</v>
      </c>
      <c r="M473" s="107">
        <v>666</v>
      </c>
      <c r="N473" s="107"/>
    </row>
    <row r="474" spans="1:14" x14ac:dyDescent="0.15">
      <c r="A474" s="107">
        <v>1685</v>
      </c>
      <c r="B474" s="107" t="s">
        <v>197</v>
      </c>
      <c r="C474" s="107" t="s">
        <v>271</v>
      </c>
      <c r="D474" s="107">
        <v>286</v>
      </c>
      <c r="E474" s="107" t="s">
        <v>293</v>
      </c>
      <c r="F474" s="107" t="s">
        <v>355</v>
      </c>
      <c r="G474" s="107">
        <v>620</v>
      </c>
      <c r="H474" s="107">
        <v>0</v>
      </c>
      <c r="I474" s="107">
        <v>0</v>
      </c>
      <c r="J474" s="107">
        <v>2.1678321678321679</v>
      </c>
      <c r="K474" s="107">
        <v>4022</v>
      </c>
      <c r="L474" s="107">
        <v>1827</v>
      </c>
      <c r="M474" s="107">
        <v>609</v>
      </c>
      <c r="N474" s="107"/>
    </row>
    <row r="475" spans="1:14" x14ac:dyDescent="0.15">
      <c r="A475" s="107">
        <v>1685</v>
      </c>
      <c r="B475" s="107" t="s">
        <v>196</v>
      </c>
      <c r="C475" s="107" t="s">
        <v>271</v>
      </c>
      <c r="D475" s="107">
        <v>256</v>
      </c>
      <c r="E475" s="107" t="s">
        <v>293</v>
      </c>
      <c r="F475" s="107" t="s">
        <v>355</v>
      </c>
      <c r="G475" s="107">
        <v>179</v>
      </c>
      <c r="H475" s="107">
        <v>4</v>
      </c>
      <c r="I475" s="107">
        <v>0</v>
      </c>
      <c r="J475" s="107">
        <v>0.7</v>
      </c>
      <c r="K475" s="107">
        <v>4022</v>
      </c>
      <c r="L475" s="107">
        <v>1827</v>
      </c>
      <c r="M475" s="107">
        <v>600</v>
      </c>
      <c r="N475" s="107"/>
    </row>
    <row r="476" spans="1:14" x14ac:dyDescent="0.15">
      <c r="A476" s="107">
        <v>1686</v>
      </c>
      <c r="B476" s="107" t="s">
        <v>197</v>
      </c>
      <c r="C476" s="107" t="s">
        <v>271</v>
      </c>
      <c r="D476" s="107">
        <v>256</v>
      </c>
      <c r="E476" s="107" t="s">
        <v>293</v>
      </c>
      <c r="F476" s="107" t="s">
        <v>355</v>
      </c>
      <c r="G476" s="107">
        <v>179</v>
      </c>
      <c r="H476" s="107">
        <v>4</v>
      </c>
      <c r="I476" s="107">
        <v>0</v>
      </c>
      <c r="J476" s="107">
        <v>0.7</v>
      </c>
      <c r="K476" s="107">
        <v>4023</v>
      </c>
      <c r="L476" s="107">
        <v>1829</v>
      </c>
      <c r="M476" s="107">
        <v>706</v>
      </c>
      <c r="N476" s="107"/>
    </row>
    <row r="477" spans="1:14" x14ac:dyDescent="0.15">
      <c r="A477" s="107">
        <v>1686</v>
      </c>
      <c r="B477" s="107" t="s">
        <v>197</v>
      </c>
      <c r="C477" s="107" t="s">
        <v>271</v>
      </c>
      <c r="D477" s="107">
        <v>128</v>
      </c>
      <c r="E477" s="107" t="s">
        <v>293</v>
      </c>
      <c r="F477" s="107" t="s">
        <v>355</v>
      </c>
      <c r="G477" s="107">
        <v>89</v>
      </c>
      <c r="H477" s="107">
        <v>12</v>
      </c>
      <c r="I477" s="107">
        <v>0</v>
      </c>
      <c r="J477" s="107">
        <v>0.7</v>
      </c>
      <c r="K477" s="107">
        <v>4023</v>
      </c>
      <c r="L477" s="107">
        <v>1829</v>
      </c>
      <c r="M477" s="107">
        <v>706</v>
      </c>
      <c r="N477" s="107"/>
    </row>
    <row r="478" spans="1:14" x14ac:dyDescent="0.15">
      <c r="A478" s="107">
        <v>1686</v>
      </c>
      <c r="B478" s="107" t="s">
        <v>247</v>
      </c>
      <c r="C478" s="107" t="s">
        <v>295</v>
      </c>
      <c r="D478" s="107">
        <v>4.333333333333333</v>
      </c>
      <c r="E478" s="107" t="s">
        <v>293</v>
      </c>
      <c r="F478" s="107" t="s">
        <v>355</v>
      </c>
      <c r="G478" s="107">
        <v>4</v>
      </c>
      <c r="H478" s="107">
        <v>2</v>
      </c>
      <c r="I478" s="107">
        <v>3</v>
      </c>
      <c r="J478" s="107">
        <v>0.94831730769230771</v>
      </c>
      <c r="K478" s="107">
        <v>4023</v>
      </c>
      <c r="L478" s="107">
        <v>1829</v>
      </c>
      <c r="M478" s="107">
        <v>831</v>
      </c>
      <c r="N478" s="107"/>
    </row>
    <row r="479" spans="1:14" x14ac:dyDescent="0.15">
      <c r="A479" s="107">
        <v>1689</v>
      </c>
      <c r="B479" s="107" t="s">
        <v>197</v>
      </c>
      <c r="C479" s="107" t="s">
        <v>271</v>
      </c>
      <c r="D479" s="107">
        <v>21</v>
      </c>
      <c r="E479" s="107" t="s">
        <v>293</v>
      </c>
      <c r="F479" s="107" t="s">
        <v>355</v>
      </c>
      <c r="G479" s="107">
        <v>10</v>
      </c>
      <c r="H479" s="107">
        <v>10</v>
      </c>
      <c r="I479" s="107">
        <v>0</v>
      </c>
      <c r="J479" s="107">
        <v>0.5</v>
      </c>
      <c r="K479" s="107">
        <v>4027</v>
      </c>
      <c r="L479" s="107">
        <v>1832</v>
      </c>
      <c r="M479" s="107">
        <v>484</v>
      </c>
      <c r="N479" s="107"/>
    </row>
    <row r="480" spans="1:14" x14ac:dyDescent="0.15">
      <c r="A480" s="107">
        <v>1691</v>
      </c>
      <c r="B480" s="107" t="s">
        <v>244</v>
      </c>
      <c r="C480" s="107" t="s">
        <v>271</v>
      </c>
      <c r="D480" s="107">
        <v>1984</v>
      </c>
      <c r="E480" s="107" t="s">
        <v>293</v>
      </c>
      <c r="F480" s="107" t="s">
        <v>355</v>
      </c>
      <c r="G480" s="107">
        <v>1896</v>
      </c>
      <c r="H480" s="107">
        <v>0</v>
      </c>
      <c r="I480" s="107">
        <v>0</v>
      </c>
      <c r="J480" s="107">
        <v>0.95564516129032262</v>
      </c>
      <c r="K480" s="107">
        <v>4028</v>
      </c>
      <c r="L480" s="107">
        <v>1834</v>
      </c>
      <c r="M480" s="107">
        <v>383</v>
      </c>
      <c r="N480" s="107"/>
    </row>
    <row r="481" spans="1:14" x14ac:dyDescent="0.15">
      <c r="A481" s="107">
        <v>1693</v>
      </c>
      <c r="B481" s="107" t="s">
        <v>253</v>
      </c>
      <c r="C481" s="107" t="s">
        <v>271</v>
      </c>
      <c r="D481" s="107">
        <v>0.53333333333333</v>
      </c>
      <c r="E481" s="107" t="s">
        <v>357</v>
      </c>
      <c r="F481" s="107" t="s">
        <v>355</v>
      </c>
      <c r="G481" s="107">
        <v>22</v>
      </c>
      <c r="H481" s="107">
        <v>0</v>
      </c>
      <c r="I481" s="107">
        <v>0</v>
      </c>
      <c r="J481" s="107">
        <v>41.250000000000256</v>
      </c>
      <c r="K481" s="107">
        <v>4030</v>
      </c>
      <c r="L481" s="107">
        <v>1836</v>
      </c>
      <c r="M481" s="107">
        <v>238</v>
      </c>
      <c r="N481" s="107"/>
    </row>
    <row r="482" spans="1:14" x14ac:dyDescent="0.15">
      <c r="A482" s="107">
        <v>1698</v>
      </c>
      <c r="B482" s="107" t="s">
        <v>200</v>
      </c>
      <c r="C482" s="107" t="s">
        <v>271</v>
      </c>
      <c r="D482" s="107">
        <v>26</v>
      </c>
      <c r="E482" s="107" t="s">
        <v>293</v>
      </c>
      <c r="F482" s="107" t="s">
        <v>355</v>
      </c>
      <c r="G482" s="107">
        <v>65</v>
      </c>
      <c r="H482" s="107">
        <v>0</v>
      </c>
      <c r="I482" s="107">
        <v>0</v>
      </c>
      <c r="J482" s="107">
        <v>2.5</v>
      </c>
      <c r="K482" s="107">
        <v>4043</v>
      </c>
      <c r="L482" s="107">
        <v>1851</v>
      </c>
      <c r="M482" s="107">
        <v>829</v>
      </c>
      <c r="N482" s="107"/>
    </row>
    <row r="483" spans="1:14" x14ac:dyDescent="0.15">
      <c r="A483" s="107">
        <v>1699</v>
      </c>
      <c r="B483" s="107" t="s">
        <v>197</v>
      </c>
      <c r="C483" s="107" t="s">
        <v>271</v>
      </c>
      <c r="D483" s="107">
        <v>4</v>
      </c>
      <c r="E483" s="107" t="s">
        <v>293</v>
      </c>
      <c r="F483" s="107" t="s">
        <v>355</v>
      </c>
      <c r="G483" s="107">
        <v>10</v>
      </c>
      <c r="H483" s="107">
        <v>0</v>
      </c>
      <c r="I483" s="107">
        <v>0</v>
      </c>
      <c r="J483" s="107">
        <v>2.5</v>
      </c>
      <c r="K483" s="107">
        <v>4043</v>
      </c>
      <c r="L483" s="107">
        <v>1851</v>
      </c>
      <c r="M483" s="107">
        <v>855</v>
      </c>
      <c r="N483" s="107"/>
    </row>
    <row r="484" spans="1:14" x14ac:dyDescent="0.15">
      <c r="A484" s="107">
        <v>1700</v>
      </c>
      <c r="B484" s="107" t="s">
        <v>200</v>
      </c>
      <c r="C484" s="107" t="s">
        <v>271</v>
      </c>
      <c r="D484" s="107">
        <v>3</v>
      </c>
      <c r="E484" s="107" t="s">
        <v>293</v>
      </c>
      <c r="F484" s="107" t="s">
        <v>355</v>
      </c>
      <c r="G484" s="107">
        <v>4</v>
      </c>
      <c r="H484" s="107">
        <v>7</v>
      </c>
      <c r="I484" s="107">
        <v>0</v>
      </c>
      <c r="J484" s="107">
        <v>1.45</v>
      </c>
      <c r="K484" s="107">
        <v>4047</v>
      </c>
      <c r="L484" s="107">
        <v>1855</v>
      </c>
      <c r="M484" s="107">
        <v>525</v>
      </c>
      <c r="N484" s="107" t="s">
        <v>272</v>
      </c>
    </row>
    <row r="485" spans="1:14" x14ac:dyDescent="0.15">
      <c r="A485" s="107">
        <v>1701</v>
      </c>
      <c r="B485" s="107" t="s">
        <v>197</v>
      </c>
      <c r="C485" s="107" t="s">
        <v>271</v>
      </c>
      <c r="D485" s="107">
        <v>3</v>
      </c>
      <c r="E485" s="107" t="s">
        <v>293</v>
      </c>
      <c r="F485" s="107" t="s">
        <v>355</v>
      </c>
      <c r="G485" s="107">
        <v>4</v>
      </c>
      <c r="H485" s="107">
        <v>7</v>
      </c>
      <c r="I485" s="107">
        <v>0</v>
      </c>
      <c r="J485" s="107">
        <v>1.45</v>
      </c>
      <c r="K485" s="107">
        <v>4047</v>
      </c>
      <c r="L485" s="107">
        <v>1855</v>
      </c>
      <c r="M485" s="107">
        <v>556</v>
      </c>
      <c r="N485" s="107" t="s">
        <v>294</v>
      </c>
    </row>
    <row r="486" spans="1:14" x14ac:dyDescent="0.15">
      <c r="A486" s="107">
        <v>1748</v>
      </c>
      <c r="B486" s="107" t="s">
        <v>260</v>
      </c>
      <c r="C486" s="107" t="s">
        <v>268</v>
      </c>
      <c r="D486" s="25">
        <v>0.5</v>
      </c>
      <c r="E486" s="107" t="s">
        <v>280</v>
      </c>
      <c r="F486" s="107" t="s">
        <v>355</v>
      </c>
      <c r="G486" s="107">
        <v>95</v>
      </c>
      <c r="H486" s="107">
        <v>12</v>
      </c>
      <c r="I486" s="107">
        <v>8</v>
      </c>
      <c r="J486" s="107">
        <f t="shared" ref="J486:J507" si="7">(G486+H486/20+I486/320)/D486</f>
        <v>191.25</v>
      </c>
      <c r="K486" s="107">
        <v>6218</v>
      </c>
      <c r="L486" s="107"/>
      <c r="M486" s="107"/>
      <c r="N486" s="107"/>
    </row>
    <row r="487" spans="1:14" x14ac:dyDescent="0.15">
      <c r="A487" s="107">
        <v>1756</v>
      </c>
      <c r="B487" s="107" t="s">
        <v>197</v>
      </c>
      <c r="C487" s="107" t="s">
        <v>268</v>
      </c>
      <c r="D487" s="25">
        <v>0.5</v>
      </c>
      <c r="E487" s="107" t="s">
        <v>278</v>
      </c>
      <c r="F487" s="107" t="s">
        <v>355</v>
      </c>
      <c r="G487" s="107">
        <v>95</v>
      </c>
      <c r="H487" s="107">
        <v>0</v>
      </c>
      <c r="I487" s="107">
        <v>0</v>
      </c>
      <c r="J487" s="107">
        <f t="shared" si="7"/>
        <v>190</v>
      </c>
      <c r="K487" s="107">
        <v>6333</v>
      </c>
      <c r="L487" s="107"/>
      <c r="M487" s="107"/>
      <c r="N487" s="107"/>
    </row>
    <row r="488" spans="1:14" x14ac:dyDescent="0.15">
      <c r="A488" s="107">
        <v>1763</v>
      </c>
      <c r="B488" s="107" t="s">
        <v>197</v>
      </c>
      <c r="C488" s="107" t="s">
        <v>268</v>
      </c>
      <c r="D488" s="25">
        <v>194</v>
      </c>
      <c r="E488" s="107" t="s">
        <v>212</v>
      </c>
      <c r="F488" s="107" t="s">
        <v>355</v>
      </c>
      <c r="G488" s="107">
        <v>72</v>
      </c>
      <c r="H488" s="107">
        <v>0</v>
      </c>
      <c r="I488" s="107">
        <v>0</v>
      </c>
      <c r="J488" s="107">
        <f t="shared" si="7"/>
        <v>0.37113402061855671</v>
      </c>
      <c r="K488" s="107">
        <v>6423</v>
      </c>
      <c r="L488" s="107"/>
      <c r="M488" s="107"/>
      <c r="N488" s="107"/>
    </row>
    <row r="489" spans="1:14" x14ac:dyDescent="0.15">
      <c r="A489" s="107">
        <v>1776</v>
      </c>
      <c r="B489" s="107" t="s">
        <v>253</v>
      </c>
      <c r="C489" s="107" t="s">
        <v>268</v>
      </c>
      <c r="D489" s="25">
        <v>194</v>
      </c>
      <c r="E489" s="107" t="s">
        <v>212</v>
      </c>
      <c r="F489" s="107" t="s">
        <v>355</v>
      </c>
      <c r="G489" s="107">
        <v>60</v>
      </c>
      <c r="H489" s="107">
        <v>15</v>
      </c>
      <c r="I489" s="107">
        <v>0</v>
      </c>
      <c r="J489" s="107">
        <f t="shared" si="7"/>
        <v>0.31314432989690721</v>
      </c>
      <c r="K489" s="107">
        <v>6627</v>
      </c>
      <c r="L489" s="107"/>
      <c r="M489" s="107"/>
      <c r="N489" s="107"/>
    </row>
    <row r="490" spans="1:14" x14ac:dyDescent="0.15">
      <c r="A490" s="107">
        <v>1777</v>
      </c>
      <c r="B490" s="107" t="s">
        <v>253</v>
      </c>
      <c r="C490" s="107" t="s">
        <v>268</v>
      </c>
      <c r="D490" s="25">
        <v>388</v>
      </c>
      <c r="E490" s="107" t="s">
        <v>212</v>
      </c>
      <c r="F490" s="107" t="s">
        <v>355</v>
      </c>
      <c r="G490" s="107">
        <v>132</v>
      </c>
      <c r="H490" s="107">
        <v>0</v>
      </c>
      <c r="I490" s="107">
        <v>0</v>
      </c>
      <c r="J490" s="107">
        <f t="shared" si="7"/>
        <v>0.34020618556701032</v>
      </c>
      <c r="K490" s="107">
        <v>6643</v>
      </c>
      <c r="L490" s="107"/>
      <c r="M490" s="107"/>
      <c r="N490" s="107"/>
    </row>
    <row r="491" spans="1:14" x14ac:dyDescent="0.15">
      <c r="A491" s="107">
        <v>1780</v>
      </c>
      <c r="B491" s="107" t="s">
        <v>200</v>
      </c>
      <c r="C491" s="107" t="s">
        <v>268</v>
      </c>
      <c r="D491" s="25">
        <v>388</v>
      </c>
      <c r="E491" s="107" t="s">
        <v>212</v>
      </c>
      <c r="F491" s="107" t="s">
        <v>355</v>
      </c>
      <c r="G491" s="107">
        <v>132</v>
      </c>
      <c r="H491" s="107">
        <v>0</v>
      </c>
      <c r="I491" s="107">
        <v>0</v>
      </c>
      <c r="J491" s="107">
        <f t="shared" si="7"/>
        <v>0.34020618556701032</v>
      </c>
      <c r="K491" s="107">
        <v>6689</v>
      </c>
      <c r="L491" s="107"/>
      <c r="M491" s="107"/>
      <c r="N491" s="107"/>
    </row>
    <row r="492" spans="1:14" x14ac:dyDescent="0.15">
      <c r="A492" s="107">
        <v>1781</v>
      </c>
      <c r="B492" s="107" t="s">
        <v>261</v>
      </c>
      <c r="C492" s="107" t="s">
        <v>268</v>
      </c>
      <c r="D492" s="25">
        <v>194</v>
      </c>
      <c r="E492" s="107" t="s">
        <v>212</v>
      </c>
      <c r="F492" s="107" t="s">
        <v>355</v>
      </c>
      <c r="G492" s="107">
        <v>66</v>
      </c>
      <c r="H492" s="107">
        <v>0</v>
      </c>
      <c r="I492" s="107">
        <v>0</v>
      </c>
      <c r="J492" s="107">
        <f t="shared" si="7"/>
        <v>0.34020618556701032</v>
      </c>
      <c r="K492" s="107">
        <v>6699</v>
      </c>
      <c r="L492" s="107"/>
      <c r="M492" s="107"/>
      <c r="N492" s="107"/>
    </row>
    <row r="493" spans="1:14" x14ac:dyDescent="0.15">
      <c r="A493" s="107">
        <v>1785</v>
      </c>
      <c r="B493" s="107" t="s">
        <v>186</v>
      </c>
      <c r="C493" s="107" t="s">
        <v>268</v>
      </c>
      <c r="D493" s="25">
        <v>1358</v>
      </c>
      <c r="E493" s="107" t="s">
        <v>212</v>
      </c>
      <c r="F493" s="107" t="s">
        <v>355</v>
      </c>
      <c r="G493" s="107">
        <v>462</v>
      </c>
      <c r="H493" s="107">
        <v>0</v>
      </c>
      <c r="I493" s="107">
        <v>0</v>
      </c>
      <c r="J493" s="107">
        <f t="shared" si="7"/>
        <v>0.34020618556701032</v>
      </c>
      <c r="K493" s="107">
        <v>6736</v>
      </c>
      <c r="L493" s="107"/>
      <c r="M493" s="107"/>
      <c r="N493" s="107"/>
    </row>
    <row r="494" spans="1:14" x14ac:dyDescent="0.15">
      <c r="A494" s="107">
        <v>1786</v>
      </c>
      <c r="B494" s="107" t="s">
        <v>261</v>
      </c>
      <c r="C494" s="107" t="s">
        <v>268</v>
      </c>
      <c r="D494" s="25">
        <v>194</v>
      </c>
      <c r="E494" s="107" t="s">
        <v>212</v>
      </c>
      <c r="F494" s="107" t="s">
        <v>355</v>
      </c>
      <c r="G494" s="107">
        <v>66</v>
      </c>
      <c r="H494" s="107">
        <v>0</v>
      </c>
      <c r="I494" s="107">
        <v>0</v>
      </c>
      <c r="J494" s="107">
        <f t="shared" si="7"/>
        <v>0.34020618556701032</v>
      </c>
      <c r="K494" s="107">
        <v>6746</v>
      </c>
      <c r="L494" s="107"/>
      <c r="M494" s="107"/>
      <c r="N494" s="107"/>
    </row>
    <row r="495" spans="1:14" x14ac:dyDescent="0.15">
      <c r="A495" s="107">
        <v>1787</v>
      </c>
      <c r="B495" s="107" t="s">
        <v>197</v>
      </c>
      <c r="C495" s="107" t="s">
        <v>268</v>
      </c>
      <c r="D495" s="25">
        <v>388</v>
      </c>
      <c r="E495" s="107" t="s">
        <v>212</v>
      </c>
      <c r="F495" s="107" t="s">
        <v>355</v>
      </c>
      <c r="G495" s="107">
        <v>132</v>
      </c>
      <c r="H495" s="107">
        <v>0</v>
      </c>
      <c r="I495" s="107">
        <v>0</v>
      </c>
      <c r="J495" s="107">
        <f t="shared" si="7"/>
        <v>0.34020618556701032</v>
      </c>
      <c r="K495" s="107">
        <v>6752</v>
      </c>
      <c r="L495" s="107"/>
      <c r="M495" s="107"/>
      <c r="N495" s="107"/>
    </row>
    <row r="496" spans="1:14" x14ac:dyDescent="0.15">
      <c r="A496" s="107">
        <v>1788</v>
      </c>
      <c r="B496" s="107" t="s">
        <v>236</v>
      </c>
      <c r="C496" s="107" t="s">
        <v>268</v>
      </c>
      <c r="D496" s="25">
        <v>9</v>
      </c>
      <c r="E496" s="107" t="s">
        <v>212</v>
      </c>
      <c r="F496" s="107" t="s">
        <v>355</v>
      </c>
      <c r="G496" s="107">
        <v>33</v>
      </c>
      <c r="H496" s="107">
        <v>0</v>
      </c>
      <c r="I496" s="107">
        <v>0</v>
      </c>
      <c r="J496" s="25">
        <f t="shared" si="7"/>
        <v>3.6666666666666665</v>
      </c>
      <c r="K496" s="25">
        <v>6786</v>
      </c>
      <c r="L496" s="107"/>
      <c r="M496" s="107"/>
      <c r="N496" s="107"/>
    </row>
    <row r="497" spans="1:13" x14ac:dyDescent="0.15">
      <c r="A497" s="107">
        <v>1789</v>
      </c>
      <c r="B497" s="107" t="s">
        <v>253</v>
      </c>
      <c r="C497" s="107" t="s">
        <v>268</v>
      </c>
      <c r="D497" s="25">
        <v>97</v>
      </c>
      <c r="E497" s="107" t="s">
        <v>212</v>
      </c>
      <c r="F497" s="107" t="s">
        <v>355</v>
      </c>
      <c r="G497" s="107">
        <v>33</v>
      </c>
      <c r="H497" s="107">
        <v>0</v>
      </c>
      <c r="I497" s="107">
        <v>0</v>
      </c>
      <c r="J497" s="25">
        <f t="shared" si="7"/>
        <v>0.34020618556701032</v>
      </c>
      <c r="K497" s="25">
        <v>6785</v>
      </c>
      <c r="L497" s="107"/>
      <c r="M497" s="107"/>
    </row>
    <row r="498" spans="1:13" x14ac:dyDescent="0.15">
      <c r="A498" s="107">
        <v>1794</v>
      </c>
      <c r="B498" s="107" t="s">
        <v>261</v>
      </c>
      <c r="C498" s="107" t="s">
        <v>268</v>
      </c>
      <c r="D498" s="25">
        <v>1746</v>
      </c>
      <c r="E498" s="107" t="s">
        <v>212</v>
      </c>
      <c r="F498" s="107" t="s">
        <v>355</v>
      </c>
      <c r="G498" s="107">
        <v>594</v>
      </c>
      <c r="H498" s="107">
        <v>0</v>
      </c>
      <c r="I498" s="107">
        <v>0</v>
      </c>
      <c r="J498" s="107">
        <f t="shared" si="7"/>
        <v>0.34020618556701032</v>
      </c>
      <c r="K498" s="107">
        <v>6839</v>
      </c>
      <c r="L498" s="107"/>
      <c r="M498" s="107"/>
    </row>
    <row r="499" spans="1:13" x14ac:dyDescent="0.15">
      <c r="A499" s="107">
        <v>1716</v>
      </c>
      <c r="B499" s="107" t="s">
        <v>197</v>
      </c>
      <c r="C499" s="107" t="s">
        <v>268</v>
      </c>
      <c r="D499" s="25">
        <v>51</v>
      </c>
      <c r="E499" s="107" t="s">
        <v>212</v>
      </c>
      <c r="F499" s="107" t="s">
        <v>358</v>
      </c>
      <c r="G499" s="107">
        <v>58</v>
      </c>
      <c r="H499" s="107">
        <v>13</v>
      </c>
      <c r="I499" s="107">
        <v>0</v>
      </c>
      <c r="J499" s="107">
        <f t="shared" si="7"/>
        <v>1.1499999999999999</v>
      </c>
      <c r="K499" s="107">
        <v>5670</v>
      </c>
      <c r="L499" s="107"/>
      <c r="M499" s="107"/>
    </row>
    <row r="500" spans="1:13" x14ac:dyDescent="0.15">
      <c r="A500" s="107">
        <v>1783</v>
      </c>
      <c r="B500" s="107" t="s">
        <v>236</v>
      </c>
      <c r="C500" s="107" t="s">
        <v>268</v>
      </c>
      <c r="D500" s="25">
        <v>388</v>
      </c>
      <c r="E500" s="107" t="s">
        <v>212</v>
      </c>
      <c r="F500" s="107" t="s">
        <v>358</v>
      </c>
      <c r="G500" s="107">
        <v>371</v>
      </c>
      <c r="H500" s="107">
        <v>5</v>
      </c>
      <c r="I500" s="107">
        <v>0</v>
      </c>
      <c r="J500" s="25">
        <f t="shared" si="7"/>
        <v>0.95682989690721654</v>
      </c>
      <c r="K500" s="107">
        <v>6714</v>
      </c>
      <c r="L500" s="107"/>
      <c r="M500" s="107"/>
    </row>
    <row r="501" spans="1:13" x14ac:dyDescent="0.15">
      <c r="A501" s="107">
        <v>1771</v>
      </c>
      <c r="B501" s="107" t="s">
        <v>261</v>
      </c>
      <c r="C501" s="107" t="s">
        <v>268</v>
      </c>
      <c r="D501" s="25">
        <v>194</v>
      </c>
      <c r="E501" s="107" t="s">
        <v>212</v>
      </c>
      <c r="F501" s="107" t="s">
        <v>359</v>
      </c>
      <c r="G501" s="107">
        <v>66</v>
      </c>
      <c r="H501" s="107">
        <v>0</v>
      </c>
      <c r="I501" s="107">
        <v>0</v>
      </c>
      <c r="J501" s="107">
        <f t="shared" si="7"/>
        <v>0.34020618556701032</v>
      </c>
      <c r="K501" s="107">
        <v>6540</v>
      </c>
      <c r="L501" s="107"/>
      <c r="M501" s="107"/>
    </row>
    <row r="502" spans="1:13" x14ac:dyDescent="0.15">
      <c r="A502" s="107">
        <v>1774</v>
      </c>
      <c r="B502" s="107" t="s">
        <v>260</v>
      </c>
      <c r="C502" s="107" t="s">
        <v>268</v>
      </c>
      <c r="D502" s="25">
        <v>194</v>
      </c>
      <c r="E502" s="107" t="s">
        <v>212</v>
      </c>
      <c r="F502" s="107" t="s">
        <v>359</v>
      </c>
      <c r="G502" s="107">
        <v>66</v>
      </c>
      <c r="H502" s="107">
        <v>0</v>
      </c>
      <c r="I502" s="107">
        <v>0</v>
      </c>
      <c r="J502" s="25">
        <f t="shared" si="7"/>
        <v>0.34020618556701032</v>
      </c>
      <c r="K502" s="25">
        <v>6589</v>
      </c>
      <c r="L502" s="107"/>
      <c r="M502" s="107"/>
    </row>
    <row r="503" spans="1:13" x14ac:dyDescent="0.15">
      <c r="A503" s="107">
        <v>1778</v>
      </c>
      <c r="B503" s="107" t="s">
        <v>192</v>
      </c>
      <c r="C503" s="107" t="s">
        <v>268</v>
      </c>
      <c r="D503" s="25">
        <v>582</v>
      </c>
      <c r="E503" s="107" t="s">
        <v>212</v>
      </c>
      <c r="F503" s="107" t="s">
        <v>359</v>
      </c>
      <c r="G503" s="107">
        <v>198</v>
      </c>
      <c r="H503" s="107">
        <v>0</v>
      </c>
      <c r="I503" s="107">
        <v>0</v>
      </c>
      <c r="J503" s="107">
        <f t="shared" si="7"/>
        <v>0.34020618556701032</v>
      </c>
      <c r="K503" s="107">
        <v>6663</v>
      </c>
      <c r="L503" s="107"/>
      <c r="M503" s="107"/>
    </row>
    <row r="504" spans="1:13" x14ac:dyDescent="0.15">
      <c r="A504" s="107">
        <v>1780</v>
      </c>
      <c r="B504" s="107" t="s">
        <v>196</v>
      </c>
      <c r="C504" s="107" t="s">
        <v>268</v>
      </c>
      <c r="D504" s="25">
        <v>388</v>
      </c>
      <c r="E504" s="107" t="s">
        <v>212</v>
      </c>
      <c r="F504" s="107" t="s">
        <v>359</v>
      </c>
      <c r="G504" s="107">
        <v>132</v>
      </c>
      <c r="H504" s="107">
        <v>0</v>
      </c>
      <c r="I504" s="107">
        <v>0</v>
      </c>
      <c r="J504" s="107">
        <f t="shared" si="7"/>
        <v>0.34020618556701032</v>
      </c>
      <c r="K504" s="107">
        <v>6679</v>
      </c>
      <c r="L504" s="107"/>
      <c r="M504" s="107"/>
    </row>
    <row r="505" spans="1:13" x14ac:dyDescent="0.15">
      <c r="A505" s="107">
        <v>1784</v>
      </c>
      <c r="B505" s="107" t="s">
        <v>236</v>
      </c>
      <c r="C505" s="107" t="s">
        <v>268</v>
      </c>
      <c r="D505" s="25">
        <v>194</v>
      </c>
      <c r="E505" s="107" t="s">
        <v>212</v>
      </c>
      <c r="F505" s="107" t="s">
        <v>359</v>
      </c>
      <c r="G505" s="107">
        <v>77</v>
      </c>
      <c r="H505" s="107">
        <v>0</v>
      </c>
      <c r="I505" s="107">
        <v>0</v>
      </c>
      <c r="J505" s="107">
        <f t="shared" si="7"/>
        <v>0.39690721649484534</v>
      </c>
      <c r="K505" s="107">
        <v>6733</v>
      </c>
      <c r="L505" s="107"/>
      <c r="M505" s="107"/>
    </row>
    <row r="506" spans="1:13" x14ac:dyDescent="0.15">
      <c r="A506" s="107">
        <v>1793</v>
      </c>
      <c r="B506" s="107" t="s">
        <v>247</v>
      </c>
      <c r="C506" s="107" t="s">
        <v>270</v>
      </c>
      <c r="D506" s="25">
        <v>452</v>
      </c>
      <c r="E506" s="107" t="s">
        <v>212</v>
      </c>
      <c r="F506" s="107" t="s">
        <v>359</v>
      </c>
      <c r="G506" s="107">
        <v>153</v>
      </c>
      <c r="H506" s="107">
        <v>15</v>
      </c>
      <c r="I506" s="107">
        <v>8</v>
      </c>
      <c r="J506" s="107">
        <f t="shared" si="7"/>
        <v>0.34021017699115047</v>
      </c>
      <c r="K506" s="107">
        <v>6826</v>
      </c>
      <c r="L506" s="107"/>
      <c r="M506" s="107"/>
    </row>
    <row r="507" spans="1:13" x14ac:dyDescent="0.15">
      <c r="A507" s="107">
        <v>1794</v>
      </c>
      <c r="B507" s="107" t="s">
        <v>260</v>
      </c>
      <c r="C507" s="107" t="s">
        <v>270</v>
      </c>
      <c r="D507" s="25">
        <v>194</v>
      </c>
      <c r="E507" s="107" t="s">
        <v>212</v>
      </c>
      <c r="F507" s="107" t="s">
        <v>359</v>
      </c>
      <c r="G507" s="107">
        <v>66</v>
      </c>
      <c r="H507" s="107">
        <v>0</v>
      </c>
      <c r="I507" s="107">
        <v>0</v>
      </c>
      <c r="J507" s="107">
        <f t="shared" si="7"/>
        <v>0.34020618556701032</v>
      </c>
      <c r="K507" s="107">
        <v>6840</v>
      </c>
      <c r="L507" s="107"/>
      <c r="M507" s="107"/>
    </row>
    <row r="508" spans="1:13" x14ac:dyDescent="0.15">
      <c r="A508" s="107">
        <v>1665</v>
      </c>
      <c r="B508" s="107" t="s">
        <v>244</v>
      </c>
      <c r="C508" s="107" t="s">
        <v>274</v>
      </c>
      <c r="D508" s="107">
        <v>46</v>
      </c>
      <c r="E508" s="107" t="s">
        <v>360</v>
      </c>
      <c r="F508" s="107" t="s">
        <v>233</v>
      </c>
      <c r="G508" s="107">
        <v>125</v>
      </c>
      <c r="H508" s="107">
        <v>10</v>
      </c>
      <c r="I508" s="107">
        <v>0</v>
      </c>
      <c r="J508" s="107">
        <v>2.7282608695652173</v>
      </c>
      <c r="K508" s="107">
        <v>4000</v>
      </c>
      <c r="L508" s="107">
        <v>1798</v>
      </c>
      <c r="M508" s="107">
        <v>102</v>
      </c>
    </row>
    <row r="509" spans="1:13" x14ac:dyDescent="0.15">
      <c r="A509" s="107">
        <v>1667</v>
      </c>
      <c r="B509" s="107" t="s">
        <v>197</v>
      </c>
      <c r="C509" s="107" t="s">
        <v>274</v>
      </c>
      <c r="D509" s="107">
        <v>239.5</v>
      </c>
      <c r="E509" s="107" t="s">
        <v>360</v>
      </c>
      <c r="F509" s="107" t="s">
        <v>233</v>
      </c>
      <c r="G509" s="107">
        <v>759</v>
      </c>
      <c r="H509" s="107">
        <v>5</v>
      </c>
      <c r="I509" s="107">
        <v>0</v>
      </c>
      <c r="J509" s="107">
        <v>3.1701461377870563</v>
      </c>
      <c r="K509" s="107">
        <v>4002</v>
      </c>
      <c r="L509" s="107">
        <v>1802</v>
      </c>
      <c r="M509" s="107">
        <v>774</v>
      </c>
    </row>
    <row r="510" spans="1:13" x14ac:dyDescent="0.15">
      <c r="A510" s="107">
        <v>1668</v>
      </c>
      <c r="B510" s="107" t="s">
        <v>197</v>
      </c>
      <c r="C510" s="107" t="s">
        <v>274</v>
      </c>
      <c r="D510" s="107">
        <v>12</v>
      </c>
      <c r="E510" s="107" t="s">
        <v>360</v>
      </c>
      <c r="F510" s="107" t="s">
        <v>233</v>
      </c>
      <c r="G510" s="107">
        <v>48</v>
      </c>
      <c r="H510" s="107">
        <v>0</v>
      </c>
      <c r="I510" s="107">
        <v>0</v>
      </c>
      <c r="J510" s="107">
        <v>4</v>
      </c>
      <c r="K510" s="107">
        <v>4003</v>
      </c>
      <c r="L510" s="107">
        <v>1802</v>
      </c>
      <c r="M510" s="107">
        <v>36</v>
      </c>
    </row>
    <row r="511" spans="1:13" x14ac:dyDescent="0.15">
      <c r="A511" s="107">
        <v>1668</v>
      </c>
      <c r="B511" s="107" t="s">
        <v>197</v>
      </c>
      <c r="C511" s="107" t="s">
        <v>274</v>
      </c>
      <c r="D511" s="107">
        <v>69</v>
      </c>
      <c r="E511" s="107" t="s">
        <v>361</v>
      </c>
      <c r="F511" s="107" t="s">
        <v>233</v>
      </c>
      <c r="G511" s="107">
        <v>255</v>
      </c>
      <c r="H511" s="107">
        <v>0</v>
      </c>
      <c r="I511" s="107">
        <v>0</v>
      </c>
      <c r="J511" s="107">
        <v>3.6956521739130435</v>
      </c>
      <c r="K511" s="107">
        <v>4003</v>
      </c>
      <c r="L511" s="107">
        <v>1802</v>
      </c>
      <c r="M511" s="107">
        <v>42</v>
      </c>
    </row>
    <row r="512" spans="1:13" x14ac:dyDescent="0.15">
      <c r="A512" s="107">
        <v>1669</v>
      </c>
      <c r="B512" s="107" t="s">
        <v>197</v>
      </c>
      <c r="C512" s="107" t="s">
        <v>274</v>
      </c>
      <c r="D512" s="107">
        <v>4</v>
      </c>
      <c r="E512" s="107" t="s">
        <v>362</v>
      </c>
      <c r="F512" s="107" t="s">
        <v>233</v>
      </c>
      <c r="G512" s="107">
        <v>16</v>
      </c>
      <c r="H512" s="107">
        <v>0</v>
      </c>
      <c r="I512" s="107">
        <v>0</v>
      </c>
      <c r="J512" s="107">
        <v>4</v>
      </c>
      <c r="K512" s="107">
        <v>4004</v>
      </c>
      <c r="L512" s="107">
        <v>1805</v>
      </c>
      <c r="M512" s="107">
        <v>558</v>
      </c>
    </row>
    <row r="513" spans="1:14" x14ac:dyDescent="0.15">
      <c r="A513" s="107">
        <v>1670</v>
      </c>
      <c r="B513" s="107" t="s">
        <v>197</v>
      </c>
      <c r="C513" s="107" t="s">
        <v>274</v>
      </c>
      <c r="D513" s="107">
        <v>12</v>
      </c>
      <c r="E513" s="107" t="s">
        <v>361</v>
      </c>
      <c r="F513" s="107" t="s">
        <v>233</v>
      </c>
      <c r="G513" s="107">
        <v>48</v>
      </c>
      <c r="H513" s="107">
        <v>0</v>
      </c>
      <c r="I513" s="107">
        <v>0</v>
      </c>
      <c r="J513" s="107">
        <v>4</v>
      </c>
      <c r="K513" s="107">
        <v>4006</v>
      </c>
      <c r="L513" s="107">
        <v>1808</v>
      </c>
      <c r="M513" s="107">
        <v>635</v>
      </c>
      <c r="N513" s="107"/>
    </row>
    <row r="514" spans="1:14" x14ac:dyDescent="0.15">
      <c r="A514" s="107">
        <v>1671</v>
      </c>
      <c r="B514" s="107" t="s">
        <v>356</v>
      </c>
      <c r="C514" s="107" t="s">
        <v>274</v>
      </c>
      <c r="D514" s="107">
        <v>2</v>
      </c>
      <c r="E514" s="107" t="s">
        <v>363</v>
      </c>
      <c r="F514" s="107" t="s">
        <v>233</v>
      </c>
      <c r="G514" s="107">
        <v>12</v>
      </c>
      <c r="H514" s="107">
        <v>0</v>
      </c>
      <c r="I514" s="107">
        <v>0</v>
      </c>
      <c r="J514" s="107">
        <v>6</v>
      </c>
      <c r="K514" s="107">
        <v>4008</v>
      </c>
      <c r="L514" s="107">
        <v>1810</v>
      </c>
      <c r="M514" s="107">
        <v>430</v>
      </c>
      <c r="N514" s="107"/>
    </row>
    <row r="515" spans="1:14" x14ac:dyDescent="0.15">
      <c r="A515" s="107">
        <v>1672</v>
      </c>
      <c r="B515" s="107" t="s">
        <v>253</v>
      </c>
      <c r="C515" s="107" t="s">
        <v>274</v>
      </c>
      <c r="D515" s="107">
        <v>6</v>
      </c>
      <c r="E515" s="107" t="s">
        <v>360</v>
      </c>
      <c r="F515" s="107" t="s">
        <v>233</v>
      </c>
      <c r="G515" s="107">
        <v>18</v>
      </c>
      <c r="H515" s="107">
        <v>0</v>
      </c>
      <c r="I515" s="107">
        <v>0</v>
      </c>
      <c r="J515" s="107">
        <v>3</v>
      </c>
      <c r="K515" s="107">
        <v>4008</v>
      </c>
      <c r="L515" s="107">
        <v>1810</v>
      </c>
      <c r="M515" s="107">
        <v>537</v>
      </c>
      <c r="N515" s="107"/>
    </row>
    <row r="516" spans="1:14" x14ac:dyDescent="0.15">
      <c r="A516" s="107">
        <v>1673</v>
      </c>
      <c r="B516" s="107" t="s">
        <v>197</v>
      </c>
      <c r="C516" s="107" t="s">
        <v>274</v>
      </c>
      <c r="D516" s="107">
        <v>10.333333333333334</v>
      </c>
      <c r="E516" s="107" t="s">
        <v>364</v>
      </c>
      <c r="F516" s="107" t="s">
        <v>233</v>
      </c>
      <c r="G516" s="107">
        <v>64</v>
      </c>
      <c r="H516" s="107">
        <v>30</v>
      </c>
      <c r="I516" s="107">
        <v>0</v>
      </c>
      <c r="J516" s="107">
        <v>6.3387096774193541</v>
      </c>
      <c r="K516" s="107">
        <v>4010</v>
      </c>
      <c r="L516" s="107">
        <v>1812</v>
      </c>
      <c r="M516" s="107">
        <v>548</v>
      </c>
      <c r="N516" s="107"/>
    </row>
    <row r="517" spans="1:14" x14ac:dyDescent="0.15">
      <c r="A517" s="107">
        <v>1674</v>
      </c>
      <c r="B517" s="107" t="s">
        <v>197</v>
      </c>
      <c r="C517" s="107" t="s">
        <v>274</v>
      </c>
      <c r="D517" s="107">
        <v>9.5</v>
      </c>
      <c r="E517" s="107" t="s">
        <v>363</v>
      </c>
      <c r="F517" s="107" t="s">
        <v>233</v>
      </c>
      <c r="G517" s="107">
        <v>52</v>
      </c>
      <c r="H517" s="107">
        <v>5</v>
      </c>
      <c r="I517" s="107">
        <v>0</v>
      </c>
      <c r="J517" s="107">
        <v>5.5</v>
      </c>
      <c r="K517" s="107">
        <v>4011</v>
      </c>
      <c r="L517" s="107">
        <v>1814</v>
      </c>
      <c r="M517" s="107">
        <v>595</v>
      </c>
      <c r="N517" s="107" t="s">
        <v>294</v>
      </c>
    </row>
    <row r="518" spans="1:14" x14ac:dyDescent="0.15">
      <c r="A518" s="107">
        <v>1674</v>
      </c>
      <c r="B518" s="107" t="s">
        <v>197</v>
      </c>
      <c r="C518" s="107" t="s">
        <v>274</v>
      </c>
      <c r="D518" s="107">
        <v>6.5</v>
      </c>
      <c r="E518" s="107" t="s">
        <v>363</v>
      </c>
      <c r="F518" s="107" t="s">
        <v>233</v>
      </c>
      <c r="G518" s="107">
        <v>35</v>
      </c>
      <c r="H518" s="107">
        <v>15</v>
      </c>
      <c r="I518" s="107">
        <v>0</v>
      </c>
      <c r="J518" s="107">
        <v>5.5</v>
      </c>
      <c r="K518" s="107">
        <v>4011</v>
      </c>
      <c r="L518" s="107">
        <v>1814</v>
      </c>
      <c r="M518" s="107">
        <v>598</v>
      </c>
      <c r="N518" s="107" t="s">
        <v>294</v>
      </c>
    </row>
    <row r="519" spans="1:14" x14ac:dyDescent="0.15">
      <c r="A519" s="107">
        <v>1676</v>
      </c>
      <c r="B519" s="107" t="s">
        <v>197</v>
      </c>
      <c r="C519" s="107" t="s">
        <v>274</v>
      </c>
      <c r="D519" s="107">
        <v>14.5</v>
      </c>
      <c r="E519" s="107" t="s">
        <v>363</v>
      </c>
      <c r="F519" s="107" t="s">
        <v>233</v>
      </c>
      <c r="G519" s="107">
        <v>72</v>
      </c>
      <c r="H519" s="107">
        <v>10</v>
      </c>
      <c r="I519" s="107">
        <v>0</v>
      </c>
      <c r="J519" s="107">
        <v>5</v>
      </c>
      <c r="K519" s="107">
        <v>4012</v>
      </c>
      <c r="L519" s="107">
        <v>1814</v>
      </c>
      <c r="M519" s="107">
        <v>430</v>
      </c>
      <c r="N519" s="107"/>
    </row>
    <row r="520" spans="1:14" x14ac:dyDescent="0.15">
      <c r="A520" s="107">
        <v>1677</v>
      </c>
      <c r="B520" s="107" t="s">
        <v>197</v>
      </c>
      <c r="C520" s="107" t="s">
        <v>274</v>
      </c>
      <c r="D520" s="107">
        <v>10</v>
      </c>
      <c r="E520" s="107" t="s">
        <v>360</v>
      </c>
      <c r="F520" s="107" t="s">
        <v>233</v>
      </c>
      <c r="G520" s="107">
        <v>30</v>
      </c>
      <c r="H520" s="107">
        <v>0</v>
      </c>
      <c r="I520" s="107">
        <v>0</v>
      </c>
      <c r="J520" s="107">
        <v>3</v>
      </c>
      <c r="K520" s="107">
        <v>4013</v>
      </c>
      <c r="L520" s="107">
        <v>1816</v>
      </c>
      <c r="M520" s="107">
        <v>754</v>
      </c>
      <c r="N520" s="107"/>
    </row>
    <row r="521" spans="1:14" x14ac:dyDescent="0.15">
      <c r="A521" s="107">
        <v>1685</v>
      </c>
      <c r="B521" s="107" t="s">
        <v>196</v>
      </c>
      <c r="C521" s="107" t="s">
        <v>271</v>
      </c>
      <c r="D521" s="107">
        <v>8</v>
      </c>
      <c r="E521" s="107" t="s">
        <v>360</v>
      </c>
      <c r="F521" s="107" t="s">
        <v>233</v>
      </c>
      <c r="G521" s="107">
        <v>24</v>
      </c>
      <c r="H521" s="107">
        <v>0</v>
      </c>
      <c r="I521" s="107">
        <v>0</v>
      </c>
      <c r="J521" s="107">
        <v>3</v>
      </c>
      <c r="K521" s="107">
        <v>4022</v>
      </c>
      <c r="L521" s="107">
        <v>1827</v>
      </c>
      <c r="M521" s="107">
        <v>601</v>
      </c>
      <c r="N521" s="107"/>
    </row>
    <row r="522" spans="1:14" x14ac:dyDescent="0.15">
      <c r="A522" s="107">
        <v>1686</v>
      </c>
      <c r="B522" s="107" t="s">
        <v>197</v>
      </c>
      <c r="C522" s="107" t="s">
        <v>271</v>
      </c>
      <c r="D522" s="107">
        <v>30</v>
      </c>
      <c r="E522" s="107" t="s">
        <v>360</v>
      </c>
      <c r="F522" s="107" t="s">
        <v>233</v>
      </c>
      <c r="G522" s="107">
        <v>90</v>
      </c>
      <c r="H522" s="107">
        <v>0</v>
      </c>
      <c r="I522" s="107">
        <v>0</v>
      </c>
      <c r="J522" s="107">
        <v>3</v>
      </c>
      <c r="K522" s="107">
        <v>4023</v>
      </c>
      <c r="L522" s="107">
        <v>1829</v>
      </c>
      <c r="M522" s="107">
        <v>714</v>
      </c>
      <c r="N522" s="107"/>
    </row>
    <row r="523" spans="1:14" x14ac:dyDescent="0.15">
      <c r="A523" s="107">
        <v>1688</v>
      </c>
      <c r="B523" s="107" t="s">
        <v>260</v>
      </c>
      <c r="C523" s="107" t="s">
        <v>271</v>
      </c>
      <c r="D523" s="107">
        <v>29</v>
      </c>
      <c r="E523" s="107" t="s">
        <v>360</v>
      </c>
      <c r="F523" s="107" t="s">
        <v>233</v>
      </c>
      <c r="G523" s="107">
        <v>87</v>
      </c>
      <c r="H523" s="107">
        <v>0</v>
      </c>
      <c r="I523" s="107">
        <v>0</v>
      </c>
      <c r="J523" s="107">
        <v>3</v>
      </c>
      <c r="K523" s="107">
        <v>4025</v>
      </c>
      <c r="L523" s="107">
        <v>1831</v>
      </c>
      <c r="M523" s="107">
        <v>574</v>
      </c>
      <c r="N523" s="107"/>
    </row>
    <row r="524" spans="1:14" x14ac:dyDescent="0.15">
      <c r="A524" s="107">
        <v>1690</v>
      </c>
      <c r="B524" s="107" t="s">
        <v>192</v>
      </c>
      <c r="C524" s="107" t="s">
        <v>271</v>
      </c>
      <c r="D524" s="107">
        <v>6</v>
      </c>
      <c r="E524" s="107" t="s">
        <v>360</v>
      </c>
      <c r="F524" s="107" t="s">
        <v>233</v>
      </c>
      <c r="G524" s="107">
        <v>18</v>
      </c>
      <c r="H524" s="107">
        <v>0</v>
      </c>
      <c r="I524" s="107">
        <v>0</v>
      </c>
      <c r="J524" s="107">
        <v>3</v>
      </c>
      <c r="K524" s="107">
        <v>4028</v>
      </c>
      <c r="L524" s="107">
        <v>1834</v>
      </c>
      <c r="M524" s="107">
        <v>396</v>
      </c>
      <c r="N524" s="107"/>
    </row>
    <row r="525" spans="1:14" x14ac:dyDescent="0.15">
      <c r="A525" s="107">
        <v>1691</v>
      </c>
      <c r="B525" s="107" t="s">
        <v>244</v>
      </c>
      <c r="C525" s="107" t="s">
        <v>271</v>
      </c>
      <c r="D525" s="107">
        <v>38</v>
      </c>
      <c r="E525" s="107" t="s">
        <v>360</v>
      </c>
      <c r="F525" s="107" t="s">
        <v>233</v>
      </c>
      <c r="G525" s="107">
        <v>114</v>
      </c>
      <c r="H525" s="107">
        <v>0</v>
      </c>
      <c r="I525" s="107">
        <v>0</v>
      </c>
      <c r="J525" s="107">
        <v>3</v>
      </c>
      <c r="K525" s="107">
        <v>4028</v>
      </c>
      <c r="L525" s="107">
        <v>1834</v>
      </c>
      <c r="M525" s="107">
        <v>379</v>
      </c>
      <c r="N525" s="107"/>
    </row>
    <row r="526" spans="1:14" x14ac:dyDescent="0.15">
      <c r="A526" s="107">
        <v>1692</v>
      </c>
      <c r="B526" s="107" t="s">
        <v>200</v>
      </c>
      <c r="C526" s="107" t="s">
        <v>271</v>
      </c>
      <c r="D526" s="107">
        <v>25</v>
      </c>
      <c r="E526" s="107" t="s">
        <v>360</v>
      </c>
      <c r="F526" s="107" t="s">
        <v>233</v>
      </c>
      <c r="G526" s="107">
        <v>75</v>
      </c>
      <c r="H526" s="107">
        <v>0</v>
      </c>
      <c r="I526" s="107">
        <v>0</v>
      </c>
      <c r="J526" s="107">
        <v>3</v>
      </c>
      <c r="K526" s="107">
        <v>4030</v>
      </c>
      <c r="L526" s="107">
        <v>1836</v>
      </c>
      <c r="M526" s="107">
        <v>240</v>
      </c>
      <c r="N526" s="107"/>
    </row>
    <row r="527" spans="1:14" x14ac:dyDescent="0.15">
      <c r="A527" s="107">
        <v>1693</v>
      </c>
      <c r="B527" s="107" t="s">
        <v>261</v>
      </c>
      <c r="C527" s="107" t="s">
        <v>271</v>
      </c>
      <c r="D527" s="107">
        <v>56</v>
      </c>
      <c r="E527" s="107" t="s">
        <v>360</v>
      </c>
      <c r="F527" s="107" t="s">
        <v>233</v>
      </c>
      <c r="G527" s="107">
        <v>168</v>
      </c>
      <c r="H527" s="107">
        <v>0</v>
      </c>
      <c r="I527" s="107">
        <v>0</v>
      </c>
      <c r="J527" s="107">
        <v>3</v>
      </c>
      <c r="K527" s="107">
        <v>4030</v>
      </c>
      <c r="L527" s="107">
        <v>1836</v>
      </c>
      <c r="M527" s="107">
        <v>230</v>
      </c>
      <c r="N527" s="107"/>
    </row>
    <row r="528" spans="1:14" x14ac:dyDescent="0.15">
      <c r="A528" s="107">
        <v>1694</v>
      </c>
      <c r="B528" s="107" t="s">
        <v>261</v>
      </c>
      <c r="C528" s="107" t="s">
        <v>271</v>
      </c>
      <c r="D528" s="107">
        <v>41</v>
      </c>
      <c r="E528" s="107" t="s">
        <v>360</v>
      </c>
      <c r="F528" s="107" t="s">
        <v>233</v>
      </c>
      <c r="G528" s="107">
        <v>123</v>
      </c>
      <c r="H528" s="107">
        <v>0</v>
      </c>
      <c r="I528" s="107">
        <v>0</v>
      </c>
      <c r="J528" s="107">
        <v>3</v>
      </c>
      <c r="K528" s="107">
        <v>4032</v>
      </c>
      <c r="L528" s="107">
        <v>1839</v>
      </c>
      <c r="M528" s="107">
        <v>252</v>
      </c>
      <c r="N528" s="107"/>
    </row>
    <row r="529" spans="1:14" x14ac:dyDescent="0.15">
      <c r="A529" s="107">
        <v>1695</v>
      </c>
      <c r="B529" s="107" t="s">
        <v>260</v>
      </c>
      <c r="C529" s="107" t="s">
        <v>271</v>
      </c>
      <c r="D529" s="107">
        <v>30</v>
      </c>
      <c r="E529" s="107" t="s">
        <v>360</v>
      </c>
      <c r="F529" s="107" t="s">
        <v>233</v>
      </c>
      <c r="G529" s="107">
        <v>90</v>
      </c>
      <c r="H529" s="107">
        <v>0</v>
      </c>
      <c r="I529" s="107">
        <v>0</v>
      </c>
      <c r="J529" s="107">
        <v>3</v>
      </c>
      <c r="K529" s="107">
        <v>4034</v>
      </c>
      <c r="L529" s="107">
        <v>1841</v>
      </c>
      <c r="M529" s="107">
        <v>490</v>
      </c>
      <c r="N529" s="107"/>
    </row>
    <row r="530" spans="1:14" x14ac:dyDescent="0.15">
      <c r="A530" s="107">
        <v>1696</v>
      </c>
      <c r="B530" s="107" t="s">
        <v>260</v>
      </c>
      <c r="C530" s="107" t="s">
        <v>271</v>
      </c>
      <c r="D530" s="107">
        <v>21</v>
      </c>
      <c r="E530" s="107" t="s">
        <v>360</v>
      </c>
      <c r="F530" s="107" t="s">
        <v>233</v>
      </c>
      <c r="G530" s="107">
        <v>63</v>
      </c>
      <c r="H530" s="107">
        <v>0</v>
      </c>
      <c r="I530" s="107">
        <v>0</v>
      </c>
      <c r="J530" s="107">
        <v>3</v>
      </c>
      <c r="K530" s="107">
        <v>4035</v>
      </c>
      <c r="L530" s="107">
        <v>1841</v>
      </c>
      <c r="M530" s="107">
        <v>67</v>
      </c>
      <c r="N530" s="107"/>
    </row>
    <row r="531" spans="1:14" x14ac:dyDescent="0.15">
      <c r="A531" s="107">
        <v>1697</v>
      </c>
      <c r="B531" s="107" t="s">
        <v>244</v>
      </c>
      <c r="C531" s="107" t="s">
        <v>271</v>
      </c>
      <c r="D531" s="107">
        <v>46</v>
      </c>
      <c r="E531" s="107" t="s">
        <v>360</v>
      </c>
      <c r="F531" s="107" t="s">
        <v>233</v>
      </c>
      <c r="G531" s="107">
        <v>138</v>
      </c>
      <c r="H531" s="107">
        <v>0</v>
      </c>
      <c r="I531" s="107">
        <v>0</v>
      </c>
      <c r="J531" s="107">
        <v>3</v>
      </c>
      <c r="K531" s="107">
        <v>4037</v>
      </c>
      <c r="L531" s="107">
        <v>1844</v>
      </c>
      <c r="M531" s="107">
        <v>1362</v>
      </c>
      <c r="N531" s="107"/>
    </row>
    <row r="532" spans="1:14" x14ac:dyDescent="0.15">
      <c r="A532" s="107">
        <v>1702</v>
      </c>
      <c r="B532" s="107" t="s">
        <v>226</v>
      </c>
      <c r="C532" s="107" t="s">
        <v>268</v>
      </c>
      <c r="D532" s="25">
        <v>15</v>
      </c>
      <c r="E532" s="107" t="s">
        <v>360</v>
      </c>
      <c r="F532" s="107" t="s">
        <v>233</v>
      </c>
      <c r="G532" s="107">
        <v>45</v>
      </c>
      <c r="H532" s="107">
        <v>0</v>
      </c>
      <c r="I532" s="107">
        <v>0</v>
      </c>
      <c r="J532" s="107">
        <f>(G532+H532/20+I532/320)/D532</f>
        <v>3</v>
      </c>
      <c r="K532" s="107">
        <v>5503</v>
      </c>
      <c r="L532" s="107"/>
      <c r="M532" s="107"/>
      <c r="N532" s="107"/>
    </row>
    <row r="533" spans="1:14" x14ac:dyDescent="0.15">
      <c r="A533" s="107">
        <v>1702</v>
      </c>
      <c r="B533" s="107" t="s">
        <v>244</v>
      </c>
      <c r="C533" s="107" t="s">
        <v>271</v>
      </c>
      <c r="D533" s="107">
        <v>20</v>
      </c>
      <c r="E533" s="107" t="s">
        <v>360</v>
      </c>
      <c r="F533" s="107" t="s">
        <v>233</v>
      </c>
      <c r="G533" s="107">
        <v>60</v>
      </c>
      <c r="H533" s="107">
        <v>0</v>
      </c>
      <c r="I533" s="107">
        <v>0</v>
      </c>
      <c r="J533" s="107">
        <v>3</v>
      </c>
      <c r="K533" s="107">
        <v>4049</v>
      </c>
      <c r="L533" s="107">
        <v>1856</v>
      </c>
      <c r="M533" s="107">
        <v>497</v>
      </c>
      <c r="N533" s="107"/>
    </row>
    <row r="534" spans="1:14" x14ac:dyDescent="0.15">
      <c r="A534" s="107">
        <v>1703</v>
      </c>
      <c r="B534" s="107" t="s">
        <v>253</v>
      </c>
      <c r="C534" s="107" t="s">
        <v>271</v>
      </c>
      <c r="D534" s="107">
        <v>10</v>
      </c>
      <c r="E534" s="107" t="s">
        <v>360</v>
      </c>
      <c r="F534" s="107" t="s">
        <v>233</v>
      </c>
      <c r="G534" s="107">
        <v>30</v>
      </c>
      <c r="H534" s="107">
        <v>0</v>
      </c>
      <c r="I534" s="107">
        <v>0</v>
      </c>
      <c r="J534" s="107">
        <v>3</v>
      </c>
      <c r="K534" s="107">
        <v>4049</v>
      </c>
      <c r="L534" s="107">
        <v>1856</v>
      </c>
      <c r="M534" s="107">
        <v>538</v>
      </c>
      <c r="N534" s="107"/>
    </row>
    <row r="535" spans="1:14" x14ac:dyDescent="0.15">
      <c r="A535" s="107">
        <v>1704</v>
      </c>
      <c r="B535" s="107" t="s">
        <v>260</v>
      </c>
      <c r="C535" s="107" t="s">
        <v>268</v>
      </c>
      <c r="D535" s="25">
        <v>4</v>
      </c>
      <c r="E535" s="107" t="s">
        <v>360</v>
      </c>
      <c r="F535" s="107" t="s">
        <v>233</v>
      </c>
      <c r="G535" s="107">
        <v>12</v>
      </c>
      <c r="H535" s="107">
        <v>0</v>
      </c>
      <c r="I535" s="107">
        <v>0</v>
      </c>
      <c r="J535" s="107">
        <f>(G535+H535/20+I535/320)/D535</f>
        <v>3</v>
      </c>
      <c r="K535" s="107">
        <v>5524</v>
      </c>
      <c r="L535" s="107"/>
      <c r="M535" s="107"/>
      <c r="N535" s="107"/>
    </row>
    <row r="536" spans="1:14" x14ac:dyDescent="0.15">
      <c r="A536" s="107">
        <v>1704</v>
      </c>
      <c r="B536" s="107" t="s">
        <v>253</v>
      </c>
      <c r="C536" s="107" t="s">
        <v>268</v>
      </c>
      <c r="D536" s="25">
        <v>8</v>
      </c>
      <c r="E536" s="107" t="s">
        <v>360</v>
      </c>
      <c r="F536" s="107" t="s">
        <v>233</v>
      </c>
      <c r="G536" s="107">
        <v>24</v>
      </c>
      <c r="H536" s="107">
        <v>0</v>
      </c>
      <c r="I536" s="107">
        <v>0</v>
      </c>
      <c r="J536" s="107">
        <f>(G536+H536/20+I536/320)/D536</f>
        <v>3</v>
      </c>
      <c r="K536" s="107">
        <v>5525</v>
      </c>
      <c r="L536" s="107"/>
      <c r="M536" s="107"/>
      <c r="N536" s="107"/>
    </row>
    <row r="537" spans="1:14" x14ac:dyDescent="0.15">
      <c r="A537" s="107">
        <v>1704</v>
      </c>
      <c r="B537" s="107" t="s">
        <v>253</v>
      </c>
      <c r="C537" s="107" t="s">
        <v>271</v>
      </c>
      <c r="D537" s="107">
        <v>2</v>
      </c>
      <c r="E537" s="107" t="s">
        <v>360</v>
      </c>
      <c r="F537" s="107" t="s">
        <v>233</v>
      </c>
      <c r="G537" s="107">
        <v>6</v>
      </c>
      <c r="H537" s="107">
        <v>0</v>
      </c>
      <c r="I537" s="107">
        <v>0</v>
      </c>
      <c r="J537" s="107">
        <v>3</v>
      </c>
      <c r="K537" s="107">
        <v>4050</v>
      </c>
      <c r="L537" s="107">
        <v>1858</v>
      </c>
      <c r="M537" s="107">
        <v>503</v>
      </c>
      <c r="N537" s="107"/>
    </row>
    <row r="538" spans="1:14" x14ac:dyDescent="0.15">
      <c r="A538" s="107">
        <v>1705</v>
      </c>
      <c r="B538" s="107" t="s">
        <v>260</v>
      </c>
      <c r="C538" s="107" t="s">
        <v>271</v>
      </c>
      <c r="D538" s="107">
        <v>3</v>
      </c>
      <c r="E538" s="107" t="s">
        <v>360</v>
      </c>
      <c r="F538" s="107" t="s">
        <v>233</v>
      </c>
      <c r="G538" s="107">
        <v>9</v>
      </c>
      <c r="H538" s="107">
        <v>0</v>
      </c>
      <c r="I538" s="107">
        <v>0</v>
      </c>
      <c r="J538" s="107">
        <v>3</v>
      </c>
      <c r="K538" s="107">
        <v>4051</v>
      </c>
      <c r="L538" s="107">
        <v>1860</v>
      </c>
      <c r="M538" s="107">
        <v>675</v>
      </c>
      <c r="N538" s="107"/>
    </row>
    <row r="539" spans="1:14" x14ac:dyDescent="0.15">
      <c r="A539" s="107">
        <v>1706</v>
      </c>
      <c r="B539" s="107" t="s">
        <v>186</v>
      </c>
      <c r="C539" s="107" t="s">
        <v>268</v>
      </c>
      <c r="D539" s="25">
        <v>12</v>
      </c>
      <c r="E539" s="107" t="s">
        <v>360</v>
      </c>
      <c r="F539" s="107" t="s">
        <v>233</v>
      </c>
      <c r="G539" s="107">
        <v>36</v>
      </c>
      <c r="H539" s="107">
        <v>0</v>
      </c>
      <c r="I539" s="107">
        <v>0</v>
      </c>
      <c r="J539" s="107">
        <f t="shared" ref="J539:J544" si="8">(G539+H539/20+I539/320)/D539</f>
        <v>3</v>
      </c>
      <c r="K539" s="107">
        <v>5558</v>
      </c>
      <c r="L539" s="107"/>
      <c r="M539" s="107"/>
      <c r="N539" s="107"/>
    </row>
    <row r="540" spans="1:14" x14ac:dyDescent="0.15">
      <c r="A540" s="107">
        <v>1717</v>
      </c>
      <c r="B540" s="107" t="s">
        <v>192</v>
      </c>
      <c r="C540" s="107" t="s">
        <v>268</v>
      </c>
      <c r="D540" s="25">
        <v>9</v>
      </c>
      <c r="E540" s="107" t="s">
        <v>360</v>
      </c>
      <c r="F540" s="107" t="s">
        <v>233</v>
      </c>
      <c r="G540" s="107">
        <v>27</v>
      </c>
      <c r="H540" s="107">
        <v>0</v>
      </c>
      <c r="I540" s="107">
        <v>0</v>
      </c>
      <c r="J540" s="107">
        <f t="shared" si="8"/>
        <v>3</v>
      </c>
      <c r="K540" s="107">
        <v>5683</v>
      </c>
      <c r="L540" s="107"/>
      <c r="M540" s="107"/>
      <c r="N540" s="107"/>
    </row>
    <row r="541" spans="1:14" x14ac:dyDescent="0.15">
      <c r="A541" s="107">
        <v>1786</v>
      </c>
      <c r="B541" s="107" t="s">
        <v>261</v>
      </c>
      <c r="C541" s="107" t="s">
        <v>268</v>
      </c>
      <c r="D541" s="25">
        <v>14</v>
      </c>
      <c r="E541" s="107" t="s">
        <v>360</v>
      </c>
      <c r="F541" s="107" t="s">
        <v>233</v>
      </c>
      <c r="G541" s="107">
        <v>138</v>
      </c>
      <c r="H541" s="107">
        <v>12</v>
      </c>
      <c r="I541" s="107">
        <v>0</v>
      </c>
      <c r="J541" s="107">
        <f t="shared" si="8"/>
        <v>9.9</v>
      </c>
      <c r="K541" s="107">
        <v>6746</v>
      </c>
      <c r="L541" s="107"/>
      <c r="M541" s="107"/>
      <c r="N541" s="107" t="s">
        <v>365</v>
      </c>
    </row>
    <row r="542" spans="1:14" x14ac:dyDescent="0.15">
      <c r="A542" s="107">
        <v>1793</v>
      </c>
      <c r="B542" s="107" t="s">
        <v>247</v>
      </c>
      <c r="C542" s="107" t="s">
        <v>270</v>
      </c>
      <c r="D542" s="25">
        <v>3</v>
      </c>
      <c r="E542" s="107" t="s">
        <v>360</v>
      </c>
      <c r="F542" s="107" t="s">
        <v>233</v>
      </c>
      <c r="G542" s="107">
        <v>39</v>
      </c>
      <c r="H542" s="107">
        <v>12</v>
      </c>
      <c r="I542" s="107">
        <v>0</v>
      </c>
      <c r="J542" s="107">
        <f t="shared" si="8"/>
        <v>13.200000000000001</v>
      </c>
      <c r="K542" s="107">
        <v>6826</v>
      </c>
      <c r="L542" s="107"/>
      <c r="M542" s="107"/>
      <c r="N542" s="107" t="s">
        <v>366</v>
      </c>
    </row>
    <row r="543" spans="1:14" x14ac:dyDescent="0.15">
      <c r="A543" s="107">
        <v>1779</v>
      </c>
      <c r="B543" s="107" t="s">
        <v>247</v>
      </c>
      <c r="C543" s="107" t="s">
        <v>268</v>
      </c>
      <c r="D543" s="25">
        <v>36</v>
      </c>
      <c r="E543" s="107" t="s">
        <v>363</v>
      </c>
      <c r="F543" s="107" t="s">
        <v>233</v>
      </c>
      <c r="G543" s="107">
        <v>324</v>
      </c>
      <c r="H543" s="107">
        <v>0</v>
      </c>
      <c r="I543" s="107">
        <v>0</v>
      </c>
      <c r="J543" s="107">
        <f t="shared" si="8"/>
        <v>9</v>
      </c>
      <c r="K543" s="107" t="s">
        <v>367</v>
      </c>
      <c r="L543" s="107">
        <v>4893</v>
      </c>
      <c r="M543" s="107"/>
      <c r="N543" s="107"/>
    </row>
    <row r="544" spans="1:14" x14ac:dyDescent="0.15">
      <c r="A544" s="107">
        <v>1779</v>
      </c>
      <c r="B544" s="107" t="s">
        <v>260</v>
      </c>
      <c r="C544" s="107" t="s">
        <v>268</v>
      </c>
      <c r="D544" s="25">
        <v>194</v>
      </c>
      <c r="E544" s="107" t="s">
        <v>212</v>
      </c>
      <c r="F544" s="107" t="s">
        <v>368</v>
      </c>
      <c r="G544" s="107">
        <v>66</v>
      </c>
      <c r="H544" s="107">
        <v>0</v>
      </c>
      <c r="I544" s="107">
        <v>0</v>
      </c>
      <c r="J544" s="107">
        <f t="shared" si="8"/>
        <v>0.34020618556701032</v>
      </c>
      <c r="K544" s="107">
        <v>6669</v>
      </c>
      <c r="L544" s="107"/>
      <c r="M544" s="107"/>
      <c r="N544" s="107"/>
    </row>
    <row r="545" spans="1:14" x14ac:dyDescent="0.15">
      <c r="A545" s="107">
        <v>1659</v>
      </c>
      <c r="B545" s="107" t="s">
        <v>197</v>
      </c>
      <c r="C545" s="107" t="s">
        <v>274</v>
      </c>
      <c r="D545" s="107">
        <v>10</v>
      </c>
      <c r="E545" s="107" t="s">
        <v>204</v>
      </c>
      <c r="F545" s="107" t="s">
        <v>369</v>
      </c>
      <c r="G545" s="107">
        <v>13</v>
      </c>
      <c r="H545" s="107">
        <v>9</v>
      </c>
      <c r="I545" s="107">
        <v>0</v>
      </c>
      <c r="J545" s="107">
        <v>1.345</v>
      </c>
      <c r="K545" s="107">
        <v>3993</v>
      </c>
      <c r="L545" s="107">
        <v>1792</v>
      </c>
      <c r="M545" s="107">
        <v>167</v>
      </c>
      <c r="N545" s="107" t="s">
        <v>317</v>
      </c>
    </row>
    <row r="546" spans="1:14" x14ac:dyDescent="0.15">
      <c r="A546" s="107">
        <v>1659</v>
      </c>
      <c r="B546" s="107" t="s">
        <v>197</v>
      </c>
      <c r="C546" s="107" t="s">
        <v>274</v>
      </c>
      <c r="D546" s="107">
        <v>14</v>
      </c>
      <c r="E546" s="107"/>
      <c r="F546" s="107" t="s">
        <v>370</v>
      </c>
      <c r="G546" s="107">
        <v>5</v>
      </c>
      <c r="H546" s="107">
        <v>2</v>
      </c>
      <c r="I546" s="107">
        <v>0</v>
      </c>
      <c r="J546" s="107">
        <v>0.36428571428571427</v>
      </c>
      <c r="K546" s="107">
        <v>3993</v>
      </c>
      <c r="L546" s="107">
        <v>1792</v>
      </c>
      <c r="M546" s="107">
        <v>167</v>
      </c>
      <c r="N546" s="107" t="s">
        <v>317</v>
      </c>
    </row>
    <row r="547" spans="1:14" x14ac:dyDescent="0.15">
      <c r="A547" s="107">
        <v>1793</v>
      </c>
      <c r="B547" s="107" t="s">
        <v>192</v>
      </c>
      <c r="C547" s="107" t="s">
        <v>268</v>
      </c>
      <c r="D547" s="25">
        <v>96</v>
      </c>
      <c r="E547" s="107" t="s">
        <v>204</v>
      </c>
      <c r="F547" s="107" t="s">
        <v>371</v>
      </c>
      <c r="G547" s="107">
        <v>9</v>
      </c>
      <c r="H547" s="107">
        <v>18</v>
      </c>
      <c r="I547" s="107">
        <v>0</v>
      </c>
      <c r="J547" s="107">
        <f>(G547+H547/20+I547/320)/D547</f>
        <v>0.10312500000000001</v>
      </c>
      <c r="K547" s="107">
        <v>6826</v>
      </c>
      <c r="L547" s="107"/>
      <c r="M547" s="107"/>
      <c r="N547" s="107"/>
    </row>
    <row r="548" spans="1:14" x14ac:dyDescent="0.15">
      <c r="A548" s="107">
        <v>1793</v>
      </c>
      <c r="B548" s="107" t="s">
        <v>247</v>
      </c>
      <c r="C548" s="107" t="s">
        <v>270</v>
      </c>
      <c r="D548" s="25">
        <v>474</v>
      </c>
      <c r="E548" s="107" t="s">
        <v>204</v>
      </c>
      <c r="F548" s="107" t="s">
        <v>371</v>
      </c>
      <c r="G548" s="107">
        <v>48</v>
      </c>
      <c r="H548" s="107">
        <v>17</v>
      </c>
      <c r="I548" s="107">
        <v>8</v>
      </c>
      <c r="J548" s="107">
        <f>(G548+H548/20+I548/320)/D548</f>
        <v>0.10311181434599156</v>
      </c>
      <c r="K548" s="107">
        <v>6826</v>
      </c>
      <c r="L548" s="107"/>
      <c r="M548" s="107"/>
      <c r="N548" s="107"/>
    </row>
    <row r="549" spans="1:14" x14ac:dyDescent="0.15">
      <c r="A549" s="107">
        <v>1794</v>
      </c>
      <c r="B549" s="107" t="s">
        <v>260</v>
      </c>
      <c r="C549" s="107" t="s">
        <v>270</v>
      </c>
      <c r="D549" s="25">
        <v>110</v>
      </c>
      <c r="E549" s="107" t="s">
        <v>204</v>
      </c>
      <c r="F549" s="107" t="s">
        <v>371</v>
      </c>
      <c r="G549" s="107">
        <v>11</v>
      </c>
      <c r="H549" s="107">
        <v>7</v>
      </c>
      <c r="I549" s="107">
        <v>0</v>
      </c>
      <c r="J549" s="107">
        <f>(G549+H549/20+I549/320)/D549</f>
        <v>0.10318181818181818</v>
      </c>
      <c r="K549" s="107">
        <v>6840</v>
      </c>
      <c r="L549" s="107"/>
      <c r="M549" s="107"/>
      <c r="N549" s="107"/>
    </row>
    <row r="550" spans="1:14" x14ac:dyDescent="0.15">
      <c r="A550" s="107">
        <v>1794</v>
      </c>
      <c r="B550" s="107" t="s">
        <v>261</v>
      </c>
      <c r="C550" s="107" t="s">
        <v>268</v>
      </c>
      <c r="D550" s="25">
        <v>2484</v>
      </c>
      <c r="E550" s="107" t="s">
        <v>204</v>
      </c>
      <c r="F550" s="107" t="s">
        <v>371</v>
      </c>
      <c r="G550" s="107">
        <v>256</v>
      </c>
      <c r="H550" s="107">
        <v>3</v>
      </c>
      <c r="I550" s="107">
        <v>8</v>
      </c>
      <c r="J550" s="107">
        <f>(G550+H550/20+I550/320)/D550</f>
        <v>0.10313003220611915</v>
      </c>
      <c r="K550" s="107">
        <v>6839</v>
      </c>
      <c r="L550" s="107"/>
      <c r="M550" s="107"/>
      <c r="N550" s="107"/>
    </row>
    <row r="551" spans="1:14" x14ac:dyDescent="0.15">
      <c r="A551" s="107">
        <v>1656</v>
      </c>
      <c r="B551" s="107" t="s">
        <v>260</v>
      </c>
      <c r="C551" s="107" t="s">
        <v>274</v>
      </c>
      <c r="D551" s="107">
        <v>25</v>
      </c>
      <c r="E551" s="107" t="s">
        <v>193</v>
      </c>
      <c r="F551" s="107" t="s">
        <v>372</v>
      </c>
      <c r="G551" s="107">
        <v>2</v>
      </c>
      <c r="H551" s="107">
        <v>10</v>
      </c>
      <c r="I551" s="107">
        <v>0</v>
      </c>
      <c r="J551" s="107">
        <v>0.1</v>
      </c>
      <c r="K551" s="107">
        <v>3991</v>
      </c>
      <c r="L551" s="107">
        <v>1788</v>
      </c>
      <c r="M551" s="107">
        <v>160</v>
      </c>
      <c r="N551" s="107"/>
    </row>
    <row r="552" spans="1:14" x14ac:dyDescent="0.15">
      <c r="A552" s="107">
        <v>1659</v>
      </c>
      <c r="B552" s="107" t="s">
        <v>244</v>
      </c>
      <c r="C552" s="107" t="s">
        <v>274</v>
      </c>
      <c r="D552" s="107">
        <v>70</v>
      </c>
      <c r="E552" s="107" t="s">
        <v>193</v>
      </c>
      <c r="F552" s="107" t="s">
        <v>372</v>
      </c>
      <c r="G552" s="107">
        <v>5</v>
      </c>
      <c r="H552" s="107">
        <v>5</v>
      </c>
      <c r="I552" s="107">
        <v>0</v>
      </c>
      <c r="J552" s="107">
        <v>7.4999999999999997E-2</v>
      </c>
      <c r="K552" s="107">
        <v>3994</v>
      </c>
      <c r="L552" s="107">
        <v>1792</v>
      </c>
      <c r="M552" s="107">
        <v>180</v>
      </c>
      <c r="N552" s="107"/>
    </row>
    <row r="553" spans="1:14" x14ac:dyDescent="0.15">
      <c r="A553" s="107">
        <v>1671</v>
      </c>
      <c r="B553" s="107" t="s">
        <v>197</v>
      </c>
      <c r="C553" s="107" t="s">
        <v>274</v>
      </c>
      <c r="D553" s="107">
        <v>4</v>
      </c>
      <c r="E553" s="107" t="s">
        <v>193</v>
      </c>
      <c r="F553" s="107" t="s">
        <v>372</v>
      </c>
      <c r="G553" s="107">
        <v>0</v>
      </c>
      <c r="H553" s="107">
        <v>6</v>
      </c>
      <c r="I553" s="107">
        <v>0</v>
      </c>
      <c r="J553" s="107">
        <v>7.4999999999999997E-2</v>
      </c>
      <c r="K553" s="107">
        <v>4008</v>
      </c>
      <c r="L553" s="107">
        <v>1810</v>
      </c>
      <c r="M553" s="107">
        <v>410</v>
      </c>
      <c r="N553" s="107"/>
    </row>
    <row r="554" spans="1:14" x14ac:dyDescent="0.15">
      <c r="A554" s="107">
        <v>1677</v>
      </c>
      <c r="B554" s="107" t="s">
        <v>197</v>
      </c>
      <c r="C554" s="107" t="s">
        <v>274</v>
      </c>
      <c r="D554" s="107">
        <v>100</v>
      </c>
      <c r="E554" s="107" t="s">
        <v>193</v>
      </c>
      <c r="F554" s="107" t="s">
        <v>372</v>
      </c>
      <c r="G554" s="107">
        <v>7</v>
      </c>
      <c r="H554" s="107">
        <v>0</v>
      </c>
      <c r="I554" s="107">
        <v>0</v>
      </c>
      <c r="J554" s="107">
        <v>7.0000000000000007E-2</v>
      </c>
      <c r="K554" s="107">
        <v>4013</v>
      </c>
      <c r="L554" s="107">
        <v>1816</v>
      </c>
      <c r="M554" s="107">
        <v>742</v>
      </c>
      <c r="N554" s="107"/>
    </row>
    <row r="555" spans="1:14" x14ac:dyDescent="0.15">
      <c r="A555" s="107">
        <v>1656</v>
      </c>
      <c r="B555" s="107" t="s">
        <v>244</v>
      </c>
      <c r="C555" s="107" t="s">
        <v>274</v>
      </c>
      <c r="D555" s="107">
        <v>135</v>
      </c>
      <c r="E555" s="107" t="s">
        <v>193</v>
      </c>
      <c r="F555" s="107" t="s">
        <v>373</v>
      </c>
      <c r="G555" s="107">
        <v>13</v>
      </c>
      <c r="H555" s="107">
        <v>10</v>
      </c>
      <c r="I555" s="107">
        <v>0</v>
      </c>
      <c r="J555" s="107">
        <v>0.1</v>
      </c>
      <c r="K555" s="107">
        <v>3991</v>
      </c>
      <c r="L555" s="107">
        <v>1788</v>
      </c>
      <c r="M555" s="107">
        <v>162</v>
      </c>
      <c r="N555" s="107"/>
    </row>
    <row r="556" spans="1:14" x14ac:dyDescent="0.15">
      <c r="A556" s="107">
        <v>1656</v>
      </c>
      <c r="B556" s="107" t="s">
        <v>244</v>
      </c>
      <c r="C556" s="107" t="s">
        <v>274</v>
      </c>
      <c r="D556" s="107">
        <v>12</v>
      </c>
      <c r="E556" s="107" t="s">
        <v>193</v>
      </c>
      <c r="F556" s="107" t="s">
        <v>374</v>
      </c>
      <c r="G556" s="107">
        <v>1</v>
      </c>
      <c r="H556" s="107">
        <v>10</v>
      </c>
      <c r="I556" s="107">
        <v>0</v>
      </c>
      <c r="J556" s="107">
        <v>0.125</v>
      </c>
      <c r="K556" s="107">
        <v>3991</v>
      </c>
      <c r="L556" s="107">
        <v>1788</v>
      </c>
      <c r="M556" s="107">
        <v>162</v>
      </c>
      <c r="N556" s="107"/>
    </row>
    <row r="557" spans="1:14" x14ac:dyDescent="0.15">
      <c r="A557" s="107">
        <v>1655</v>
      </c>
      <c r="B557" s="107" t="s">
        <v>236</v>
      </c>
      <c r="C557" s="107" t="s">
        <v>274</v>
      </c>
      <c r="D557" s="107">
        <v>14.75</v>
      </c>
      <c r="E557" s="107" t="s">
        <v>375</v>
      </c>
      <c r="F557" s="107" t="s">
        <v>376</v>
      </c>
      <c r="G557" s="107">
        <v>168</v>
      </c>
      <c r="H557" s="107">
        <v>13</v>
      </c>
      <c r="I557" s="107">
        <v>4</v>
      </c>
      <c r="J557" s="107">
        <v>11.434745762711865</v>
      </c>
      <c r="K557" s="107">
        <v>3990</v>
      </c>
      <c r="L557" s="107">
        <v>1788</v>
      </c>
      <c r="M557" s="107">
        <v>204</v>
      </c>
      <c r="N557" s="107" t="s">
        <v>286</v>
      </c>
    </row>
    <row r="558" spans="1:14" x14ac:dyDescent="0.15">
      <c r="A558" s="107">
        <v>1674</v>
      </c>
      <c r="B558" s="107" t="s">
        <v>197</v>
      </c>
      <c r="C558" s="107" t="s">
        <v>274</v>
      </c>
      <c r="D558" s="107">
        <v>214</v>
      </c>
      <c r="E558" s="107" t="s">
        <v>193</v>
      </c>
      <c r="F558" s="107" t="s">
        <v>377</v>
      </c>
      <c r="G558" s="107">
        <v>64</v>
      </c>
      <c r="H558" s="107">
        <v>4</v>
      </c>
      <c r="I558" s="107">
        <v>0</v>
      </c>
      <c r="J558" s="107">
        <v>0.3</v>
      </c>
      <c r="K558" s="107">
        <v>4011</v>
      </c>
      <c r="L558" s="107">
        <v>1814</v>
      </c>
      <c r="M558" s="107">
        <v>597</v>
      </c>
      <c r="N558" s="107" t="s">
        <v>294</v>
      </c>
    </row>
    <row r="559" spans="1:14" x14ac:dyDescent="0.15">
      <c r="A559" s="107">
        <v>1697</v>
      </c>
      <c r="B559" s="107" t="s">
        <v>197</v>
      </c>
      <c r="C559" s="107" t="s">
        <v>271</v>
      </c>
      <c r="D559" s="107">
        <v>461</v>
      </c>
      <c r="E559" s="107" t="s">
        <v>193</v>
      </c>
      <c r="F559" s="107" t="s">
        <v>377</v>
      </c>
      <c r="G559" s="107">
        <v>184</v>
      </c>
      <c r="H559" s="107">
        <v>8</v>
      </c>
      <c r="I559" s="107">
        <v>0</v>
      </c>
      <c r="J559" s="107">
        <v>0.4</v>
      </c>
      <c r="K559" s="107">
        <v>4038</v>
      </c>
      <c r="L559" s="107">
        <v>1846</v>
      </c>
      <c r="M559" s="107">
        <v>717</v>
      </c>
      <c r="N559" s="107" t="s">
        <v>273</v>
      </c>
    </row>
    <row r="560" spans="1:14" x14ac:dyDescent="0.15">
      <c r="A560" s="107">
        <v>1700</v>
      </c>
      <c r="B560" s="107" t="s">
        <v>200</v>
      </c>
      <c r="C560" s="107" t="s">
        <v>271</v>
      </c>
      <c r="D560" s="107">
        <v>33</v>
      </c>
      <c r="E560" s="107" t="s">
        <v>193</v>
      </c>
      <c r="F560" s="107" t="s">
        <v>377</v>
      </c>
      <c r="G560" s="107">
        <v>17</v>
      </c>
      <c r="H560" s="107">
        <v>4</v>
      </c>
      <c r="I560" s="107">
        <v>8</v>
      </c>
      <c r="J560" s="107">
        <v>0.52196969696969686</v>
      </c>
      <c r="K560" s="107">
        <v>4047</v>
      </c>
      <c r="L560" s="107">
        <v>1855</v>
      </c>
      <c r="M560" s="107">
        <v>530</v>
      </c>
      <c r="N560" s="107" t="s">
        <v>272</v>
      </c>
    </row>
    <row r="561" spans="1:14" x14ac:dyDescent="0.15">
      <c r="A561" s="107">
        <v>1701</v>
      </c>
      <c r="B561" s="107" t="s">
        <v>197</v>
      </c>
      <c r="C561" s="107" t="s">
        <v>271</v>
      </c>
      <c r="D561" s="107">
        <v>251</v>
      </c>
      <c r="E561" s="107" t="s">
        <v>193</v>
      </c>
      <c r="F561" s="107" t="s">
        <v>377</v>
      </c>
      <c r="G561" s="107">
        <v>81</v>
      </c>
      <c r="H561" s="107">
        <v>11</v>
      </c>
      <c r="I561" s="107">
        <v>8</v>
      </c>
      <c r="J561" s="107">
        <v>0.32500000000000001</v>
      </c>
      <c r="K561" s="107">
        <v>4047</v>
      </c>
      <c r="L561" s="107">
        <v>1855</v>
      </c>
      <c r="M561" s="107">
        <v>558</v>
      </c>
      <c r="N561" s="107" t="s">
        <v>273</v>
      </c>
    </row>
    <row r="562" spans="1:14" x14ac:dyDescent="0.15">
      <c r="A562" s="107">
        <v>1697</v>
      </c>
      <c r="B562" s="107" t="s">
        <v>197</v>
      </c>
      <c r="C562" s="107" t="s">
        <v>271</v>
      </c>
      <c r="D562" s="107">
        <v>84</v>
      </c>
      <c r="E562" s="107" t="s">
        <v>378</v>
      </c>
      <c r="F562" s="107" t="s">
        <v>379</v>
      </c>
      <c r="G562" s="107">
        <v>21</v>
      </c>
      <c r="H562" s="107">
        <v>0</v>
      </c>
      <c r="I562" s="107">
        <v>0</v>
      </c>
      <c r="J562" s="107">
        <v>0.25</v>
      </c>
      <c r="K562" s="107">
        <v>4038</v>
      </c>
      <c r="L562" s="107">
        <v>1846</v>
      </c>
      <c r="M562" s="107">
        <v>714</v>
      </c>
      <c r="N562" s="107" t="s">
        <v>294</v>
      </c>
    </row>
    <row r="563" spans="1:14" x14ac:dyDescent="0.15">
      <c r="A563" s="107">
        <v>1700</v>
      </c>
      <c r="B563" s="107" t="s">
        <v>200</v>
      </c>
      <c r="C563" s="107" t="s">
        <v>271</v>
      </c>
      <c r="D563" s="107">
        <v>306</v>
      </c>
      <c r="E563" s="107" t="s">
        <v>212</v>
      </c>
      <c r="F563" s="107" t="s">
        <v>379</v>
      </c>
      <c r="G563" s="107">
        <v>84</v>
      </c>
      <c r="H563" s="107">
        <v>3</v>
      </c>
      <c r="I563" s="107">
        <v>0</v>
      </c>
      <c r="J563" s="107">
        <v>0.27500000000000002</v>
      </c>
      <c r="K563" s="107">
        <v>4047</v>
      </c>
      <c r="L563" s="107">
        <v>1855</v>
      </c>
      <c r="M563" s="107">
        <v>532</v>
      </c>
      <c r="N563" s="107" t="s">
        <v>272</v>
      </c>
    </row>
    <row r="564" spans="1:14" x14ac:dyDescent="0.15">
      <c r="A564" s="107">
        <v>1701</v>
      </c>
      <c r="B564" s="107" t="s">
        <v>197</v>
      </c>
      <c r="C564" s="107" t="s">
        <v>271</v>
      </c>
      <c r="D564" s="107">
        <v>102</v>
      </c>
      <c r="E564" s="107" t="s">
        <v>212</v>
      </c>
      <c r="F564" s="107" t="s">
        <v>379</v>
      </c>
      <c r="G564" s="107">
        <v>25</v>
      </c>
      <c r="H564" s="107">
        <v>10</v>
      </c>
      <c r="I564" s="107">
        <v>0</v>
      </c>
      <c r="J564" s="107">
        <v>0.25</v>
      </c>
      <c r="K564" s="107">
        <v>4047</v>
      </c>
      <c r="L564" s="107">
        <v>1855</v>
      </c>
      <c r="M564" s="107">
        <v>559</v>
      </c>
      <c r="N564" s="107" t="s">
        <v>380</v>
      </c>
    </row>
    <row r="565" spans="1:14" x14ac:dyDescent="0.15">
      <c r="A565" s="107">
        <v>1701</v>
      </c>
      <c r="B565" s="107" t="s">
        <v>197</v>
      </c>
      <c r="C565" s="107" t="s">
        <v>271</v>
      </c>
      <c r="D565" s="107">
        <v>237</v>
      </c>
      <c r="E565" s="107" t="s">
        <v>212</v>
      </c>
      <c r="F565" s="107" t="s">
        <v>379</v>
      </c>
      <c r="G565" s="107">
        <v>59</v>
      </c>
      <c r="H565" s="107">
        <v>5</v>
      </c>
      <c r="I565" s="107">
        <v>0</v>
      </c>
      <c r="J565" s="107">
        <v>0.25</v>
      </c>
      <c r="K565" s="107">
        <v>4047</v>
      </c>
      <c r="L565" s="107">
        <v>1855</v>
      </c>
      <c r="M565" s="107">
        <v>556</v>
      </c>
      <c r="N565" s="107" t="s">
        <v>273</v>
      </c>
    </row>
    <row r="566" spans="1:14" x14ac:dyDescent="0.15">
      <c r="A566" s="107">
        <v>1682</v>
      </c>
      <c r="B566" s="107" t="s">
        <v>236</v>
      </c>
      <c r="C566" s="107" t="s">
        <v>271</v>
      </c>
      <c r="D566" s="107">
        <v>3</v>
      </c>
      <c r="E566" s="107" t="s">
        <v>280</v>
      </c>
      <c r="F566" s="107" t="s">
        <v>381</v>
      </c>
      <c r="G566" s="107">
        <v>270</v>
      </c>
      <c r="H566" s="107">
        <v>0</v>
      </c>
      <c r="I566" s="107">
        <v>0</v>
      </c>
      <c r="J566" s="107">
        <v>90</v>
      </c>
      <c r="K566" s="107">
        <v>4018</v>
      </c>
      <c r="L566" s="107">
        <v>1820</v>
      </c>
      <c r="M566" s="107">
        <v>840</v>
      </c>
      <c r="N566" s="107" t="s">
        <v>273</v>
      </c>
    </row>
    <row r="567" spans="1:14" x14ac:dyDescent="0.15">
      <c r="A567" s="107">
        <v>1656</v>
      </c>
      <c r="B567" s="107" t="s">
        <v>253</v>
      </c>
      <c r="C567" s="107" t="s">
        <v>274</v>
      </c>
      <c r="D567" s="107">
        <v>2</v>
      </c>
      <c r="E567" s="107" t="s">
        <v>204</v>
      </c>
      <c r="F567" s="107" t="s">
        <v>382</v>
      </c>
      <c r="G567" s="107">
        <v>2</v>
      </c>
      <c r="H567" s="107">
        <v>7</v>
      </c>
      <c r="I567" s="107">
        <v>8</v>
      </c>
      <c r="J567" s="107">
        <v>1.1875</v>
      </c>
      <c r="K567" s="107">
        <v>3991</v>
      </c>
      <c r="L567" s="107">
        <v>1788</v>
      </c>
      <c r="M567" s="107">
        <v>152</v>
      </c>
      <c r="N567" s="107" t="s">
        <v>383</v>
      </c>
    </row>
    <row r="568" spans="1:14" x14ac:dyDescent="0.15">
      <c r="A568" s="107">
        <v>1685</v>
      </c>
      <c r="B568" s="107" t="s">
        <v>197</v>
      </c>
      <c r="C568" s="107" t="s">
        <v>271</v>
      </c>
      <c r="D568" s="107">
        <v>4</v>
      </c>
      <c r="E568" s="107" t="s">
        <v>193</v>
      </c>
      <c r="F568" s="107" t="s">
        <v>384</v>
      </c>
      <c r="G568" s="107">
        <v>3</v>
      </c>
      <c r="H568" s="107">
        <v>4</v>
      </c>
      <c r="I568" s="107">
        <v>0</v>
      </c>
      <c r="J568" s="107">
        <v>0.8</v>
      </c>
      <c r="K568" s="107">
        <v>4022</v>
      </c>
      <c r="L568" s="107">
        <v>1827</v>
      </c>
      <c r="M568" s="107">
        <v>609</v>
      </c>
      <c r="N568" s="107"/>
    </row>
    <row r="569" spans="1:14" x14ac:dyDescent="0.15">
      <c r="A569" s="107">
        <v>1686</v>
      </c>
      <c r="B569" s="107" t="s">
        <v>197</v>
      </c>
      <c r="C569" s="107" t="s">
        <v>271</v>
      </c>
      <c r="D569" s="107">
        <v>100</v>
      </c>
      <c r="E569" s="107" t="s">
        <v>193</v>
      </c>
      <c r="F569" s="107" t="s">
        <v>384</v>
      </c>
      <c r="G569" s="107">
        <v>40</v>
      </c>
      <c r="H569" s="107">
        <v>0</v>
      </c>
      <c r="I569" s="107">
        <v>0</v>
      </c>
      <c r="J569" s="107">
        <v>0.4</v>
      </c>
      <c r="K569" s="107">
        <v>4023</v>
      </c>
      <c r="L569" s="107">
        <v>1829</v>
      </c>
      <c r="M569" s="107">
        <v>706</v>
      </c>
      <c r="N569" s="107"/>
    </row>
    <row r="570" spans="1:14" x14ac:dyDescent="0.15">
      <c r="A570" s="107">
        <v>1698</v>
      </c>
      <c r="B570" s="107" t="s">
        <v>200</v>
      </c>
      <c r="C570" s="107" t="s">
        <v>271</v>
      </c>
      <c r="D570" s="107">
        <v>15</v>
      </c>
      <c r="E570" s="107" t="s">
        <v>193</v>
      </c>
      <c r="F570" s="107" t="s">
        <v>384</v>
      </c>
      <c r="G570" s="107">
        <v>3</v>
      </c>
      <c r="H570" s="107">
        <v>15</v>
      </c>
      <c r="I570" s="107">
        <v>0</v>
      </c>
      <c r="J570" s="107">
        <v>0.25</v>
      </c>
      <c r="K570" s="107">
        <v>4043</v>
      </c>
      <c r="L570" s="107">
        <v>1851</v>
      </c>
      <c r="M570" s="107">
        <v>829</v>
      </c>
      <c r="N570" s="107"/>
    </row>
    <row r="571" spans="1:14" x14ac:dyDescent="0.15">
      <c r="A571" s="107">
        <v>1657</v>
      </c>
      <c r="B571" s="107" t="s">
        <v>197</v>
      </c>
      <c r="C571" s="107" t="s">
        <v>274</v>
      </c>
      <c r="D571" s="107">
        <v>20</v>
      </c>
      <c r="E571" s="107" t="s">
        <v>193</v>
      </c>
      <c r="F571" s="107" t="s">
        <v>385</v>
      </c>
      <c r="G571" s="107">
        <v>6</v>
      </c>
      <c r="H571" s="107">
        <v>0</v>
      </c>
      <c r="I571" s="107">
        <v>0</v>
      </c>
      <c r="J571" s="107">
        <v>0.3</v>
      </c>
      <c r="K571" s="107">
        <v>3992</v>
      </c>
      <c r="L571" s="107">
        <v>1789</v>
      </c>
      <c r="M571" s="107">
        <v>228</v>
      </c>
      <c r="N571" s="107"/>
    </row>
    <row r="572" spans="1:14" x14ac:dyDescent="0.15">
      <c r="A572" s="107">
        <v>1658</v>
      </c>
      <c r="B572" s="107" t="s">
        <v>197</v>
      </c>
      <c r="C572" s="107" t="s">
        <v>274</v>
      </c>
      <c r="D572" s="107">
        <v>30</v>
      </c>
      <c r="E572" s="107" t="s">
        <v>193</v>
      </c>
      <c r="F572" s="107" t="s">
        <v>385</v>
      </c>
      <c r="G572" s="107">
        <v>9</v>
      </c>
      <c r="H572" s="107">
        <v>0</v>
      </c>
      <c r="I572" s="107">
        <v>0</v>
      </c>
      <c r="J572" s="107">
        <v>0.3</v>
      </c>
      <c r="K572" s="107">
        <v>3993</v>
      </c>
      <c r="L572" s="107">
        <v>1791</v>
      </c>
      <c r="M572" s="107">
        <v>275</v>
      </c>
      <c r="N572" s="107"/>
    </row>
    <row r="573" spans="1:14" x14ac:dyDescent="0.15">
      <c r="A573" s="107">
        <v>1661</v>
      </c>
      <c r="B573" s="107" t="s">
        <v>197</v>
      </c>
      <c r="C573" s="107" t="s">
        <v>274</v>
      </c>
      <c r="D573" s="107">
        <v>20</v>
      </c>
      <c r="E573" s="107" t="s">
        <v>193</v>
      </c>
      <c r="F573" s="107" t="s">
        <v>385</v>
      </c>
      <c r="G573" s="107">
        <v>10</v>
      </c>
      <c r="H573" s="107">
        <v>0</v>
      </c>
      <c r="I573" s="107">
        <v>0</v>
      </c>
      <c r="J573" s="107">
        <v>0.5</v>
      </c>
      <c r="K573" s="107">
        <v>3996</v>
      </c>
      <c r="L573" s="107">
        <v>1794</v>
      </c>
      <c r="M573" s="107" t="s">
        <v>290</v>
      </c>
      <c r="N573" s="107"/>
    </row>
    <row r="574" spans="1:14" x14ac:dyDescent="0.15">
      <c r="A574" s="107">
        <v>1665</v>
      </c>
      <c r="B574" s="107" t="s">
        <v>197</v>
      </c>
      <c r="C574" s="107" t="s">
        <v>274</v>
      </c>
      <c r="D574" s="107">
        <v>80</v>
      </c>
      <c r="E574" s="107" t="s">
        <v>193</v>
      </c>
      <c r="F574" s="107" t="s">
        <v>385</v>
      </c>
      <c r="G574" s="107">
        <v>24</v>
      </c>
      <c r="H574" s="107">
        <v>0</v>
      </c>
      <c r="I574" s="107">
        <v>0</v>
      </c>
      <c r="J574" s="107">
        <v>0.3</v>
      </c>
      <c r="K574" s="107">
        <v>4000</v>
      </c>
      <c r="L574" s="107">
        <v>1798</v>
      </c>
      <c r="M574" s="107">
        <v>68</v>
      </c>
      <c r="N574" s="107"/>
    </row>
    <row r="575" spans="1:14" x14ac:dyDescent="0.15">
      <c r="A575" s="107">
        <v>1683</v>
      </c>
      <c r="B575" s="107" t="s">
        <v>197</v>
      </c>
      <c r="C575" s="107" t="s">
        <v>271</v>
      </c>
      <c r="D575" s="107">
        <v>1</v>
      </c>
      <c r="E575" s="107" t="s">
        <v>193</v>
      </c>
      <c r="F575" s="107" t="s">
        <v>385</v>
      </c>
      <c r="G575" s="107">
        <v>0</v>
      </c>
      <c r="H575" s="107">
        <v>6</v>
      </c>
      <c r="I575" s="107">
        <v>4</v>
      </c>
      <c r="J575" s="107">
        <v>0.3125</v>
      </c>
      <c r="K575" s="107">
        <v>4019</v>
      </c>
      <c r="L575" s="107">
        <v>1822</v>
      </c>
      <c r="M575" s="107">
        <v>600</v>
      </c>
      <c r="N575" s="107"/>
    </row>
    <row r="576" spans="1:14" x14ac:dyDescent="0.15">
      <c r="A576" s="107">
        <v>1685</v>
      </c>
      <c r="B576" s="107" t="s">
        <v>247</v>
      </c>
      <c r="C576" s="107" t="s">
        <v>271</v>
      </c>
      <c r="D576" s="107">
        <v>1</v>
      </c>
      <c r="E576" s="107" t="s">
        <v>193</v>
      </c>
      <c r="F576" s="107" t="s">
        <v>385</v>
      </c>
      <c r="G576" s="107">
        <v>0</v>
      </c>
      <c r="H576" s="107">
        <v>6</v>
      </c>
      <c r="I576" s="107">
        <v>4</v>
      </c>
      <c r="J576" s="107">
        <v>0.3125</v>
      </c>
      <c r="K576" s="107">
        <v>4022</v>
      </c>
      <c r="L576" s="107">
        <v>1827</v>
      </c>
      <c r="M576" s="107">
        <v>614</v>
      </c>
      <c r="N576" s="107"/>
    </row>
    <row r="577" spans="1:15" x14ac:dyDescent="0.15">
      <c r="A577" s="107">
        <v>1656</v>
      </c>
      <c r="B577" s="107" t="s">
        <v>283</v>
      </c>
      <c r="C577" s="107" t="s">
        <v>274</v>
      </c>
      <c r="D577" s="107">
        <v>31</v>
      </c>
      <c r="E577" s="107" t="s">
        <v>386</v>
      </c>
      <c r="F577" s="107" t="s">
        <v>387</v>
      </c>
      <c r="G577" s="107">
        <v>1246</v>
      </c>
      <c r="H577" s="107">
        <v>16</v>
      </c>
      <c r="I577" s="107">
        <v>0</v>
      </c>
      <c r="J577" s="107">
        <v>40.219354838709677</v>
      </c>
      <c r="K577" s="107">
        <v>3991</v>
      </c>
      <c r="L577" s="107">
        <v>1788</v>
      </c>
      <c r="M577" s="107">
        <v>150</v>
      </c>
      <c r="N577" s="107" t="s">
        <v>284</v>
      </c>
      <c r="O577" s="107"/>
    </row>
    <row r="578" spans="1:15" x14ac:dyDescent="0.15">
      <c r="A578" s="107">
        <v>1656</v>
      </c>
      <c r="B578" s="107" t="s">
        <v>283</v>
      </c>
      <c r="C578" s="107" t="s">
        <v>274</v>
      </c>
      <c r="D578" s="107">
        <v>12</v>
      </c>
      <c r="E578" s="107"/>
      <c r="F578" s="107" t="s">
        <v>388</v>
      </c>
      <c r="G578" s="107">
        <v>128</v>
      </c>
      <c r="H578" s="107">
        <v>8</v>
      </c>
      <c r="I578" s="107">
        <v>0</v>
      </c>
      <c r="J578" s="107">
        <v>10.700000000000001</v>
      </c>
      <c r="K578" s="107">
        <v>3991</v>
      </c>
      <c r="L578" s="107">
        <v>1788</v>
      </c>
      <c r="M578" s="107">
        <v>150</v>
      </c>
      <c r="N578" s="107" t="s">
        <v>284</v>
      </c>
      <c r="O578" s="107"/>
    </row>
    <row r="579" spans="1:15" x14ac:dyDescent="0.15">
      <c r="A579" s="107">
        <v>1659</v>
      </c>
      <c r="B579" s="107" t="s">
        <v>197</v>
      </c>
      <c r="C579" s="107" t="s">
        <v>274</v>
      </c>
      <c r="D579" s="107">
        <v>3</v>
      </c>
      <c r="E579" s="107"/>
      <c r="F579" s="107" t="s">
        <v>389</v>
      </c>
      <c r="G579" s="107">
        <v>4</v>
      </c>
      <c r="H579" s="107">
        <v>1</v>
      </c>
      <c r="I579" s="107">
        <v>0</v>
      </c>
      <c r="J579" s="107">
        <v>1.3499999999999999</v>
      </c>
      <c r="K579" s="107">
        <v>3993</v>
      </c>
      <c r="L579" s="107">
        <v>1792</v>
      </c>
      <c r="M579" s="107">
        <v>167</v>
      </c>
      <c r="N579" s="107" t="s">
        <v>317</v>
      </c>
      <c r="O579" s="107"/>
    </row>
    <row r="580" spans="1:15" x14ac:dyDescent="0.15">
      <c r="A580" s="107">
        <v>1654</v>
      </c>
      <c r="B580" s="107" t="s">
        <v>192</v>
      </c>
      <c r="C580" s="107" t="s">
        <v>274</v>
      </c>
      <c r="D580" s="107">
        <v>36</v>
      </c>
      <c r="E580" s="107" t="s">
        <v>297</v>
      </c>
      <c r="F580" s="107" t="s">
        <v>390</v>
      </c>
      <c r="G580" s="107">
        <v>3</v>
      </c>
      <c r="H580" s="107">
        <v>12</v>
      </c>
      <c r="I580" s="107">
        <v>0</v>
      </c>
      <c r="J580" s="107">
        <v>0.1</v>
      </c>
      <c r="K580" s="107">
        <v>3990</v>
      </c>
      <c r="L580" s="107">
        <v>1788</v>
      </c>
      <c r="M580" s="107">
        <v>202</v>
      </c>
      <c r="N580" s="107" t="s">
        <v>391</v>
      </c>
      <c r="O580" s="107" t="s">
        <v>392</v>
      </c>
    </row>
    <row r="581" spans="1:15" x14ac:dyDescent="0.15">
      <c r="A581" s="107">
        <v>1654</v>
      </c>
      <c r="B581" s="107" t="s">
        <v>192</v>
      </c>
      <c r="C581" s="107" t="s">
        <v>274</v>
      </c>
      <c r="D581" s="107">
        <v>10.5</v>
      </c>
      <c r="E581" s="107" t="s">
        <v>393</v>
      </c>
      <c r="F581" s="107" t="s">
        <v>390</v>
      </c>
      <c r="G581" s="107">
        <v>1</v>
      </c>
      <c r="H581" s="107">
        <v>1</v>
      </c>
      <c r="I581" s="107">
        <v>0</v>
      </c>
      <c r="J581" s="107">
        <v>0.1</v>
      </c>
      <c r="K581" s="107">
        <v>3990</v>
      </c>
      <c r="L581" s="107">
        <v>1788</v>
      </c>
      <c r="M581" s="107">
        <v>202</v>
      </c>
      <c r="N581" s="107" t="s">
        <v>394</v>
      </c>
      <c r="O581" s="107"/>
    </row>
    <row r="582" spans="1:15" x14ac:dyDescent="0.15">
      <c r="A582" s="107">
        <v>1655</v>
      </c>
      <c r="B582" s="107" t="s">
        <v>186</v>
      </c>
      <c r="C582" s="107" t="s">
        <v>274</v>
      </c>
      <c r="D582" s="107">
        <v>27</v>
      </c>
      <c r="E582" s="107" t="s">
        <v>293</v>
      </c>
      <c r="F582" s="107" t="s">
        <v>390</v>
      </c>
      <c r="G582" s="107">
        <v>5</v>
      </c>
      <c r="H582" s="107">
        <v>8</v>
      </c>
      <c r="I582" s="107">
        <v>0</v>
      </c>
      <c r="J582" s="107">
        <v>0.2</v>
      </c>
      <c r="K582" s="107">
        <v>3990</v>
      </c>
      <c r="L582" s="107">
        <v>1788</v>
      </c>
      <c r="M582" s="107">
        <v>228</v>
      </c>
      <c r="N582" s="107" t="s">
        <v>287</v>
      </c>
      <c r="O582" s="107" t="s">
        <v>395</v>
      </c>
    </row>
    <row r="583" spans="1:15" x14ac:dyDescent="0.15">
      <c r="A583" s="107">
        <v>1655</v>
      </c>
      <c r="B583" s="107" t="s">
        <v>186</v>
      </c>
      <c r="C583" s="107" t="s">
        <v>274</v>
      </c>
      <c r="D583" s="107">
        <v>30</v>
      </c>
      <c r="E583" s="107" t="s">
        <v>396</v>
      </c>
      <c r="F583" s="107" t="s">
        <v>390</v>
      </c>
      <c r="G583" s="107">
        <v>3</v>
      </c>
      <c r="H583" s="107">
        <v>0</v>
      </c>
      <c r="I583" s="107">
        <v>0</v>
      </c>
      <c r="J583" s="107">
        <v>0.1</v>
      </c>
      <c r="K583" s="107">
        <v>3990</v>
      </c>
      <c r="L583" s="107">
        <v>1788</v>
      </c>
      <c r="M583" s="107">
        <v>228</v>
      </c>
      <c r="N583" s="107" t="s">
        <v>287</v>
      </c>
      <c r="O583" s="107" t="s">
        <v>397</v>
      </c>
    </row>
    <row r="584" spans="1:15" x14ac:dyDescent="0.15">
      <c r="A584" s="107">
        <v>1791</v>
      </c>
      <c r="B584" s="107" t="s">
        <v>197</v>
      </c>
      <c r="C584" s="107" t="s">
        <v>268</v>
      </c>
      <c r="D584" s="25">
        <v>500</v>
      </c>
      <c r="E584" s="107" t="s">
        <v>193</v>
      </c>
      <c r="F584" s="107" t="s">
        <v>398</v>
      </c>
      <c r="G584" s="107">
        <v>91</v>
      </c>
      <c r="H584" s="107">
        <v>13</v>
      </c>
      <c r="I584" s="107">
        <v>8</v>
      </c>
      <c r="J584" s="107">
        <f>(G584+H584/20+I584/320)/D584</f>
        <v>0.18335000000000001</v>
      </c>
      <c r="K584" s="107">
        <v>6804</v>
      </c>
      <c r="L584" s="107"/>
      <c r="M584" s="107"/>
      <c r="N584" s="107"/>
      <c r="O584" s="107"/>
    </row>
    <row r="585" spans="1:15" x14ac:dyDescent="0.15">
      <c r="A585" s="107">
        <v>1793</v>
      </c>
      <c r="B585" s="107" t="s">
        <v>247</v>
      </c>
      <c r="C585" s="107" t="s">
        <v>270</v>
      </c>
      <c r="D585" s="25">
        <v>416</v>
      </c>
      <c r="E585" s="107" t="s">
        <v>193</v>
      </c>
      <c r="F585" s="107" t="s">
        <v>398</v>
      </c>
      <c r="G585" s="107">
        <v>57</v>
      </c>
      <c r="H585" s="107">
        <v>4</v>
      </c>
      <c r="I585" s="107">
        <v>0</v>
      </c>
      <c r="J585" s="107">
        <f>(G585+H585/20+I585/320)/D585</f>
        <v>0.13750000000000001</v>
      </c>
      <c r="K585" s="107">
        <v>6826</v>
      </c>
      <c r="L585" s="107"/>
      <c r="M585" s="107"/>
      <c r="N585" s="107"/>
      <c r="O585" s="107"/>
    </row>
    <row r="586" spans="1:15" x14ac:dyDescent="0.15">
      <c r="A586" s="107">
        <v>1697</v>
      </c>
      <c r="B586" s="107" t="s">
        <v>197</v>
      </c>
      <c r="C586" s="107" t="s">
        <v>271</v>
      </c>
      <c r="D586" s="107">
        <v>5</v>
      </c>
      <c r="E586" s="107" t="s">
        <v>193</v>
      </c>
      <c r="F586" s="107" t="s">
        <v>399</v>
      </c>
      <c r="G586" s="107">
        <v>2</v>
      </c>
      <c r="H586" s="107">
        <v>5</v>
      </c>
      <c r="I586" s="107">
        <v>0</v>
      </c>
      <c r="J586" s="107">
        <v>0.45</v>
      </c>
      <c r="K586" s="107">
        <v>4038</v>
      </c>
      <c r="L586" s="107">
        <v>1846</v>
      </c>
      <c r="M586" s="107">
        <v>716</v>
      </c>
      <c r="N586" s="107" t="s">
        <v>294</v>
      </c>
      <c r="O586" s="107"/>
    </row>
    <row r="587" spans="1:15" x14ac:dyDescent="0.15">
      <c r="A587" s="107">
        <v>1697</v>
      </c>
      <c r="B587" s="107" t="s">
        <v>196</v>
      </c>
      <c r="C587" s="107" t="s">
        <v>271</v>
      </c>
      <c r="D587" s="107">
        <v>3.5</v>
      </c>
      <c r="E587" s="107" t="s">
        <v>193</v>
      </c>
      <c r="F587" s="107" t="s">
        <v>399</v>
      </c>
      <c r="G587" s="107">
        <v>1</v>
      </c>
      <c r="H587" s="107">
        <v>11</v>
      </c>
      <c r="I587" s="107">
        <v>8</v>
      </c>
      <c r="J587" s="107">
        <v>0.45</v>
      </c>
      <c r="K587" s="107">
        <v>4038</v>
      </c>
      <c r="L587" s="107">
        <v>1846</v>
      </c>
      <c r="M587" s="107">
        <v>719</v>
      </c>
      <c r="N587" s="107" t="s">
        <v>273</v>
      </c>
      <c r="O587" s="107"/>
    </row>
    <row r="588" spans="1:15" x14ac:dyDescent="0.15">
      <c r="A588" s="107">
        <v>1665</v>
      </c>
      <c r="B588" s="107" t="s">
        <v>197</v>
      </c>
      <c r="C588" s="107" t="s">
        <v>274</v>
      </c>
      <c r="D588" s="107">
        <v>1</v>
      </c>
      <c r="E588" s="107" t="s">
        <v>324</v>
      </c>
      <c r="F588" s="107" t="s">
        <v>400</v>
      </c>
      <c r="G588" s="107">
        <v>245</v>
      </c>
      <c r="H588" s="107">
        <v>5</v>
      </c>
      <c r="I588" s="107">
        <v>6</v>
      </c>
      <c r="J588" s="107">
        <v>245.26875000000001</v>
      </c>
      <c r="K588" s="107">
        <v>4000</v>
      </c>
      <c r="L588" s="107">
        <v>1798</v>
      </c>
      <c r="M588" s="107">
        <v>65</v>
      </c>
      <c r="N588" s="107"/>
      <c r="O588" s="107"/>
    </row>
    <row r="589" spans="1:15" x14ac:dyDescent="0.15">
      <c r="A589" s="107">
        <v>1666</v>
      </c>
      <c r="B589" s="107" t="s">
        <v>196</v>
      </c>
      <c r="C589" s="107" t="s">
        <v>274</v>
      </c>
      <c r="D589" s="107">
        <v>48</v>
      </c>
      <c r="E589" s="107" t="s">
        <v>193</v>
      </c>
      <c r="F589" s="107" t="s">
        <v>400</v>
      </c>
      <c r="G589" s="107">
        <v>185</v>
      </c>
      <c r="H589" s="107">
        <v>19</v>
      </c>
      <c r="I589" s="107">
        <v>4</v>
      </c>
      <c r="J589" s="107">
        <v>3.8742187499999994</v>
      </c>
      <c r="K589" s="107">
        <v>4001</v>
      </c>
      <c r="L589" s="107">
        <v>1800</v>
      </c>
      <c r="M589" s="107">
        <v>47</v>
      </c>
      <c r="N589" s="107"/>
      <c r="O589" s="107"/>
    </row>
    <row r="590" spans="1:15" x14ac:dyDescent="0.15">
      <c r="A590" s="107">
        <v>1681</v>
      </c>
      <c r="B590" s="107" t="s">
        <v>197</v>
      </c>
      <c r="C590" s="107" t="s">
        <v>271</v>
      </c>
      <c r="D590" s="107">
        <v>6.75</v>
      </c>
      <c r="E590" s="107" t="s">
        <v>193</v>
      </c>
      <c r="F590" s="107" t="s">
        <v>400</v>
      </c>
      <c r="G590" s="107">
        <v>4</v>
      </c>
      <c r="H590" s="107">
        <v>17</v>
      </c>
      <c r="I590" s="107">
        <v>3</v>
      </c>
      <c r="J590" s="107">
        <v>0.71990740740740744</v>
      </c>
      <c r="K590" s="107">
        <v>4017</v>
      </c>
      <c r="L590" s="107">
        <v>1819</v>
      </c>
      <c r="M590" s="107">
        <v>428</v>
      </c>
      <c r="N590" s="107"/>
      <c r="O590" s="107"/>
    </row>
    <row r="591" spans="1:15" x14ac:dyDescent="0.15">
      <c r="A591" s="107">
        <v>1682</v>
      </c>
      <c r="B591" s="107" t="s">
        <v>197</v>
      </c>
      <c r="C591" s="107" t="s">
        <v>271</v>
      </c>
      <c r="D591" s="107">
        <v>0.5</v>
      </c>
      <c r="E591" s="107" t="s">
        <v>193</v>
      </c>
      <c r="F591" s="107" t="s">
        <v>401</v>
      </c>
      <c r="G591" s="107">
        <v>0</v>
      </c>
      <c r="H591" s="107">
        <v>5</v>
      </c>
      <c r="I591" s="107">
        <v>6</v>
      </c>
      <c r="J591" s="107">
        <v>0.53749999999999998</v>
      </c>
      <c r="K591" s="107">
        <v>4018</v>
      </c>
      <c r="L591" s="107">
        <v>1820</v>
      </c>
      <c r="M591" s="107">
        <v>762</v>
      </c>
      <c r="N591" s="107" t="s">
        <v>273</v>
      </c>
      <c r="O591" s="107"/>
    </row>
    <row r="592" spans="1:15" x14ac:dyDescent="0.15">
      <c r="A592" s="107">
        <v>1700</v>
      </c>
      <c r="B592" s="107" t="s">
        <v>200</v>
      </c>
      <c r="C592" s="107" t="s">
        <v>271</v>
      </c>
      <c r="D592" s="107">
        <v>5</v>
      </c>
      <c r="E592" s="107" t="s">
        <v>193</v>
      </c>
      <c r="F592" s="107" t="s">
        <v>401</v>
      </c>
      <c r="G592" s="107">
        <v>3</v>
      </c>
      <c r="H592" s="107">
        <v>0</v>
      </c>
      <c r="I592" s="107">
        <v>0</v>
      </c>
      <c r="J592" s="107">
        <v>0.6</v>
      </c>
      <c r="K592" s="107">
        <v>4047</v>
      </c>
      <c r="L592" s="107">
        <v>1855</v>
      </c>
      <c r="M592" s="107">
        <v>526</v>
      </c>
      <c r="N592" s="107" t="s">
        <v>272</v>
      </c>
      <c r="O592" s="107"/>
    </row>
    <row r="593" spans="1:15" x14ac:dyDescent="0.15">
      <c r="A593" s="107">
        <v>1701</v>
      </c>
      <c r="B593" s="107" t="s">
        <v>197</v>
      </c>
      <c r="C593" s="107" t="s">
        <v>271</v>
      </c>
      <c r="D593" s="107">
        <v>7</v>
      </c>
      <c r="E593" s="107" t="s">
        <v>193</v>
      </c>
      <c r="F593" s="107" t="s">
        <v>401</v>
      </c>
      <c r="G593" s="107">
        <v>4</v>
      </c>
      <c r="H593" s="107">
        <v>14</v>
      </c>
      <c r="I593" s="107">
        <v>0</v>
      </c>
      <c r="J593" s="107">
        <v>0.67142857142857149</v>
      </c>
      <c r="K593" s="107">
        <v>4047</v>
      </c>
      <c r="L593" s="107">
        <v>1855</v>
      </c>
      <c r="M593" s="107">
        <v>556</v>
      </c>
      <c r="N593" s="107" t="s">
        <v>273</v>
      </c>
      <c r="O593" s="107"/>
    </row>
    <row r="594" spans="1:15" x14ac:dyDescent="0.15">
      <c r="A594" s="107">
        <v>1684</v>
      </c>
      <c r="B594" s="107" t="s">
        <v>197</v>
      </c>
      <c r="C594" s="107" t="s">
        <v>271</v>
      </c>
      <c r="D594" s="107">
        <v>1</v>
      </c>
      <c r="E594" s="107" t="s">
        <v>193</v>
      </c>
      <c r="F594" s="107" t="s">
        <v>402</v>
      </c>
      <c r="G594" s="107">
        <v>1</v>
      </c>
      <c r="H594" s="107">
        <v>15</v>
      </c>
      <c r="I594" s="107">
        <v>12</v>
      </c>
      <c r="J594" s="107">
        <v>1.7875000000000001</v>
      </c>
      <c r="K594" s="107">
        <v>4021</v>
      </c>
      <c r="L594" s="107">
        <v>1825</v>
      </c>
      <c r="M594" s="107">
        <v>669</v>
      </c>
      <c r="N594" s="107"/>
      <c r="O594" s="107"/>
    </row>
    <row r="595" spans="1:15" x14ac:dyDescent="0.15">
      <c r="A595" s="107">
        <v>1686</v>
      </c>
      <c r="B595" s="107" t="s">
        <v>247</v>
      </c>
      <c r="C595" s="107" t="s">
        <v>295</v>
      </c>
      <c r="D595" s="107">
        <v>1</v>
      </c>
      <c r="E595" s="107" t="s">
        <v>193</v>
      </c>
      <c r="F595" s="107" t="s">
        <v>402</v>
      </c>
      <c r="G595" s="107">
        <v>0</v>
      </c>
      <c r="H595" s="107">
        <v>10</v>
      </c>
      <c r="I595" s="107">
        <v>12</v>
      </c>
      <c r="J595" s="107">
        <v>0.53749999999999998</v>
      </c>
      <c r="K595" s="107">
        <v>4023</v>
      </c>
      <c r="L595" s="107">
        <v>1829</v>
      </c>
      <c r="M595" s="107">
        <v>831</v>
      </c>
      <c r="N595" s="107"/>
      <c r="O595" s="107"/>
    </row>
    <row r="596" spans="1:15" x14ac:dyDescent="0.15">
      <c r="A596" s="107">
        <v>1690</v>
      </c>
      <c r="B596" s="107" t="s">
        <v>192</v>
      </c>
      <c r="C596" s="107" t="s">
        <v>271</v>
      </c>
      <c r="D596" s="107">
        <v>2</v>
      </c>
      <c r="E596" s="107" t="s">
        <v>193</v>
      </c>
      <c r="F596" s="107" t="s">
        <v>402</v>
      </c>
      <c r="G596" s="107">
        <v>0</v>
      </c>
      <c r="H596" s="107">
        <v>18</v>
      </c>
      <c r="I596" s="107">
        <v>0</v>
      </c>
      <c r="J596" s="107">
        <v>0.45</v>
      </c>
      <c r="K596" s="107">
        <v>4028</v>
      </c>
      <c r="L596" s="107">
        <v>1834</v>
      </c>
      <c r="M596" s="107">
        <v>395</v>
      </c>
      <c r="N596" s="107"/>
      <c r="O596" s="107"/>
    </row>
    <row r="597" spans="1:15" x14ac:dyDescent="0.15">
      <c r="A597" s="107">
        <v>1696</v>
      </c>
      <c r="B597" s="107" t="s">
        <v>260</v>
      </c>
      <c r="C597" s="107" t="s">
        <v>271</v>
      </c>
      <c r="D597" s="107">
        <v>2</v>
      </c>
      <c r="E597" s="107" t="s">
        <v>193</v>
      </c>
      <c r="F597" s="107" t="s">
        <v>402</v>
      </c>
      <c r="G597" s="107">
        <v>0</v>
      </c>
      <c r="H597" s="107">
        <v>18</v>
      </c>
      <c r="I597" s="107">
        <v>0</v>
      </c>
      <c r="J597" s="107">
        <v>0.45</v>
      </c>
      <c r="K597" s="107">
        <v>4035</v>
      </c>
      <c r="L597" s="107">
        <v>1841</v>
      </c>
      <c r="M597" s="107">
        <v>67</v>
      </c>
      <c r="N597" s="107"/>
      <c r="O597" s="107"/>
    </row>
    <row r="598" spans="1:15" x14ac:dyDescent="0.15">
      <c r="A598" s="107">
        <v>1702</v>
      </c>
      <c r="B598" s="107" t="s">
        <v>244</v>
      </c>
      <c r="C598" s="107" t="s">
        <v>271</v>
      </c>
      <c r="D598" s="107">
        <v>3</v>
      </c>
      <c r="E598" s="107" t="s">
        <v>193</v>
      </c>
      <c r="F598" s="107" t="s">
        <v>402</v>
      </c>
      <c r="G598" s="107">
        <v>1</v>
      </c>
      <c r="H598" s="107">
        <v>19</v>
      </c>
      <c r="I598" s="107">
        <v>0</v>
      </c>
      <c r="J598" s="107">
        <v>0.65</v>
      </c>
      <c r="K598" s="107">
        <v>4049</v>
      </c>
      <c r="L598" s="107">
        <v>1856</v>
      </c>
      <c r="M598" s="107">
        <v>500</v>
      </c>
      <c r="N598" s="107"/>
      <c r="O598" s="107"/>
    </row>
    <row r="599" spans="1:15" x14ac:dyDescent="0.15">
      <c r="A599" s="107">
        <v>1655</v>
      </c>
      <c r="B599" s="107" t="s">
        <v>236</v>
      </c>
      <c r="C599" s="107" t="s">
        <v>274</v>
      </c>
      <c r="D599" s="107">
        <v>10</v>
      </c>
      <c r="E599" s="107" t="s">
        <v>324</v>
      </c>
      <c r="F599" s="107" t="s">
        <v>403</v>
      </c>
      <c r="G599" s="107">
        <v>57</v>
      </c>
      <c r="H599" s="107">
        <v>0</v>
      </c>
      <c r="I599" s="107">
        <v>0</v>
      </c>
      <c r="J599" s="107">
        <v>5.7</v>
      </c>
      <c r="K599" s="107">
        <v>3990</v>
      </c>
      <c r="L599" s="107">
        <v>1788</v>
      </c>
      <c r="M599" s="107">
        <v>204</v>
      </c>
      <c r="N599" s="107" t="s">
        <v>349</v>
      </c>
      <c r="O599" s="107"/>
    </row>
    <row r="600" spans="1:15" x14ac:dyDescent="0.15">
      <c r="A600" s="107">
        <v>1656</v>
      </c>
      <c r="B600" s="107" t="s">
        <v>283</v>
      </c>
      <c r="C600" s="107" t="s">
        <v>274</v>
      </c>
      <c r="D600" s="107">
        <v>19</v>
      </c>
      <c r="E600" s="107" t="s">
        <v>404</v>
      </c>
      <c r="F600" s="107" t="s">
        <v>403</v>
      </c>
      <c r="G600" s="107">
        <v>57</v>
      </c>
      <c r="H600" s="107">
        <v>0</v>
      </c>
      <c r="I600" s="107">
        <v>0</v>
      </c>
      <c r="J600" s="107">
        <v>3</v>
      </c>
      <c r="K600" s="107">
        <v>3991</v>
      </c>
      <c r="L600" s="107">
        <v>1788</v>
      </c>
      <c r="M600" s="107">
        <v>149</v>
      </c>
      <c r="N600" s="107" t="s">
        <v>284</v>
      </c>
      <c r="O600" s="107"/>
    </row>
    <row r="601" spans="1:15" x14ac:dyDescent="0.15">
      <c r="A601" s="107">
        <v>1655</v>
      </c>
      <c r="B601" s="107" t="s">
        <v>236</v>
      </c>
      <c r="C601" s="107" t="s">
        <v>274</v>
      </c>
      <c r="D601" s="107">
        <v>1</v>
      </c>
      <c r="E601" s="107" t="s">
        <v>315</v>
      </c>
      <c r="F601" s="107" t="s">
        <v>405</v>
      </c>
      <c r="G601" s="107">
        <v>1</v>
      </c>
      <c r="H601" s="107">
        <v>11</v>
      </c>
      <c r="I601" s="107">
        <v>3</v>
      </c>
      <c r="J601" s="107">
        <v>1.559375</v>
      </c>
      <c r="K601" s="107">
        <v>3990</v>
      </c>
      <c r="L601" s="107">
        <v>1788</v>
      </c>
      <c r="M601" s="107">
        <v>203</v>
      </c>
      <c r="N601" s="107"/>
      <c r="O601" s="107"/>
    </row>
    <row r="602" spans="1:15" x14ac:dyDescent="0.15">
      <c r="A602" s="107">
        <v>1655</v>
      </c>
      <c r="B602" s="107" t="s">
        <v>196</v>
      </c>
      <c r="C602" s="107" t="s">
        <v>274</v>
      </c>
      <c r="D602" s="107">
        <v>5</v>
      </c>
      <c r="E602" s="107" t="s">
        <v>315</v>
      </c>
      <c r="F602" s="107" t="s">
        <v>405</v>
      </c>
      <c r="G602" s="107">
        <v>10</v>
      </c>
      <c r="H602" s="107">
        <v>0</v>
      </c>
      <c r="I602" s="107">
        <v>0</v>
      </c>
      <c r="J602" s="107">
        <v>2</v>
      </c>
      <c r="K602" s="107">
        <v>3990</v>
      </c>
      <c r="L602" s="107">
        <v>1788</v>
      </c>
      <c r="M602" s="107">
        <v>206</v>
      </c>
      <c r="N602" s="107" t="s">
        <v>406</v>
      </c>
      <c r="O602" s="107" t="s">
        <v>277</v>
      </c>
    </row>
    <row r="603" spans="1:15" x14ac:dyDescent="0.15">
      <c r="A603" s="107">
        <v>1655</v>
      </c>
      <c r="B603" s="107" t="s">
        <v>196</v>
      </c>
      <c r="C603" s="107" t="s">
        <v>274</v>
      </c>
      <c r="D603" s="107">
        <v>20</v>
      </c>
      <c r="E603" s="107" t="s">
        <v>407</v>
      </c>
      <c r="F603" s="107" t="s">
        <v>408</v>
      </c>
      <c r="G603" s="107">
        <v>2</v>
      </c>
      <c r="H603" s="107">
        <v>0</v>
      </c>
      <c r="I603" s="107">
        <v>0</v>
      </c>
      <c r="J603" s="107">
        <v>0.1</v>
      </c>
      <c r="K603" s="107">
        <v>3990</v>
      </c>
      <c r="L603" s="107">
        <v>1788</v>
      </c>
      <c r="M603" s="107">
        <v>206</v>
      </c>
      <c r="N603" s="107" t="s">
        <v>406</v>
      </c>
      <c r="O603" s="107" t="s">
        <v>277</v>
      </c>
    </row>
    <row r="604" spans="1:15" x14ac:dyDescent="0.15">
      <c r="A604" s="107">
        <v>1655</v>
      </c>
      <c r="B604" s="107" t="s">
        <v>236</v>
      </c>
      <c r="C604" s="107" t="s">
        <v>274</v>
      </c>
      <c r="D604" s="107">
        <v>0.5</v>
      </c>
      <c r="E604" s="107" t="s">
        <v>204</v>
      </c>
      <c r="F604" s="107" t="s">
        <v>409</v>
      </c>
      <c r="G604" s="107">
        <v>1</v>
      </c>
      <c r="H604" s="107">
        <v>6</v>
      </c>
      <c r="I604" s="107">
        <v>1</v>
      </c>
      <c r="J604" s="107">
        <v>2.6062500000000002</v>
      </c>
      <c r="K604" s="107">
        <v>3990</v>
      </c>
      <c r="L604" s="107">
        <v>1788</v>
      </c>
      <c r="M604" s="107">
        <v>203</v>
      </c>
      <c r="N604" s="107"/>
      <c r="O604" s="107"/>
    </row>
    <row r="605" spans="1:15" x14ac:dyDescent="0.15">
      <c r="A605" s="107">
        <v>1655</v>
      </c>
      <c r="B605" s="107" t="s">
        <v>247</v>
      </c>
      <c r="C605" s="107" t="s">
        <v>274</v>
      </c>
      <c r="D605" s="107">
        <v>1</v>
      </c>
      <c r="E605" s="107"/>
      <c r="F605" s="107" t="s">
        <v>409</v>
      </c>
      <c r="G605" s="107">
        <v>5</v>
      </c>
      <c r="H605" s="107">
        <v>2</v>
      </c>
      <c r="I605" s="107">
        <v>0</v>
      </c>
      <c r="J605" s="107">
        <v>5.0999999999999996</v>
      </c>
      <c r="K605" s="107">
        <v>3990</v>
      </c>
      <c r="L605" s="107">
        <v>1788</v>
      </c>
      <c r="M605" s="107">
        <v>207</v>
      </c>
      <c r="N605" s="107" t="s">
        <v>302</v>
      </c>
      <c r="O605" s="107" t="s">
        <v>277</v>
      </c>
    </row>
    <row r="606" spans="1:15" x14ac:dyDescent="0.15">
      <c r="A606" s="107">
        <v>1655</v>
      </c>
      <c r="B606" s="107" t="s">
        <v>247</v>
      </c>
      <c r="C606" s="107" t="s">
        <v>274</v>
      </c>
      <c r="D606" s="107">
        <v>1</v>
      </c>
      <c r="E606" s="107"/>
      <c r="F606" s="107" t="s">
        <v>409</v>
      </c>
      <c r="G606" s="107">
        <v>5</v>
      </c>
      <c r="H606" s="107">
        <v>2</v>
      </c>
      <c r="I606" s="107">
        <v>0</v>
      </c>
      <c r="J606" s="107">
        <v>5.0999999999999996</v>
      </c>
      <c r="K606" s="107">
        <v>3990</v>
      </c>
      <c r="L606" s="107">
        <v>1788</v>
      </c>
      <c r="M606" s="107">
        <v>226</v>
      </c>
      <c r="N606" s="107" t="s">
        <v>287</v>
      </c>
      <c r="O606" s="107" t="s">
        <v>410</v>
      </c>
    </row>
    <row r="607" spans="1:15" x14ac:dyDescent="0.15">
      <c r="A607" s="107">
        <v>1656</v>
      </c>
      <c r="B607" s="107" t="s">
        <v>283</v>
      </c>
      <c r="C607" s="107" t="s">
        <v>274</v>
      </c>
      <c r="D607" s="107">
        <v>11</v>
      </c>
      <c r="E607" s="107" t="s">
        <v>204</v>
      </c>
      <c r="F607" s="107" t="s">
        <v>409</v>
      </c>
      <c r="G607" s="107">
        <v>28</v>
      </c>
      <c r="H607" s="107">
        <v>12</v>
      </c>
      <c r="I607" s="107">
        <v>11</v>
      </c>
      <c r="J607" s="107">
        <v>2.6031250000000004</v>
      </c>
      <c r="K607" s="107">
        <v>3991</v>
      </c>
      <c r="L607" s="107">
        <v>1788</v>
      </c>
      <c r="M607" s="107">
        <v>149</v>
      </c>
      <c r="N607" s="107" t="s">
        <v>284</v>
      </c>
      <c r="O607" s="107"/>
    </row>
    <row r="608" spans="1:15" x14ac:dyDescent="0.15">
      <c r="A608" s="107">
        <v>1659</v>
      </c>
      <c r="B608" s="107" t="s">
        <v>197</v>
      </c>
      <c r="C608" s="107" t="s">
        <v>274</v>
      </c>
      <c r="D608" s="107">
        <v>39</v>
      </c>
      <c r="E608" s="107" t="s">
        <v>204</v>
      </c>
      <c r="F608" s="107" t="s">
        <v>409</v>
      </c>
      <c r="G608" s="107">
        <v>1972</v>
      </c>
      <c r="H608" s="107">
        <v>10</v>
      </c>
      <c r="I608" s="107">
        <v>0</v>
      </c>
      <c r="J608" s="107">
        <v>50.57692307692308</v>
      </c>
      <c r="K608" s="107">
        <v>3993</v>
      </c>
      <c r="L608" s="107">
        <v>1792</v>
      </c>
      <c r="M608" s="107">
        <v>167</v>
      </c>
      <c r="N608" s="107" t="s">
        <v>317</v>
      </c>
      <c r="O608" s="107"/>
    </row>
    <row r="609" spans="1:14" x14ac:dyDescent="0.15">
      <c r="A609" s="107">
        <v>1701</v>
      </c>
      <c r="B609" s="107" t="s">
        <v>196</v>
      </c>
      <c r="C609" s="107" t="s">
        <v>271</v>
      </c>
      <c r="D609" s="107">
        <v>30</v>
      </c>
      <c r="E609" s="107" t="s">
        <v>193</v>
      </c>
      <c r="F609" s="107" t="s">
        <v>409</v>
      </c>
      <c r="G609" s="107">
        <v>49</v>
      </c>
      <c r="H609" s="107">
        <v>10</v>
      </c>
      <c r="I609" s="107">
        <v>0</v>
      </c>
      <c r="J609" s="107">
        <v>1.65</v>
      </c>
      <c r="K609" s="107">
        <v>4047</v>
      </c>
      <c r="L609" s="107">
        <v>1855</v>
      </c>
      <c r="M609" s="107">
        <v>564</v>
      </c>
      <c r="N609" s="107" t="s">
        <v>273</v>
      </c>
    </row>
    <row r="610" spans="1:14" x14ac:dyDescent="0.15">
      <c r="A610" s="107">
        <v>1701</v>
      </c>
      <c r="B610" s="107" t="s">
        <v>197</v>
      </c>
      <c r="C610" s="107" t="s">
        <v>271</v>
      </c>
      <c r="D610" s="107">
        <v>1</v>
      </c>
      <c r="E610" s="107" t="s">
        <v>204</v>
      </c>
      <c r="F610" s="107" t="s">
        <v>409</v>
      </c>
      <c r="G610" s="107">
        <v>3</v>
      </c>
      <c r="H610" s="107">
        <v>3</v>
      </c>
      <c r="I610" s="107">
        <v>0</v>
      </c>
      <c r="J610" s="107">
        <v>3.15</v>
      </c>
      <c r="K610" s="107">
        <v>4047</v>
      </c>
      <c r="L610" s="107">
        <v>1855</v>
      </c>
      <c r="M610" s="107">
        <v>557</v>
      </c>
      <c r="N610" s="107" t="s">
        <v>273</v>
      </c>
    </row>
    <row r="611" spans="1:14" x14ac:dyDescent="0.15">
      <c r="A611" s="107">
        <v>1656</v>
      </c>
      <c r="B611" s="107" t="s">
        <v>283</v>
      </c>
      <c r="C611" s="107" t="s">
        <v>274</v>
      </c>
      <c r="D611" s="107">
        <v>0.5</v>
      </c>
      <c r="E611" s="107" t="s">
        <v>292</v>
      </c>
      <c r="F611" s="107" t="s">
        <v>411</v>
      </c>
      <c r="G611" s="107">
        <v>52</v>
      </c>
      <c r="H611" s="107">
        <v>8</v>
      </c>
      <c r="I611" s="107">
        <v>0</v>
      </c>
      <c r="J611" s="107">
        <v>104.8</v>
      </c>
      <c r="K611" s="107">
        <v>3991</v>
      </c>
      <c r="L611" s="107">
        <v>1788</v>
      </c>
      <c r="M611" s="107">
        <v>150</v>
      </c>
      <c r="N611" s="107" t="s">
        <v>284</v>
      </c>
    </row>
    <row r="612" spans="1:14" x14ac:dyDescent="0.15">
      <c r="A612" s="107">
        <v>1656</v>
      </c>
      <c r="B612" s="107" t="s">
        <v>283</v>
      </c>
      <c r="C612" s="107" t="s">
        <v>274</v>
      </c>
      <c r="D612" s="107">
        <v>18000</v>
      </c>
      <c r="E612" s="107"/>
      <c r="F612" s="107" t="s">
        <v>412</v>
      </c>
      <c r="G612" s="107">
        <v>135</v>
      </c>
      <c r="H612" s="107">
        <v>0</v>
      </c>
      <c r="I612" s="107">
        <v>0</v>
      </c>
      <c r="J612" s="107">
        <v>7.4999999999999997E-3</v>
      </c>
      <c r="K612" s="107">
        <v>3991</v>
      </c>
      <c r="L612" s="107">
        <v>1788</v>
      </c>
      <c r="M612" s="107">
        <v>149</v>
      </c>
      <c r="N612" s="107" t="s">
        <v>284</v>
      </c>
    </row>
    <row r="613" spans="1:14" x14ac:dyDescent="0.15">
      <c r="A613" s="107">
        <v>1656</v>
      </c>
      <c r="B613" s="107" t="s">
        <v>283</v>
      </c>
      <c r="C613" s="107" t="s">
        <v>274</v>
      </c>
      <c r="D613" s="107">
        <v>12</v>
      </c>
      <c r="E613" s="107"/>
      <c r="F613" s="107" t="s">
        <v>413</v>
      </c>
      <c r="G613" s="107">
        <v>30</v>
      </c>
      <c r="H613" s="107">
        <v>0</v>
      </c>
      <c r="I613" s="107">
        <v>0</v>
      </c>
      <c r="J613" s="107">
        <v>2.5</v>
      </c>
      <c r="K613" s="107">
        <v>3991</v>
      </c>
      <c r="L613" s="107">
        <v>1788</v>
      </c>
      <c r="M613" s="107">
        <v>149</v>
      </c>
      <c r="N613" s="107" t="s">
        <v>284</v>
      </c>
    </row>
    <row r="614" spans="1:14" x14ac:dyDescent="0.15">
      <c r="A614" s="107">
        <v>1682</v>
      </c>
      <c r="B614" s="107" t="s">
        <v>186</v>
      </c>
      <c r="C614" s="107" t="s">
        <v>271</v>
      </c>
      <c r="D614" s="107">
        <v>0.5</v>
      </c>
      <c r="E614" s="107" t="s">
        <v>414</v>
      </c>
      <c r="F614" s="107" t="s">
        <v>415</v>
      </c>
      <c r="G614" s="107">
        <v>0</v>
      </c>
      <c r="H614" s="107">
        <v>7</v>
      </c>
      <c r="I614" s="107">
        <v>8</v>
      </c>
      <c r="J614" s="107">
        <v>0.75</v>
      </c>
      <c r="K614" s="107">
        <v>4018</v>
      </c>
      <c r="L614" s="107">
        <v>1820</v>
      </c>
      <c r="M614" s="107">
        <v>834</v>
      </c>
      <c r="N614" s="107" t="s">
        <v>273</v>
      </c>
    </row>
    <row r="615" spans="1:14" x14ac:dyDescent="0.15">
      <c r="A615" s="107">
        <v>1701</v>
      </c>
      <c r="B615" s="107" t="s">
        <v>196</v>
      </c>
      <c r="C615" s="107" t="s">
        <v>271</v>
      </c>
      <c r="D615" s="107">
        <v>68.5</v>
      </c>
      <c r="E615" s="107" t="s">
        <v>414</v>
      </c>
      <c r="F615" s="107" t="s">
        <v>415</v>
      </c>
      <c r="G615" s="107">
        <v>174</v>
      </c>
      <c r="H615" s="107">
        <v>13</v>
      </c>
      <c r="I615" s="107">
        <v>8</v>
      </c>
      <c r="J615" s="107">
        <v>2.5500000000000003</v>
      </c>
      <c r="K615" s="107">
        <v>4047</v>
      </c>
      <c r="L615" s="107">
        <v>1855</v>
      </c>
      <c r="M615" s="107">
        <v>562</v>
      </c>
      <c r="N615" s="107" t="s">
        <v>273</v>
      </c>
    </row>
    <row r="616" spans="1:14" x14ac:dyDescent="0.15">
      <c r="A616" s="107">
        <v>1656</v>
      </c>
      <c r="B616" s="107" t="s">
        <v>283</v>
      </c>
      <c r="C616" s="107" t="s">
        <v>274</v>
      </c>
      <c r="D616" s="107">
        <v>6</v>
      </c>
      <c r="E616" s="107"/>
      <c r="F616" s="107" t="s">
        <v>416</v>
      </c>
      <c r="G616" s="107">
        <v>15</v>
      </c>
      <c r="H616" s="107">
        <v>0</v>
      </c>
      <c r="I616" s="107">
        <v>0</v>
      </c>
      <c r="J616" s="107">
        <v>2.5</v>
      </c>
      <c r="K616" s="107">
        <v>3991</v>
      </c>
      <c r="L616" s="107">
        <v>1788</v>
      </c>
      <c r="M616" s="107">
        <v>150</v>
      </c>
      <c r="N616" s="107" t="s">
        <v>284</v>
      </c>
    </row>
    <row r="617" spans="1:14" x14ac:dyDescent="0.15">
      <c r="A617" s="107">
        <v>1655</v>
      </c>
      <c r="B617" s="107" t="s">
        <v>236</v>
      </c>
      <c r="C617" s="107" t="s">
        <v>274</v>
      </c>
      <c r="D617" s="107">
        <v>80</v>
      </c>
      <c r="E617" s="107"/>
      <c r="F617" s="107" t="s">
        <v>417</v>
      </c>
      <c r="G617" s="107">
        <v>56</v>
      </c>
      <c r="H617" s="107">
        <v>0</v>
      </c>
      <c r="I617" s="107">
        <v>0</v>
      </c>
      <c r="J617" s="107">
        <v>0.7</v>
      </c>
      <c r="K617" s="107">
        <v>3990</v>
      </c>
      <c r="L617" s="107">
        <v>1788</v>
      </c>
      <c r="M617" s="107">
        <v>204</v>
      </c>
      <c r="N617" s="107" t="s">
        <v>349</v>
      </c>
    </row>
    <row r="618" spans="1:14" x14ac:dyDescent="0.15">
      <c r="A618" s="107">
        <v>1656</v>
      </c>
      <c r="B618" s="107" t="s">
        <v>283</v>
      </c>
      <c r="C618" s="107" t="s">
        <v>274</v>
      </c>
      <c r="D618" s="107">
        <v>2274</v>
      </c>
      <c r="E618" s="107"/>
      <c r="F618" s="107" t="s">
        <v>418</v>
      </c>
      <c r="G618" s="107">
        <v>337</v>
      </c>
      <c r="H618" s="107">
        <v>10</v>
      </c>
      <c r="I618" s="107">
        <v>0</v>
      </c>
      <c r="J618" s="107">
        <v>0.14841688654353563</v>
      </c>
      <c r="K618" s="107">
        <v>3991</v>
      </c>
      <c r="L618" s="107">
        <v>1788</v>
      </c>
      <c r="M618" s="107">
        <v>150</v>
      </c>
      <c r="N618" s="107" t="s">
        <v>284</v>
      </c>
    </row>
    <row r="619" spans="1:14" x14ac:dyDescent="0.15">
      <c r="A619" s="107">
        <v>1656</v>
      </c>
      <c r="B619" s="107" t="s">
        <v>283</v>
      </c>
      <c r="C619" s="107" t="s">
        <v>274</v>
      </c>
      <c r="D619" s="107">
        <v>4028.6666700000001</v>
      </c>
      <c r="E619" s="107" t="s">
        <v>193</v>
      </c>
      <c r="F619" s="107" t="s">
        <v>419</v>
      </c>
      <c r="G619" s="107">
        <v>2081</v>
      </c>
      <c r="H619" s="107">
        <v>14</v>
      </c>
      <c r="I619" s="107">
        <v>0</v>
      </c>
      <c r="J619" s="107">
        <v>0.51672182647962772</v>
      </c>
      <c r="K619" s="107">
        <v>3991</v>
      </c>
      <c r="L619" s="107">
        <v>1788</v>
      </c>
      <c r="M619" s="107">
        <v>149</v>
      </c>
      <c r="N619" s="107" t="s">
        <v>284</v>
      </c>
    </row>
    <row r="620" spans="1:14" x14ac:dyDescent="0.15">
      <c r="A620" s="107">
        <v>1682</v>
      </c>
      <c r="B620" s="107" t="s">
        <v>197</v>
      </c>
      <c r="C620" s="107" t="s">
        <v>271</v>
      </c>
      <c r="D620" s="107">
        <v>60.25</v>
      </c>
      <c r="E620" s="107" t="s">
        <v>193</v>
      </c>
      <c r="F620" s="107" t="s">
        <v>419</v>
      </c>
      <c r="G620" s="107">
        <v>48</v>
      </c>
      <c r="H620" s="107">
        <v>4</v>
      </c>
      <c r="I620" s="107">
        <v>0</v>
      </c>
      <c r="J620" s="107">
        <v>0.8</v>
      </c>
      <c r="K620" s="107">
        <v>4018</v>
      </c>
      <c r="L620" s="107">
        <v>1820</v>
      </c>
      <c r="M620" s="107">
        <v>759</v>
      </c>
      <c r="N620" s="107" t="s">
        <v>273</v>
      </c>
    </row>
    <row r="621" spans="1:14" x14ac:dyDescent="0.15">
      <c r="A621" s="107">
        <v>1697</v>
      </c>
      <c r="B621" s="107" t="s">
        <v>197</v>
      </c>
      <c r="C621" s="107" t="s">
        <v>271</v>
      </c>
      <c r="D621" s="107">
        <v>3</v>
      </c>
      <c r="E621" s="107" t="s">
        <v>193</v>
      </c>
      <c r="F621" s="107" t="s">
        <v>419</v>
      </c>
      <c r="G621" s="107">
        <v>3</v>
      </c>
      <c r="H621" s="107">
        <v>0</v>
      </c>
      <c r="I621" s="107">
        <v>0</v>
      </c>
      <c r="J621" s="107">
        <v>1</v>
      </c>
      <c r="K621" s="107">
        <v>4038</v>
      </c>
      <c r="L621" s="107">
        <v>1846</v>
      </c>
      <c r="M621" s="107">
        <v>716</v>
      </c>
      <c r="N621" s="107" t="s">
        <v>294</v>
      </c>
    </row>
    <row r="622" spans="1:14" x14ac:dyDescent="0.15">
      <c r="A622" s="107">
        <v>1655</v>
      </c>
      <c r="B622" s="107" t="s">
        <v>244</v>
      </c>
      <c r="C622" s="107" t="s">
        <v>274</v>
      </c>
      <c r="D622" s="107">
        <v>25</v>
      </c>
      <c r="E622" s="107" t="s">
        <v>193</v>
      </c>
      <c r="F622" s="107" t="s">
        <v>420</v>
      </c>
      <c r="G622" s="107">
        <v>14</v>
      </c>
      <c r="H622" s="107">
        <v>10</v>
      </c>
      <c r="I622" s="107">
        <v>0</v>
      </c>
      <c r="J622" s="107">
        <v>0.57999999999999996</v>
      </c>
      <c r="K622" s="107">
        <v>3990</v>
      </c>
      <c r="L622" s="107">
        <v>1788</v>
      </c>
      <c r="M622" s="107">
        <v>203</v>
      </c>
      <c r="N622" s="107" t="s">
        <v>421</v>
      </c>
    </row>
    <row r="623" spans="1:14" x14ac:dyDescent="0.15">
      <c r="A623" s="107">
        <v>1674</v>
      </c>
      <c r="B623" s="107" t="s">
        <v>197</v>
      </c>
      <c r="C623" s="107" t="s">
        <v>274</v>
      </c>
      <c r="D623" s="107">
        <v>0.75</v>
      </c>
      <c r="E623" s="107" t="s">
        <v>193</v>
      </c>
      <c r="F623" s="107" t="s">
        <v>420</v>
      </c>
      <c r="G623" s="107">
        <v>0</v>
      </c>
      <c r="H623" s="107">
        <v>10</v>
      </c>
      <c r="I623" s="107">
        <v>8</v>
      </c>
      <c r="J623" s="107">
        <v>0.70000000000000007</v>
      </c>
      <c r="K623" s="107">
        <v>4011</v>
      </c>
      <c r="L623" s="107">
        <v>1814</v>
      </c>
      <c r="M623" s="107">
        <v>595</v>
      </c>
      <c r="N623" s="107" t="s">
        <v>294</v>
      </c>
    </row>
    <row r="624" spans="1:14" x14ac:dyDescent="0.15">
      <c r="A624" s="107">
        <v>1700</v>
      </c>
      <c r="B624" s="107" t="s">
        <v>200</v>
      </c>
      <c r="C624" s="107" t="s">
        <v>271</v>
      </c>
      <c r="D624" s="107">
        <v>3</v>
      </c>
      <c r="E624" s="107" t="s">
        <v>193</v>
      </c>
      <c r="F624" s="107" t="s">
        <v>420</v>
      </c>
      <c r="G624" s="107">
        <v>2</v>
      </c>
      <c r="H624" s="107">
        <v>15</v>
      </c>
      <c r="I624" s="107">
        <v>8</v>
      </c>
      <c r="J624" s="107">
        <v>0.92499999999999993</v>
      </c>
      <c r="K624" s="107">
        <v>4047</v>
      </c>
      <c r="L624" s="107">
        <v>1855</v>
      </c>
      <c r="M624" s="107">
        <v>528</v>
      </c>
      <c r="N624" s="107" t="s">
        <v>272</v>
      </c>
    </row>
    <row r="625" spans="1:15" x14ac:dyDescent="0.15">
      <c r="A625" s="107">
        <v>1701</v>
      </c>
      <c r="B625" s="107" t="s">
        <v>197</v>
      </c>
      <c r="C625" s="107" t="s">
        <v>271</v>
      </c>
      <c r="D625" s="107">
        <v>1</v>
      </c>
      <c r="E625" s="107" t="s">
        <v>193</v>
      </c>
      <c r="F625" s="107" t="s">
        <v>420</v>
      </c>
      <c r="G625" s="107">
        <v>0</v>
      </c>
      <c r="H625" s="107">
        <v>18</v>
      </c>
      <c r="I625" s="107">
        <v>8</v>
      </c>
      <c r="J625" s="107">
        <v>0.92500000000000004</v>
      </c>
      <c r="K625" s="107">
        <v>4047</v>
      </c>
      <c r="L625" s="107">
        <v>1855</v>
      </c>
      <c r="M625" s="107">
        <v>557</v>
      </c>
      <c r="N625" s="107" t="s">
        <v>273</v>
      </c>
      <c r="O625" s="107"/>
    </row>
    <row r="626" spans="1:15" x14ac:dyDescent="0.15">
      <c r="A626" s="107">
        <v>1655</v>
      </c>
      <c r="B626" s="107" t="s">
        <v>247</v>
      </c>
      <c r="C626" s="107" t="s">
        <v>274</v>
      </c>
      <c r="D626" s="107">
        <v>1</v>
      </c>
      <c r="E626" s="107"/>
      <c r="F626" s="107" t="s">
        <v>422</v>
      </c>
      <c r="G626" s="107">
        <v>0</v>
      </c>
      <c r="H626" s="107">
        <v>1</v>
      </c>
      <c r="I626" s="107">
        <v>0</v>
      </c>
      <c r="J626" s="107">
        <v>0.05</v>
      </c>
      <c r="K626" s="107">
        <v>3990</v>
      </c>
      <c r="L626" s="107">
        <v>1788</v>
      </c>
      <c r="M626" s="107">
        <v>225</v>
      </c>
      <c r="N626" s="107" t="s">
        <v>287</v>
      </c>
      <c r="O626" s="107" t="s">
        <v>319</v>
      </c>
    </row>
    <row r="627" spans="1:15" x14ac:dyDescent="0.15">
      <c r="A627" s="107">
        <v>1659</v>
      </c>
      <c r="B627" s="107" t="s">
        <v>197</v>
      </c>
      <c r="C627" s="107" t="s">
        <v>274</v>
      </c>
      <c r="D627" s="107">
        <v>8</v>
      </c>
      <c r="E627" s="107"/>
      <c r="F627" s="107" t="s">
        <v>423</v>
      </c>
      <c r="G627" s="107">
        <v>4</v>
      </c>
      <c r="H627" s="107">
        <v>16</v>
      </c>
      <c r="I627" s="107">
        <v>0</v>
      </c>
      <c r="J627" s="107">
        <v>0.6</v>
      </c>
      <c r="K627" s="107">
        <v>3993</v>
      </c>
      <c r="L627" s="107">
        <v>1792</v>
      </c>
      <c r="M627" s="107">
        <v>167</v>
      </c>
      <c r="N627" s="107" t="s">
        <v>317</v>
      </c>
      <c r="O627" s="107"/>
    </row>
    <row r="628" spans="1:15" x14ac:dyDescent="0.15">
      <c r="A628" s="107">
        <v>1656</v>
      </c>
      <c r="B628" s="107" t="s">
        <v>283</v>
      </c>
      <c r="C628" s="107" t="s">
        <v>274</v>
      </c>
      <c r="D628" s="107">
        <v>6</v>
      </c>
      <c r="E628" s="107"/>
      <c r="F628" s="107" t="s">
        <v>424</v>
      </c>
      <c r="G628" s="107">
        <v>58</v>
      </c>
      <c r="H628" s="107">
        <v>0</v>
      </c>
      <c r="I628" s="107">
        <v>0</v>
      </c>
      <c r="J628" s="107">
        <v>9.6666666666666661</v>
      </c>
      <c r="K628" s="107">
        <v>3991</v>
      </c>
      <c r="L628" s="107">
        <v>1788</v>
      </c>
      <c r="M628" s="107">
        <v>150</v>
      </c>
      <c r="N628" s="107" t="s">
        <v>284</v>
      </c>
      <c r="O628" s="107"/>
    </row>
    <row r="629" spans="1:15" x14ac:dyDescent="0.15">
      <c r="A629" s="107">
        <v>1656</v>
      </c>
      <c r="B629" s="107" t="s">
        <v>283</v>
      </c>
      <c r="C629" s="107" t="s">
        <v>274</v>
      </c>
      <c r="D629" s="107">
        <v>2</v>
      </c>
      <c r="E629" s="107"/>
      <c r="F629" s="107" t="s">
        <v>425</v>
      </c>
      <c r="G629" s="107">
        <v>33</v>
      </c>
      <c r="H629" s="107">
        <v>12</v>
      </c>
      <c r="I629" s="107">
        <v>0</v>
      </c>
      <c r="J629" s="107">
        <v>16.8</v>
      </c>
      <c r="K629" s="107">
        <v>3991</v>
      </c>
      <c r="L629" s="107">
        <v>1788</v>
      </c>
      <c r="M629" s="107">
        <v>149</v>
      </c>
      <c r="N629" s="107" t="s">
        <v>284</v>
      </c>
      <c r="O629" s="107"/>
    </row>
    <row r="630" spans="1:15" x14ac:dyDescent="0.15">
      <c r="A630" s="107">
        <v>1659</v>
      </c>
      <c r="B630" s="107" t="s">
        <v>197</v>
      </c>
      <c r="C630" s="107" t="s">
        <v>274</v>
      </c>
      <c r="D630" s="107">
        <v>24</v>
      </c>
      <c r="E630" s="107" t="s">
        <v>407</v>
      </c>
      <c r="F630" s="107" t="s">
        <v>426</v>
      </c>
      <c r="G630" s="107">
        <v>28</v>
      </c>
      <c r="H630" s="107">
        <v>16</v>
      </c>
      <c r="I630" s="107">
        <v>0</v>
      </c>
      <c r="J630" s="107">
        <v>1.2</v>
      </c>
      <c r="K630" s="107">
        <v>3993</v>
      </c>
      <c r="L630" s="107">
        <v>1792</v>
      </c>
      <c r="M630" s="107">
        <v>167</v>
      </c>
      <c r="N630" s="107" t="s">
        <v>317</v>
      </c>
      <c r="O630" s="107"/>
    </row>
    <row r="631" spans="1:15" x14ac:dyDescent="0.15">
      <c r="A631" s="107">
        <v>1656</v>
      </c>
      <c r="B631" s="107" t="s">
        <v>283</v>
      </c>
      <c r="C631" s="107" t="s">
        <v>274</v>
      </c>
      <c r="D631" s="107">
        <v>88</v>
      </c>
      <c r="E631" s="107" t="s">
        <v>193</v>
      </c>
      <c r="F631" s="107" t="s">
        <v>427</v>
      </c>
      <c r="G631" s="107">
        <v>37</v>
      </c>
      <c r="H631" s="107">
        <v>14</v>
      </c>
      <c r="I631" s="107">
        <v>0</v>
      </c>
      <c r="J631" s="107">
        <v>0.42840909090909096</v>
      </c>
      <c r="K631" s="107">
        <v>3991</v>
      </c>
      <c r="L631" s="107">
        <v>1788</v>
      </c>
      <c r="M631" s="107">
        <v>149</v>
      </c>
      <c r="N631" s="107" t="s">
        <v>284</v>
      </c>
      <c r="O631" s="107"/>
    </row>
    <row r="632" spans="1:15" x14ac:dyDescent="0.15">
      <c r="A632" s="107">
        <v>1700</v>
      </c>
      <c r="B632" s="107" t="s">
        <v>236</v>
      </c>
      <c r="C632" s="107" t="s">
        <v>271</v>
      </c>
      <c r="D632" s="107">
        <v>20000</v>
      </c>
      <c r="E632" s="107" t="s">
        <v>204</v>
      </c>
      <c r="F632" s="107" t="s">
        <v>427</v>
      </c>
      <c r="G632" s="107">
        <v>20</v>
      </c>
      <c r="H632" s="107">
        <v>0</v>
      </c>
      <c r="I632" s="107">
        <v>0</v>
      </c>
      <c r="J632" s="107">
        <v>1E-3</v>
      </c>
      <c r="K632" s="107">
        <v>4047</v>
      </c>
      <c r="L632" s="107">
        <v>1855</v>
      </c>
      <c r="M632" s="107">
        <v>550</v>
      </c>
      <c r="N632" s="107" t="s">
        <v>273</v>
      </c>
      <c r="O632" s="107"/>
    </row>
    <row r="633" spans="1:15" x14ac:dyDescent="0.15">
      <c r="A633" s="107">
        <v>1656</v>
      </c>
      <c r="B633" s="107" t="s">
        <v>283</v>
      </c>
      <c r="C633" s="107" t="s">
        <v>274</v>
      </c>
      <c r="D633" s="107">
        <v>20</v>
      </c>
      <c r="E633" s="107"/>
      <c r="F633" s="107" t="s">
        <v>428</v>
      </c>
      <c r="G633" s="107">
        <v>14</v>
      </c>
      <c r="H633" s="107">
        <v>0</v>
      </c>
      <c r="I633" s="107">
        <v>0</v>
      </c>
      <c r="J633" s="107">
        <v>0.7</v>
      </c>
      <c r="K633" s="107">
        <v>3991</v>
      </c>
      <c r="L633" s="107">
        <v>1788</v>
      </c>
      <c r="M633" s="107">
        <v>149</v>
      </c>
      <c r="N633" s="107" t="s">
        <v>284</v>
      </c>
      <c r="O633" s="107"/>
    </row>
    <row r="634" spans="1:15" x14ac:dyDescent="0.15">
      <c r="A634" s="107">
        <v>1656</v>
      </c>
      <c r="B634" s="107" t="s">
        <v>283</v>
      </c>
      <c r="C634" s="107" t="s">
        <v>274</v>
      </c>
      <c r="D634" s="107">
        <v>253</v>
      </c>
      <c r="E634" s="107" t="s">
        <v>429</v>
      </c>
      <c r="F634" s="107" t="s">
        <v>430</v>
      </c>
      <c r="G634" s="107">
        <v>151</v>
      </c>
      <c r="H634" s="107">
        <v>16</v>
      </c>
      <c r="I634" s="107">
        <v>0</v>
      </c>
      <c r="J634" s="107">
        <v>0.60000000000000009</v>
      </c>
      <c r="K634" s="107">
        <v>3991</v>
      </c>
      <c r="L634" s="107">
        <v>1788</v>
      </c>
      <c r="M634" s="107">
        <v>149</v>
      </c>
      <c r="N634" s="107" t="s">
        <v>284</v>
      </c>
      <c r="O634" s="107"/>
    </row>
    <row r="635" spans="1:15" x14ac:dyDescent="0.15">
      <c r="A635" s="107">
        <v>1656</v>
      </c>
      <c r="B635" s="107" t="s">
        <v>283</v>
      </c>
      <c r="C635" s="107" t="s">
        <v>274</v>
      </c>
      <c r="D635" s="107">
        <v>6</v>
      </c>
      <c r="E635" s="107"/>
      <c r="F635" s="107" t="s">
        <v>431</v>
      </c>
      <c r="G635" s="107">
        <v>8</v>
      </c>
      <c r="H635" s="107">
        <v>8</v>
      </c>
      <c r="I635" s="107">
        <v>0</v>
      </c>
      <c r="J635" s="107">
        <v>1.4000000000000001</v>
      </c>
      <c r="K635" s="107">
        <v>3991</v>
      </c>
      <c r="L635" s="107">
        <v>1788</v>
      </c>
      <c r="M635" s="107">
        <v>149</v>
      </c>
      <c r="N635" s="107" t="s">
        <v>284</v>
      </c>
      <c r="O635" s="107"/>
    </row>
    <row r="636" spans="1:15" x14ac:dyDescent="0.15">
      <c r="A636" s="107">
        <v>1656</v>
      </c>
      <c r="B636" s="107" t="s">
        <v>283</v>
      </c>
      <c r="C636" s="107" t="s">
        <v>274</v>
      </c>
      <c r="D636" s="107">
        <v>30</v>
      </c>
      <c r="E636" s="107"/>
      <c r="F636" s="107" t="s">
        <v>432</v>
      </c>
      <c r="G636" s="107">
        <v>54</v>
      </c>
      <c r="H636" s="107">
        <v>0</v>
      </c>
      <c r="I636" s="107">
        <v>0</v>
      </c>
      <c r="J636" s="107">
        <v>1.8</v>
      </c>
      <c r="K636" s="107">
        <v>3991</v>
      </c>
      <c r="L636" s="107">
        <v>1788</v>
      </c>
      <c r="M636" s="107">
        <v>149</v>
      </c>
      <c r="N636" s="107" t="s">
        <v>284</v>
      </c>
      <c r="O636" s="107"/>
    </row>
    <row r="637" spans="1:15" x14ac:dyDescent="0.15">
      <c r="A637" s="107">
        <v>1655</v>
      </c>
      <c r="B637" s="107" t="s">
        <v>236</v>
      </c>
      <c r="C637" s="107" t="s">
        <v>274</v>
      </c>
      <c r="D637" s="107">
        <v>30</v>
      </c>
      <c r="E637" s="107"/>
      <c r="F637" s="107" t="s">
        <v>433</v>
      </c>
      <c r="G637" s="107">
        <v>54</v>
      </c>
      <c r="H637" s="107">
        <v>0</v>
      </c>
      <c r="I637" s="107">
        <v>0</v>
      </c>
      <c r="J637" s="107">
        <v>1.8</v>
      </c>
      <c r="K637" s="107">
        <v>3990</v>
      </c>
      <c r="L637" s="107">
        <v>1788</v>
      </c>
      <c r="M637" s="107">
        <v>204</v>
      </c>
      <c r="N637" s="107" t="s">
        <v>349</v>
      </c>
      <c r="O637" s="107"/>
    </row>
    <row r="638" spans="1:15" x14ac:dyDescent="0.15">
      <c r="A638" s="107">
        <v>1656</v>
      </c>
      <c r="B638" s="107" t="s">
        <v>283</v>
      </c>
      <c r="C638" s="107" t="s">
        <v>274</v>
      </c>
      <c r="D638" s="107">
        <v>48</v>
      </c>
      <c r="E638" s="107" t="s">
        <v>204</v>
      </c>
      <c r="F638" s="107" t="s">
        <v>434</v>
      </c>
      <c r="G638" s="107">
        <v>144</v>
      </c>
      <c r="H638" s="107">
        <v>6</v>
      </c>
      <c r="I638" s="107">
        <v>0</v>
      </c>
      <c r="J638" s="107">
        <v>3.0062500000000001</v>
      </c>
      <c r="K638" s="107">
        <v>3991</v>
      </c>
      <c r="L638" s="107">
        <v>1788</v>
      </c>
      <c r="M638" s="107">
        <v>149</v>
      </c>
      <c r="N638" s="107" t="s">
        <v>284</v>
      </c>
      <c r="O638" s="107"/>
    </row>
    <row r="639" spans="1:15" x14ac:dyDescent="0.15">
      <c r="A639" s="107">
        <v>1659</v>
      </c>
      <c r="B639" s="107" t="s">
        <v>197</v>
      </c>
      <c r="C639" s="107" t="s">
        <v>274</v>
      </c>
      <c r="D639" s="107">
        <v>91</v>
      </c>
      <c r="E639" s="107" t="s">
        <v>204</v>
      </c>
      <c r="F639" s="107" t="s">
        <v>434</v>
      </c>
      <c r="G639" s="107">
        <v>357</v>
      </c>
      <c r="H639" s="107">
        <v>0</v>
      </c>
      <c r="I639" s="107">
        <v>0</v>
      </c>
      <c r="J639" s="107">
        <v>3.9230769230769229</v>
      </c>
      <c r="K639" s="107">
        <v>3993</v>
      </c>
      <c r="L639" s="107">
        <v>1792</v>
      </c>
      <c r="M639" s="107">
        <v>167</v>
      </c>
      <c r="N639" s="107" t="s">
        <v>317</v>
      </c>
      <c r="O639" s="107"/>
    </row>
    <row r="640" spans="1:15" x14ac:dyDescent="0.15">
      <c r="A640" s="107">
        <v>1656</v>
      </c>
      <c r="B640" s="107" t="s">
        <v>283</v>
      </c>
      <c r="C640" s="107" t="s">
        <v>274</v>
      </c>
      <c r="D640" s="107">
        <v>60</v>
      </c>
      <c r="E640" s="107"/>
      <c r="F640" s="107" t="s">
        <v>435</v>
      </c>
      <c r="G640" s="107">
        <v>21</v>
      </c>
      <c r="H640" s="107">
        <v>0</v>
      </c>
      <c r="I640" s="107">
        <v>0</v>
      </c>
      <c r="J640" s="107">
        <v>0.35</v>
      </c>
      <c r="K640" s="107">
        <v>3991</v>
      </c>
      <c r="L640" s="107">
        <v>1788</v>
      </c>
      <c r="M640" s="107">
        <v>149</v>
      </c>
      <c r="N640" s="107" t="s">
        <v>284</v>
      </c>
      <c r="O640" s="107"/>
    </row>
    <row r="641" spans="1:15" x14ac:dyDescent="0.15">
      <c r="A641" s="107">
        <v>1700</v>
      </c>
      <c r="B641" s="107" t="s">
        <v>200</v>
      </c>
      <c r="C641" s="107" t="s">
        <v>271</v>
      </c>
      <c r="D641" s="107">
        <v>271</v>
      </c>
      <c r="E641" s="107" t="s">
        <v>436</v>
      </c>
      <c r="F641" s="107" t="s">
        <v>437</v>
      </c>
      <c r="G641" s="107">
        <v>33</v>
      </c>
      <c r="H641" s="107">
        <v>17</v>
      </c>
      <c r="I641" s="107">
        <v>8</v>
      </c>
      <c r="J641" s="107">
        <v>0.125</v>
      </c>
      <c r="K641" s="107">
        <v>4047</v>
      </c>
      <c r="L641" s="107">
        <v>1855</v>
      </c>
      <c r="M641" s="107">
        <v>529</v>
      </c>
      <c r="N641" s="107" t="s">
        <v>272</v>
      </c>
      <c r="O641" s="107"/>
    </row>
    <row r="642" spans="1:15" x14ac:dyDescent="0.15">
      <c r="A642" s="107">
        <v>1659</v>
      </c>
      <c r="B642" s="107" t="s">
        <v>197</v>
      </c>
      <c r="C642" s="107" t="s">
        <v>274</v>
      </c>
      <c r="D642" s="107">
        <v>320</v>
      </c>
      <c r="E642" s="107" t="s">
        <v>438</v>
      </c>
      <c r="F642" s="107" t="s">
        <v>439</v>
      </c>
      <c r="G642" s="107">
        <v>480</v>
      </c>
      <c r="H642" s="107">
        <v>0</v>
      </c>
      <c r="I642" s="107">
        <v>0</v>
      </c>
      <c r="J642" s="107">
        <v>1.5</v>
      </c>
      <c r="K642" s="107">
        <v>3993</v>
      </c>
      <c r="L642" s="107">
        <v>1792</v>
      </c>
      <c r="M642" s="107">
        <v>167</v>
      </c>
      <c r="N642" s="107" t="s">
        <v>317</v>
      </c>
      <c r="O642" s="107"/>
    </row>
    <row r="643" spans="1:15" x14ac:dyDescent="0.15">
      <c r="A643" s="107">
        <v>1655</v>
      </c>
      <c r="B643" s="107" t="s">
        <v>197</v>
      </c>
      <c r="C643" s="107" t="s">
        <v>274</v>
      </c>
      <c r="D643" s="107">
        <v>5</v>
      </c>
      <c r="E643" s="107" t="s">
        <v>429</v>
      </c>
      <c r="F643" s="107" t="s">
        <v>440</v>
      </c>
      <c r="G643" s="107">
        <v>7</v>
      </c>
      <c r="H643" s="107">
        <v>10</v>
      </c>
      <c r="I643" s="107">
        <v>0</v>
      </c>
      <c r="J643" s="107">
        <v>1.5</v>
      </c>
      <c r="K643" s="107">
        <v>3990</v>
      </c>
      <c r="L643" s="107">
        <v>1788</v>
      </c>
      <c r="M643" s="107">
        <v>203</v>
      </c>
      <c r="N643" s="107"/>
      <c r="O643" s="107"/>
    </row>
    <row r="644" spans="1:15" x14ac:dyDescent="0.15">
      <c r="A644" s="107">
        <v>1655</v>
      </c>
      <c r="B644" s="107" t="s">
        <v>196</v>
      </c>
      <c r="C644" s="107" t="s">
        <v>274</v>
      </c>
      <c r="D644" s="107">
        <v>2</v>
      </c>
      <c r="E644" s="107" t="s">
        <v>429</v>
      </c>
      <c r="F644" s="107" t="s">
        <v>440</v>
      </c>
      <c r="G644" s="107">
        <v>3</v>
      </c>
      <c r="H644" s="107">
        <v>2</v>
      </c>
      <c r="I644" s="107">
        <v>0</v>
      </c>
      <c r="J644" s="107">
        <v>1.55</v>
      </c>
      <c r="K644" s="107">
        <v>3990</v>
      </c>
      <c r="L644" s="107">
        <v>1788</v>
      </c>
      <c r="M644" s="107">
        <v>206</v>
      </c>
      <c r="N644" s="107" t="s">
        <v>406</v>
      </c>
      <c r="O644" s="107" t="s">
        <v>277</v>
      </c>
    </row>
    <row r="645" spans="1:15" x14ac:dyDescent="0.15">
      <c r="A645" s="107">
        <v>1655</v>
      </c>
      <c r="B645" s="107" t="s">
        <v>196</v>
      </c>
      <c r="C645" s="107" t="s">
        <v>274</v>
      </c>
      <c r="D645" s="107">
        <v>12</v>
      </c>
      <c r="E645" s="107" t="s">
        <v>429</v>
      </c>
      <c r="F645" s="107" t="s">
        <v>440</v>
      </c>
      <c r="G645" s="107">
        <v>18</v>
      </c>
      <c r="H645" s="107">
        <v>12</v>
      </c>
      <c r="I645" s="107">
        <v>0</v>
      </c>
      <c r="J645" s="107">
        <v>1.55</v>
      </c>
      <c r="K645" s="107">
        <v>3990</v>
      </c>
      <c r="L645" s="107">
        <v>1788</v>
      </c>
      <c r="M645" s="107">
        <v>206</v>
      </c>
      <c r="N645" s="107" t="s">
        <v>406</v>
      </c>
      <c r="O645" s="107" t="s">
        <v>277</v>
      </c>
    </row>
    <row r="646" spans="1:15" x14ac:dyDescent="0.15">
      <c r="A646" s="107">
        <v>1655</v>
      </c>
      <c r="B646" s="107" t="s">
        <v>236</v>
      </c>
      <c r="C646" s="107" t="s">
        <v>274</v>
      </c>
      <c r="D646" s="107">
        <v>100</v>
      </c>
      <c r="E646" s="107"/>
      <c r="F646" s="107" t="s">
        <v>441</v>
      </c>
      <c r="G646" s="107">
        <v>90</v>
      </c>
      <c r="H646" s="107">
        <v>0</v>
      </c>
      <c r="I646" s="107">
        <v>0</v>
      </c>
      <c r="J646" s="107">
        <v>0.9</v>
      </c>
      <c r="K646" s="107">
        <v>3990</v>
      </c>
      <c r="L646" s="107">
        <v>1788</v>
      </c>
      <c r="M646" s="107">
        <v>204</v>
      </c>
      <c r="N646" s="107" t="s">
        <v>349</v>
      </c>
      <c r="O646" s="107"/>
    </row>
    <row r="647" spans="1:15" x14ac:dyDescent="0.15">
      <c r="A647" s="107">
        <v>1656</v>
      </c>
      <c r="B647" s="107" t="s">
        <v>283</v>
      </c>
      <c r="C647" s="107" t="s">
        <v>274</v>
      </c>
      <c r="D647" s="107">
        <v>1</v>
      </c>
      <c r="E647" s="107" t="s">
        <v>323</v>
      </c>
      <c r="F647" s="107" t="s">
        <v>442</v>
      </c>
      <c r="G647" s="107">
        <v>56</v>
      </c>
      <c r="H647" s="107">
        <v>0</v>
      </c>
      <c r="I647" s="107">
        <v>0</v>
      </c>
      <c r="J647" s="107">
        <v>56</v>
      </c>
      <c r="K647" s="107">
        <v>3991</v>
      </c>
      <c r="L647" s="107">
        <v>1788</v>
      </c>
      <c r="M647" s="107">
        <v>149</v>
      </c>
      <c r="N647" s="107" t="s">
        <v>284</v>
      </c>
      <c r="O647" s="107"/>
    </row>
    <row r="648" spans="1:15" x14ac:dyDescent="0.15">
      <c r="A648" s="107">
        <v>1656</v>
      </c>
      <c r="B648" s="107" t="s">
        <v>283</v>
      </c>
      <c r="C648" s="107" t="s">
        <v>274</v>
      </c>
      <c r="D648" s="107">
        <v>1</v>
      </c>
      <c r="E648" s="107" t="s">
        <v>323</v>
      </c>
      <c r="F648" s="107" t="s">
        <v>443</v>
      </c>
      <c r="G648" s="107">
        <v>66</v>
      </c>
      <c r="H648" s="107">
        <v>0</v>
      </c>
      <c r="I648" s="107">
        <v>0</v>
      </c>
      <c r="J648" s="107">
        <v>66</v>
      </c>
      <c r="K648" s="107">
        <v>3991</v>
      </c>
      <c r="L648" s="107">
        <v>1788</v>
      </c>
      <c r="M648" s="107">
        <v>149</v>
      </c>
      <c r="N648" s="107" t="s">
        <v>284</v>
      </c>
      <c r="O648" s="107"/>
    </row>
    <row r="649" spans="1:15" x14ac:dyDescent="0.15">
      <c r="A649" s="107">
        <v>1659</v>
      </c>
      <c r="B649" s="107" t="s">
        <v>197</v>
      </c>
      <c r="C649" s="107" t="s">
        <v>274</v>
      </c>
      <c r="D649" s="107">
        <v>201.75</v>
      </c>
      <c r="E649" s="107" t="s">
        <v>315</v>
      </c>
      <c r="F649" s="107" t="s">
        <v>444</v>
      </c>
      <c r="G649" s="107">
        <v>880</v>
      </c>
      <c r="H649" s="107">
        <v>0</v>
      </c>
      <c r="I649" s="107">
        <v>0</v>
      </c>
      <c r="J649" s="107">
        <v>4.3618339529120203</v>
      </c>
      <c r="K649" s="107">
        <v>3993</v>
      </c>
      <c r="L649" s="107">
        <v>1792</v>
      </c>
      <c r="M649" s="107">
        <v>167</v>
      </c>
      <c r="N649" s="107" t="s">
        <v>317</v>
      </c>
      <c r="O649" s="107"/>
    </row>
    <row r="650" spans="1:15" x14ac:dyDescent="0.15">
      <c r="A650" s="107">
        <v>1655</v>
      </c>
      <c r="B650" s="107" t="s">
        <v>196</v>
      </c>
      <c r="C650" s="107" t="s">
        <v>274</v>
      </c>
      <c r="D650" s="107">
        <v>1</v>
      </c>
      <c r="E650" s="107"/>
      <c r="F650" s="107" t="s">
        <v>445</v>
      </c>
      <c r="G650" s="107">
        <v>1</v>
      </c>
      <c r="H650" s="107">
        <v>12</v>
      </c>
      <c r="I650" s="107">
        <v>0</v>
      </c>
      <c r="J650" s="107">
        <v>1.6</v>
      </c>
      <c r="K650" s="107">
        <v>3990</v>
      </c>
      <c r="L650" s="107">
        <v>1788</v>
      </c>
      <c r="M650" s="107">
        <v>205</v>
      </c>
      <c r="N650" s="107" t="s">
        <v>406</v>
      </c>
      <c r="O650" s="107" t="s">
        <v>277</v>
      </c>
    </row>
    <row r="651" spans="1:15" x14ac:dyDescent="0.15">
      <c r="A651" s="107">
        <v>1655</v>
      </c>
      <c r="B651" s="107" t="s">
        <v>196</v>
      </c>
      <c r="C651" s="107" t="s">
        <v>274</v>
      </c>
      <c r="D651" s="107">
        <v>1</v>
      </c>
      <c r="E651" s="107"/>
      <c r="F651" s="107" t="s">
        <v>445</v>
      </c>
      <c r="G651" s="107">
        <v>1</v>
      </c>
      <c r="H651" s="107">
        <v>12</v>
      </c>
      <c r="I651" s="107">
        <v>0</v>
      </c>
      <c r="J651" s="107">
        <v>1.6</v>
      </c>
      <c r="K651" s="107">
        <v>3990</v>
      </c>
      <c r="L651" s="107">
        <v>1788</v>
      </c>
      <c r="M651" s="107">
        <v>205</v>
      </c>
      <c r="N651" s="107" t="s">
        <v>406</v>
      </c>
      <c r="O651" s="107" t="s">
        <v>277</v>
      </c>
    </row>
    <row r="652" spans="1:15" x14ac:dyDescent="0.15">
      <c r="A652" s="107">
        <v>1668</v>
      </c>
      <c r="B652" s="107" t="s">
        <v>196</v>
      </c>
      <c r="C652" s="107" t="s">
        <v>274</v>
      </c>
      <c r="D652" s="107">
        <v>1.5</v>
      </c>
      <c r="E652" s="107" t="s">
        <v>344</v>
      </c>
      <c r="F652" s="107" t="s">
        <v>210</v>
      </c>
      <c r="G652" s="107">
        <v>2</v>
      </c>
      <c r="H652" s="107">
        <v>5</v>
      </c>
      <c r="I652" s="107">
        <v>9</v>
      </c>
      <c r="J652" s="107">
        <v>1.51875</v>
      </c>
      <c r="K652" s="107">
        <v>4003</v>
      </c>
      <c r="L652" s="107">
        <v>1802</v>
      </c>
      <c r="M652" s="107">
        <v>48</v>
      </c>
      <c r="N652" s="107"/>
      <c r="O652" s="107"/>
    </row>
    <row r="653" spans="1:15" x14ac:dyDescent="0.15">
      <c r="A653" s="107">
        <v>1669</v>
      </c>
      <c r="B653" s="107" t="s">
        <v>196</v>
      </c>
      <c r="C653" s="107" t="s">
        <v>274</v>
      </c>
      <c r="D653" s="107">
        <v>0.25</v>
      </c>
      <c r="E653" s="107" t="s">
        <v>344</v>
      </c>
      <c r="F653" s="107" t="s">
        <v>210</v>
      </c>
      <c r="G653" s="107">
        <v>0</v>
      </c>
      <c r="H653" s="107">
        <v>15</v>
      </c>
      <c r="I653" s="107">
        <v>0</v>
      </c>
      <c r="J653" s="107">
        <v>3</v>
      </c>
      <c r="K653" s="107">
        <v>4004</v>
      </c>
      <c r="L653" s="107">
        <v>1805</v>
      </c>
      <c r="M653" s="107">
        <v>570</v>
      </c>
      <c r="N653" s="107"/>
      <c r="O653" s="107"/>
    </row>
    <row r="654" spans="1:15" x14ac:dyDescent="0.15">
      <c r="A654" s="107">
        <v>1703</v>
      </c>
      <c r="B654" s="107" t="s">
        <v>253</v>
      </c>
      <c r="C654" s="107" t="s">
        <v>271</v>
      </c>
      <c r="D654" s="107">
        <v>2</v>
      </c>
      <c r="E654" s="107" t="s">
        <v>188</v>
      </c>
      <c r="F654" s="107" t="s">
        <v>210</v>
      </c>
      <c r="G654" s="107">
        <v>48</v>
      </c>
      <c r="H654" s="107">
        <v>0</v>
      </c>
      <c r="I654" s="107">
        <v>0</v>
      </c>
      <c r="J654" s="107">
        <v>24</v>
      </c>
      <c r="K654" s="107">
        <v>4049</v>
      </c>
      <c r="L654" s="107">
        <v>1856</v>
      </c>
      <c r="M654" s="107">
        <v>538</v>
      </c>
      <c r="N654" s="107"/>
      <c r="O654" s="107"/>
    </row>
    <row r="655" spans="1:15" x14ac:dyDescent="0.15">
      <c r="A655" s="107">
        <v>1704</v>
      </c>
      <c r="B655" s="107" t="s">
        <v>253</v>
      </c>
      <c r="C655" s="107" t="s">
        <v>271</v>
      </c>
      <c r="D655" s="107">
        <v>2</v>
      </c>
      <c r="E655" s="107" t="s">
        <v>188</v>
      </c>
      <c r="F655" s="107" t="s">
        <v>210</v>
      </c>
      <c r="G655" s="107">
        <v>98</v>
      </c>
      <c r="H655" s="107">
        <v>0</v>
      </c>
      <c r="I655" s="107">
        <v>0</v>
      </c>
      <c r="J655" s="107">
        <v>49</v>
      </c>
      <c r="K655" s="107">
        <v>4050</v>
      </c>
      <c r="L655" s="107">
        <v>1858</v>
      </c>
      <c r="M655" s="107">
        <v>502</v>
      </c>
      <c r="N655" s="107"/>
      <c r="O655" s="107"/>
    </row>
    <row r="656" spans="1:15" x14ac:dyDescent="0.15">
      <c r="A656" s="107">
        <v>1705</v>
      </c>
      <c r="B656" s="107" t="s">
        <v>260</v>
      </c>
      <c r="C656" s="107" t="s">
        <v>271</v>
      </c>
      <c r="D656" s="107">
        <v>1.5</v>
      </c>
      <c r="E656" s="107" t="s">
        <v>188</v>
      </c>
      <c r="F656" s="107" t="s">
        <v>210</v>
      </c>
      <c r="G656" s="107">
        <v>36</v>
      </c>
      <c r="H656" s="107">
        <v>0</v>
      </c>
      <c r="I656" s="107">
        <v>0</v>
      </c>
      <c r="J656" s="107">
        <v>24</v>
      </c>
      <c r="K656" s="107">
        <v>4051</v>
      </c>
      <c r="L656" s="107">
        <v>1860</v>
      </c>
      <c r="M656" s="107">
        <v>675</v>
      </c>
      <c r="N656" s="107"/>
      <c r="O656" s="107"/>
    </row>
    <row r="657" spans="1:11" x14ac:dyDescent="0.15">
      <c r="A657" s="107">
        <v>1706</v>
      </c>
      <c r="B657" s="107" t="s">
        <v>186</v>
      </c>
      <c r="C657" s="107" t="s">
        <v>268</v>
      </c>
      <c r="D657" s="25">
        <v>2</v>
      </c>
      <c r="E657" s="107" t="s">
        <v>188</v>
      </c>
      <c r="F657" s="107" t="s">
        <v>210</v>
      </c>
      <c r="G657" s="107">
        <v>48</v>
      </c>
      <c r="H657" s="107">
        <v>0</v>
      </c>
      <c r="I657" s="107">
        <v>0</v>
      </c>
      <c r="J657" s="107">
        <f t="shared" ref="J657:J688" si="9">(G657+H657/20+I657/320)/D657</f>
        <v>24</v>
      </c>
      <c r="K657" s="107">
        <v>5558</v>
      </c>
    </row>
    <row r="658" spans="1:11" x14ac:dyDescent="0.15">
      <c r="A658" s="107">
        <v>1710</v>
      </c>
      <c r="B658" s="107" t="s">
        <v>186</v>
      </c>
      <c r="C658" s="107" t="s">
        <v>268</v>
      </c>
      <c r="D658" s="25">
        <v>2</v>
      </c>
      <c r="E658" s="107" t="s">
        <v>188</v>
      </c>
      <c r="F658" s="107" t="s">
        <v>210</v>
      </c>
      <c r="G658" s="107">
        <v>42</v>
      </c>
      <c r="H658" s="107">
        <v>0</v>
      </c>
      <c r="I658" s="107">
        <v>0</v>
      </c>
      <c r="J658" s="107">
        <f t="shared" si="9"/>
        <v>21</v>
      </c>
      <c r="K658" s="107">
        <v>5611</v>
      </c>
    </row>
    <row r="659" spans="1:11" x14ac:dyDescent="0.15">
      <c r="A659" s="107">
        <v>1711</v>
      </c>
      <c r="B659" s="107" t="s">
        <v>260</v>
      </c>
      <c r="C659" s="107" t="s">
        <v>268</v>
      </c>
      <c r="D659" s="25">
        <v>2</v>
      </c>
      <c r="E659" s="107" t="s">
        <v>188</v>
      </c>
      <c r="F659" s="107" t="s">
        <v>210</v>
      </c>
      <c r="G659" s="107">
        <v>42</v>
      </c>
      <c r="H659" s="107">
        <v>0</v>
      </c>
      <c r="I659" s="107">
        <v>0</v>
      </c>
      <c r="J659" s="107">
        <f t="shared" si="9"/>
        <v>21</v>
      </c>
      <c r="K659" s="107">
        <v>5612</v>
      </c>
    </row>
    <row r="660" spans="1:11" x14ac:dyDescent="0.15">
      <c r="A660" s="107">
        <v>1712</v>
      </c>
      <c r="B660" s="107" t="s">
        <v>247</v>
      </c>
      <c r="C660" s="107" t="s">
        <v>268</v>
      </c>
      <c r="D660" s="25">
        <v>2</v>
      </c>
      <c r="E660" s="107" t="s">
        <v>188</v>
      </c>
      <c r="F660" s="107" t="s">
        <v>210</v>
      </c>
      <c r="G660" s="107">
        <v>42</v>
      </c>
      <c r="H660" s="107">
        <v>0</v>
      </c>
      <c r="I660" s="107">
        <v>0</v>
      </c>
      <c r="J660" s="107">
        <f t="shared" si="9"/>
        <v>21</v>
      </c>
      <c r="K660" s="107">
        <v>5635</v>
      </c>
    </row>
    <row r="661" spans="1:11" x14ac:dyDescent="0.15">
      <c r="A661" s="107">
        <v>1713</v>
      </c>
      <c r="B661" s="107" t="s">
        <v>236</v>
      </c>
      <c r="C661" s="107" t="s">
        <v>268</v>
      </c>
      <c r="D661" s="25">
        <v>20</v>
      </c>
      <c r="E661" s="107" t="s">
        <v>188</v>
      </c>
      <c r="F661" s="107" t="s">
        <v>210</v>
      </c>
      <c r="G661" s="107">
        <v>420</v>
      </c>
      <c r="H661" s="107">
        <v>0</v>
      </c>
      <c r="I661" s="107">
        <v>0</v>
      </c>
      <c r="J661" s="107">
        <f t="shared" si="9"/>
        <v>21</v>
      </c>
      <c r="K661" s="107">
        <v>5646</v>
      </c>
    </row>
    <row r="662" spans="1:11" x14ac:dyDescent="0.15">
      <c r="A662" s="107">
        <v>1714</v>
      </c>
      <c r="B662" s="107" t="s">
        <v>247</v>
      </c>
      <c r="C662" s="107" t="s">
        <v>268</v>
      </c>
      <c r="D662" s="25">
        <v>2</v>
      </c>
      <c r="E662" s="107" t="s">
        <v>188</v>
      </c>
      <c r="F662" s="107" t="s">
        <v>210</v>
      </c>
      <c r="G662" s="107">
        <v>42</v>
      </c>
      <c r="H662" s="107">
        <v>0</v>
      </c>
      <c r="I662" s="107">
        <v>0</v>
      </c>
      <c r="J662" s="107">
        <f t="shared" si="9"/>
        <v>21</v>
      </c>
      <c r="K662" s="107">
        <v>5655</v>
      </c>
    </row>
    <row r="663" spans="1:11" x14ac:dyDescent="0.15">
      <c r="A663" s="107">
        <v>1715</v>
      </c>
      <c r="B663" s="107" t="s">
        <v>197</v>
      </c>
      <c r="C663" s="107" t="s">
        <v>268</v>
      </c>
      <c r="D663" s="25">
        <v>1</v>
      </c>
      <c r="E663" s="107" t="s">
        <v>188</v>
      </c>
      <c r="F663" s="107" t="s">
        <v>210</v>
      </c>
      <c r="G663" s="107">
        <v>21</v>
      </c>
      <c r="H663" s="107">
        <v>0</v>
      </c>
      <c r="I663" s="107">
        <v>0</v>
      </c>
      <c r="J663" s="107">
        <f t="shared" si="9"/>
        <v>21</v>
      </c>
      <c r="K663" s="107">
        <v>5663</v>
      </c>
    </row>
    <row r="664" spans="1:11" x14ac:dyDescent="0.15">
      <c r="A664" s="107">
        <v>1717</v>
      </c>
      <c r="B664" s="107" t="s">
        <v>192</v>
      </c>
      <c r="C664" s="107" t="s">
        <v>268</v>
      </c>
      <c r="D664" s="25">
        <v>18</v>
      </c>
      <c r="E664" s="107" t="s">
        <v>188</v>
      </c>
      <c r="F664" s="107" t="s">
        <v>210</v>
      </c>
      <c r="G664" s="107">
        <v>378</v>
      </c>
      <c r="H664" s="107">
        <v>0</v>
      </c>
      <c r="I664" s="107">
        <v>0</v>
      </c>
      <c r="J664" s="107">
        <f t="shared" si="9"/>
        <v>21</v>
      </c>
      <c r="K664" s="107">
        <v>5683</v>
      </c>
    </row>
    <row r="665" spans="1:11" x14ac:dyDescent="0.15">
      <c r="A665" s="107">
        <v>1718</v>
      </c>
      <c r="B665" s="107" t="s">
        <v>253</v>
      </c>
      <c r="C665" s="107" t="s">
        <v>268</v>
      </c>
      <c r="D665" s="25">
        <v>2</v>
      </c>
      <c r="E665" s="107" t="s">
        <v>188</v>
      </c>
      <c r="F665" s="107" t="s">
        <v>210</v>
      </c>
      <c r="G665" s="107">
        <v>42</v>
      </c>
      <c r="H665" s="107">
        <v>0</v>
      </c>
      <c r="I665" s="107">
        <v>0</v>
      </c>
      <c r="J665" s="107">
        <f t="shared" si="9"/>
        <v>21</v>
      </c>
      <c r="K665" s="107">
        <v>5702</v>
      </c>
    </row>
    <row r="666" spans="1:11" x14ac:dyDescent="0.15">
      <c r="A666" s="107">
        <v>1718</v>
      </c>
      <c r="B666" s="107" t="s">
        <v>261</v>
      </c>
      <c r="C666" s="107" t="s">
        <v>268</v>
      </c>
      <c r="D666" s="25">
        <v>3</v>
      </c>
      <c r="E666" s="107" t="s">
        <v>188</v>
      </c>
      <c r="F666" s="107" t="s">
        <v>210</v>
      </c>
      <c r="G666" s="107">
        <v>63</v>
      </c>
      <c r="H666" s="107">
        <v>0</v>
      </c>
      <c r="I666" s="107">
        <v>0</v>
      </c>
      <c r="J666" s="107">
        <f t="shared" si="9"/>
        <v>21</v>
      </c>
      <c r="K666" s="107">
        <v>5703</v>
      </c>
    </row>
    <row r="667" spans="1:11" x14ac:dyDescent="0.15">
      <c r="A667" s="107">
        <v>1720</v>
      </c>
      <c r="B667" s="107" t="s">
        <v>253</v>
      </c>
      <c r="C667" s="107" t="s">
        <v>268</v>
      </c>
      <c r="D667" s="25">
        <v>17</v>
      </c>
      <c r="E667" s="107" t="s">
        <v>188</v>
      </c>
      <c r="F667" s="107" t="s">
        <v>210</v>
      </c>
      <c r="G667" s="107">
        <v>357</v>
      </c>
      <c r="H667" s="107">
        <v>0</v>
      </c>
      <c r="I667" s="107">
        <v>0</v>
      </c>
      <c r="J667" s="107">
        <f t="shared" si="9"/>
        <v>21</v>
      </c>
      <c r="K667" s="107">
        <v>5731</v>
      </c>
    </row>
    <row r="668" spans="1:11" x14ac:dyDescent="0.15">
      <c r="A668" s="107">
        <v>1725</v>
      </c>
      <c r="B668" s="107" t="s">
        <v>200</v>
      </c>
      <c r="C668" s="107" t="s">
        <v>268</v>
      </c>
      <c r="D668" s="25">
        <v>1.75</v>
      </c>
      <c r="E668" s="107" t="s">
        <v>188</v>
      </c>
      <c r="F668" s="107" t="s">
        <v>210</v>
      </c>
      <c r="G668" s="107">
        <v>36</v>
      </c>
      <c r="H668" s="107">
        <v>15</v>
      </c>
      <c r="I668" s="107">
        <v>0</v>
      </c>
      <c r="J668" s="107">
        <f t="shared" si="9"/>
        <v>21</v>
      </c>
      <c r="K668" s="107">
        <v>5838</v>
      </c>
    </row>
    <row r="669" spans="1:11" x14ac:dyDescent="0.15">
      <c r="A669" s="107">
        <v>1726</v>
      </c>
      <c r="B669" s="107" t="s">
        <v>261</v>
      </c>
      <c r="C669" s="107" t="s">
        <v>268</v>
      </c>
      <c r="D669" s="25">
        <v>1.75</v>
      </c>
      <c r="E669" s="107" t="s">
        <v>188</v>
      </c>
      <c r="F669" s="107" t="s">
        <v>210</v>
      </c>
      <c r="G669" s="107">
        <v>36</v>
      </c>
      <c r="H669" s="107">
        <v>15</v>
      </c>
      <c r="I669" s="107">
        <v>0</v>
      </c>
      <c r="J669" s="107">
        <f t="shared" si="9"/>
        <v>21</v>
      </c>
      <c r="K669" s="107">
        <v>5855</v>
      </c>
    </row>
    <row r="670" spans="1:11" x14ac:dyDescent="0.15">
      <c r="A670" s="107">
        <v>1727</v>
      </c>
      <c r="B670" s="107" t="s">
        <v>192</v>
      </c>
      <c r="C670" s="107" t="s">
        <v>268</v>
      </c>
      <c r="D670" s="25">
        <v>2</v>
      </c>
      <c r="E670" s="107" t="s">
        <v>188</v>
      </c>
      <c r="F670" s="107" t="s">
        <v>210</v>
      </c>
      <c r="G670" s="107">
        <v>42</v>
      </c>
      <c r="H670" s="107">
        <v>0</v>
      </c>
      <c r="I670" s="107">
        <v>0</v>
      </c>
      <c r="J670" s="107">
        <f t="shared" si="9"/>
        <v>21</v>
      </c>
      <c r="K670" s="107">
        <v>5871</v>
      </c>
    </row>
    <row r="671" spans="1:11" x14ac:dyDescent="0.15">
      <c r="A671" s="107">
        <v>1728</v>
      </c>
      <c r="B671" s="107" t="s">
        <v>186</v>
      </c>
      <c r="C671" s="107" t="s">
        <v>268</v>
      </c>
      <c r="D671" s="25">
        <v>6.5</v>
      </c>
      <c r="E671" s="107" t="s">
        <v>188</v>
      </c>
      <c r="F671" s="107" t="s">
        <v>210</v>
      </c>
      <c r="G671" s="107">
        <v>136</v>
      </c>
      <c r="H671" s="107">
        <v>10</v>
      </c>
      <c r="I671" s="107">
        <v>0</v>
      </c>
      <c r="J671" s="107">
        <f t="shared" si="9"/>
        <v>21</v>
      </c>
      <c r="K671" s="107">
        <v>5900</v>
      </c>
    </row>
    <row r="672" spans="1:11" x14ac:dyDescent="0.15">
      <c r="A672" s="107">
        <v>1729</v>
      </c>
      <c r="B672" s="107" t="s">
        <v>261</v>
      </c>
      <c r="C672" s="107" t="s">
        <v>268</v>
      </c>
      <c r="D672" s="25">
        <v>2.5</v>
      </c>
      <c r="E672" s="107" t="s">
        <v>188</v>
      </c>
      <c r="F672" s="107" t="s">
        <v>210</v>
      </c>
      <c r="G672" s="107">
        <v>52</v>
      </c>
      <c r="H672" s="107">
        <v>10</v>
      </c>
      <c r="I672" s="107">
        <v>0</v>
      </c>
      <c r="J672" s="107">
        <f t="shared" si="9"/>
        <v>21</v>
      </c>
      <c r="K672" s="107">
        <v>5903</v>
      </c>
    </row>
    <row r="673" spans="1:11" x14ac:dyDescent="0.15">
      <c r="A673" s="107">
        <v>1730</v>
      </c>
      <c r="B673" s="107" t="s">
        <v>226</v>
      </c>
      <c r="C673" s="107" t="s">
        <v>268</v>
      </c>
      <c r="D673" s="25">
        <v>4</v>
      </c>
      <c r="E673" s="107" t="s">
        <v>188</v>
      </c>
      <c r="F673" s="107" t="s">
        <v>210</v>
      </c>
      <c r="G673" s="107">
        <v>84</v>
      </c>
      <c r="H673" s="107">
        <v>0</v>
      </c>
      <c r="I673" s="107">
        <v>0</v>
      </c>
      <c r="J673" s="107">
        <f t="shared" si="9"/>
        <v>21</v>
      </c>
      <c r="K673" s="107">
        <v>5935</v>
      </c>
    </row>
    <row r="674" spans="1:11" x14ac:dyDescent="0.15">
      <c r="A674" s="107">
        <v>1731</v>
      </c>
      <c r="B674" s="107" t="s">
        <v>261</v>
      </c>
      <c r="C674" s="107" t="s">
        <v>268</v>
      </c>
      <c r="D674" s="25">
        <v>5</v>
      </c>
      <c r="E674" s="107" t="s">
        <v>188</v>
      </c>
      <c r="F674" s="107" t="s">
        <v>210</v>
      </c>
      <c r="G674" s="107">
        <v>105</v>
      </c>
      <c r="H674" s="107">
        <v>0</v>
      </c>
      <c r="I674" s="107">
        <v>0</v>
      </c>
      <c r="J674" s="107">
        <f t="shared" si="9"/>
        <v>21</v>
      </c>
      <c r="K674" s="107">
        <v>5938</v>
      </c>
    </row>
    <row r="675" spans="1:11" x14ac:dyDescent="0.15">
      <c r="A675" s="107">
        <v>1732</v>
      </c>
      <c r="B675" s="107" t="s">
        <v>186</v>
      </c>
      <c r="C675" s="107" t="s">
        <v>268</v>
      </c>
      <c r="D675" s="25">
        <v>6</v>
      </c>
      <c r="E675" s="107" t="s">
        <v>188</v>
      </c>
      <c r="F675" s="107" t="s">
        <v>210</v>
      </c>
      <c r="G675" s="107">
        <v>126</v>
      </c>
      <c r="H675" s="107">
        <v>0</v>
      </c>
      <c r="I675" s="107">
        <v>0</v>
      </c>
      <c r="J675" s="107">
        <f t="shared" si="9"/>
        <v>21</v>
      </c>
      <c r="K675" s="107">
        <v>5957</v>
      </c>
    </row>
    <row r="676" spans="1:11" x14ac:dyDescent="0.15">
      <c r="A676" s="107">
        <v>1733</v>
      </c>
      <c r="B676" s="107" t="s">
        <v>253</v>
      </c>
      <c r="C676" s="107" t="s">
        <v>268</v>
      </c>
      <c r="D676" s="25">
        <v>3</v>
      </c>
      <c r="E676" s="107" t="s">
        <v>188</v>
      </c>
      <c r="F676" s="107" t="s">
        <v>210</v>
      </c>
      <c r="G676" s="107">
        <v>63</v>
      </c>
      <c r="H676" s="107">
        <v>0</v>
      </c>
      <c r="I676" s="107">
        <v>0</v>
      </c>
      <c r="J676" s="107">
        <f t="shared" si="9"/>
        <v>21</v>
      </c>
      <c r="K676" s="107">
        <v>5956</v>
      </c>
    </row>
    <row r="677" spans="1:11" x14ac:dyDescent="0.15">
      <c r="A677" s="107">
        <v>1734</v>
      </c>
      <c r="B677" s="107" t="s">
        <v>196</v>
      </c>
      <c r="C677" s="107" t="s">
        <v>268</v>
      </c>
      <c r="D677" s="25">
        <v>8</v>
      </c>
      <c r="E677" s="107" t="s">
        <v>188</v>
      </c>
      <c r="F677" s="107" t="s">
        <v>210</v>
      </c>
      <c r="G677" s="107">
        <v>168</v>
      </c>
      <c r="H677" s="107">
        <v>0</v>
      </c>
      <c r="I677" s="107">
        <v>0</v>
      </c>
      <c r="J677" s="107">
        <f t="shared" si="9"/>
        <v>21</v>
      </c>
      <c r="K677" s="107">
        <v>5981</v>
      </c>
    </row>
    <row r="678" spans="1:11" x14ac:dyDescent="0.15">
      <c r="A678" s="107">
        <v>1735</v>
      </c>
      <c r="B678" s="107" t="s">
        <v>244</v>
      </c>
      <c r="C678" s="107" t="s">
        <v>268</v>
      </c>
      <c r="D678" s="25">
        <v>5</v>
      </c>
      <c r="E678" s="107" t="s">
        <v>188</v>
      </c>
      <c r="F678" s="107" t="s">
        <v>210</v>
      </c>
      <c r="G678" s="107">
        <v>105</v>
      </c>
      <c r="H678" s="107">
        <v>0</v>
      </c>
      <c r="I678" s="107">
        <v>0</v>
      </c>
      <c r="J678" s="107">
        <f t="shared" si="9"/>
        <v>21</v>
      </c>
      <c r="K678" s="107">
        <v>6015</v>
      </c>
    </row>
    <row r="679" spans="1:11" x14ac:dyDescent="0.15">
      <c r="A679" s="107">
        <v>1736</v>
      </c>
      <c r="B679" s="107" t="s">
        <v>261</v>
      </c>
      <c r="C679" s="107" t="s">
        <v>268</v>
      </c>
      <c r="D679" s="25">
        <v>6</v>
      </c>
      <c r="E679" s="107" t="s">
        <v>188</v>
      </c>
      <c r="F679" s="107" t="s">
        <v>210</v>
      </c>
      <c r="G679" s="107">
        <v>126</v>
      </c>
      <c r="H679" s="107">
        <v>0</v>
      </c>
      <c r="I679" s="107">
        <v>0</v>
      </c>
      <c r="J679" s="107">
        <f t="shared" si="9"/>
        <v>21</v>
      </c>
      <c r="K679" s="107">
        <v>6014</v>
      </c>
    </row>
    <row r="680" spans="1:11" x14ac:dyDescent="0.15">
      <c r="A680" s="107">
        <v>1737</v>
      </c>
      <c r="B680" s="107" t="s">
        <v>226</v>
      </c>
      <c r="C680" s="107" t="s">
        <v>268</v>
      </c>
      <c r="D680" s="25">
        <v>6.5</v>
      </c>
      <c r="E680" s="107" t="s">
        <v>188</v>
      </c>
      <c r="F680" s="107" t="s">
        <v>210</v>
      </c>
      <c r="G680" s="107">
        <v>136</v>
      </c>
      <c r="H680" s="107">
        <v>10</v>
      </c>
      <c r="I680" s="107">
        <v>0</v>
      </c>
      <c r="J680" s="107">
        <f t="shared" si="9"/>
        <v>21</v>
      </c>
      <c r="K680" s="107">
        <v>6035</v>
      </c>
    </row>
    <row r="681" spans="1:11" x14ac:dyDescent="0.15">
      <c r="A681" s="107">
        <v>1738</v>
      </c>
      <c r="B681" s="107" t="s">
        <v>196</v>
      </c>
      <c r="C681" s="107" t="s">
        <v>268</v>
      </c>
      <c r="D681" s="25">
        <v>9</v>
      </c>
      <c r="E681" s="107" t="s">
        <v>188</v>
      </c>
      <c r="F681" s="107" t="s">
        <v>210</v>
      </c>
      <c r="G681" s="107">
        <v>189</v>
      </c>
      <c r="H681" s="107">
        <v>0</v>
      </c>
      <c r="I681" s="107">
        <v>0</v>
      </c>
      <c r="J681" s="107">
        <f t="shared" si="9"/>
        <v>21</v>
      </c>
      <c r="K681" s="107">
        <v>6060</v>
      </c>
    </row>
    <row r="682" spans="1:11" x14ac:dyDescent="0.15">
      <c r="A682" s="107">
        <v>1739</v>
      </c>
      <c r="B682" s="107" t="s">
        <v>226</v>
      </c>
      <c r="C682" s="107" t="s">
        <v>268</v>
      </c>
      <c r="D682" s="25">
        <v>21</v>
      </c>
      <c r="E682" s="107" t="s">
        <v>188</v>
      </c>
      <c r="F682" s="107" t="s">
        <v>210</v>
      </c>
      <c r="G682" s="107">
        <v>441</v>
      </c>
      <c r="H682" s="107">
        <v>0</v>
      </c>
      <c r="I682" s="107">
        <v>0</v>
      </c>
      <c r="J682" s="107">
        <f t="shared" si="9"/>
        <v>21</v>
      </c>
      <c r="K682" s="107">
        <v>6089</v>
      </c>
    </row>
    <row r="683" spans="1:11" x14ac:dyDescent="0.15">
      <c r="A683" s="107">
        <v>1740</v>
      </c>
      <c r="B683" s="107" t="s">
        <v>197</v>
      </c>
      <c r="C683" s="107" t="s">
        <v>268</v>
      </c>
      <c r="D683" s="25">
        <v>8</v>
      </c>
      <c r="E683" s="107" t="s">
        <v>193</v>
      </c>
      <c r="F683" s="107" t="s">
        <v>210</v>
      </c>
      <c r="G683" s="107">
        <v>168</v>
      </c>
      <c r="H683" s="107">
        <v>0</v>
      </c>
      <c r="I683" s="107">
        <v>0</v>
      </c>
      <c r="J683" s="107">
        <f t="shared" si="9"/>
        <v>21</v>
      </c>
      <c r="K683" s="107">
        <v>6098</v>
      </c>
    </row>
    <row r="684" spans="1:11" x14ac:dyDescent="0.15">
      <c r="A684" s="107">
        <v>1741</v>
      </c>
      <c r="B684" s="107" t="s">
        <v>196</v>
      </c>
      <c r="C684" s="107" t="s">
        <v>268</v>
      </c>
      <c r="D684" s="25">
        <v>18</v>
      </c>
      <c r="E684" s="107" t="s">
        <v>188</v>
      </c>
      <c r="F684" s="107" t="s">
        <v>210</v>
      </c>
      <c r="G684" s="107">
        <v>378</v>
      </c>
      <c r="H684" s="107">
        <v>0</v>
      </c>
      <c r="I684" s="107">
        <v>0</v>
      </c>
      <c r="J684" s="107">
        <f t="shared" si="9"/>
        <v>21</v>
      </c>
      <c r="K684" s="107">
        <v>6115</v>
      </c>
    </row>
    <row r="685" spans="1:11" x14ac:dyDescent="0.15">
      <c r="A685" s="107">
        <v>1741</v>
      </c>
      <c r="B685" s="107" t="s">
        <v>196</v>
      </c>
      <c r="C685" s="107" t="s">
        <v>268</v>
      </c>
      <c r="D685" s="25">
        <v>15.125</v>
      </c>
      <c r="E685" s="107" t="s">
        <v>188</v>
      </c>
      <c r="F685" s="107" t="s">
        <v>210</v>
      </c>
      <c r="G685" s="107">
        <v>121</v>
      </c>
      <c r="H685" s="107">
        <v>0</v>
      </c>
      <c r="I685" s="107">
        <v>0</v>
      </c>
      <c r="J685" s="107">
        <f t="shared" si="9"/>
        <v>8</v>
      </c>
      <c r="K685" s="107">
        <v>6115</v>
      </c>
    </row>
    <row r="686" spans="1:11" x14ac:dyDescent="0.15">
      <c r="A686" s="107">
        <v>1742</v>
      </c>
      <c r="B686" s="107" t="s">
        <v>261</v>
      </c>
      <c r="C686" s="107" t="s">
        <v>268</v>
      </c>
      <c r="D686" s="25">
        <v>6</v>
      </c>
      <c r="E686" s="107" t="s">
        <v>188</v>
      </c>
      <c r="F686" s="107" t="s">
        <v>210</v>
      </c>
      <c r="G686" s="107">
        <v>126</v>
      </c>
      <c r="H686" s="107">
        <v>0</v>
      </c>
      <c r="I686" s="107">
        <v>0</v>
      </c>
      <c r="J686" s="107">
        <f t="shared" si="9"/>
        <v>21</v>
      </c>
      <c r="K686" s="107">
        <v>6122</v>
      </c>
    </row>
    <row r="687" spans="1:11" x14ac:dyDescent="0.15">
      <c r="A687" s="107">
        <v>1742</v>
      </c>
      <c r="B687" s="107" t="s">
        <v>196</v>
      </c>
      <c r="C687" s="107" t="s">
        <v>268</v>
      </c>
      <c r="D687" s="25">
        <v>6</v>
      </c>
      <c r="E687" s="107" t="s">
        <v>188</v>
      </c>
      <c r="F687" s="107" t="s">
        <v>210</v>
      </c>
      <c r="G687" s="107">
        <v>126</v>
      </c>
      <c r="H687" s="107">
        <v>0</v>
      </c>
      <c r="I687" s="107">
        <v>0</v>
      </c>
      <c r="J687" s="107">
        <f t="shared" si="9"/>
        <v>21</v>
      </c>
      <c r="K687" s="107">
        <v>6123</v>
      </c>
    </row>
    <row r="688" spans="1:11" x14ac:dyDescent="0.15">
      <c r="A688" s="107">
        <v>1743</v>
      </c>
      <c r="B688" s="107" t="s">
        <v>196</v>
      </c>
      <c r="C688" s="107" t="s">
        <v>268</v>
      </c>
      <c r="D688" s="25">
        <v>14</v>
      </c>
      <c r="E688" s="107" t="s">
        <v>188</v>
      </c>
      <c r="F688" s="107" t="s">
        <v>210</v>
      </c>
      <c r="G688" s="107">
        <v>294</v>
      </c>
      <c r="H688" s="107">
        <v>0</v>
      </c>
      <c r="I688" s="107">
        <v>0</v>
      </c>
      <c r="J688" s="107">
        <f t="shared" si="9"/>
        <v>21</v>
      </c>
      <c r="K688" s="107">
        <v>6143</v>
      </c>
    </row>
    <row r="689" spans="1:11" x14ac:dyDescent="0.15">
      <c r="A689" s="107">
        <v>1744</v>
      </c>
      <c r="B689" s="107" t="s">
        <v>253</v>
      </c>
      <c r="C689" s="107" t="s">
        <v>268</v>
      </c>
      <c r="D689" s="25">
        <v>12</v>
      </c>
      <c r="E689" s="107" t="s">
        <v>188</v>
      </c>
      <c r="F689" s="107" t="s">
        <v>210</v>
      </c>
      <c r="G689" s="107">
        <v>201</v>
      </c>
      <c r="H689" s="107">
        <v>12</v>
      </c>
      <c r="I689" s="107">
        <v>0</v>
      </c>
      <c r="J689" s="107">
        <f t="shared" ref="J689:J720" si="10">(G689+H689/20+I689/320)/D689</f>
        <v>16.8</v>
      </c>
      <c r="K689" s="107">
        <v>6160</v>
      </c>
    </row>
    <row r="690" spans="1:11" x14ac:dyDescent="0.15">
      <c r="A690" s="107">
        <v>1745</v>
      </c>
      <c r="B690" s="107" t="s">
        <v>261</v>
      </c>
      <c r="C690" s="107" t="s">
        <v>268</v>
      </c>
      <c r="D690" s="25">
        <v>10</v>
      </c>
      <c r="E690" s="107" t="s">
        <v>188</v>
      </c>
      <c r="F690" s="107" t="s">
        <v>210</v>
      </c>
      <c r="G690" s="107">
        <v>120</v>
      </c>
      <c r="H690" s="107">
        <v>0</v>
      </c>
      <c r="I690" s="107">
        <v>0</v>
      </c>
      <c r="J690" s="107">
        <f t="shared" si="10"/>
        <v>12</v>
      </c>
      <c r="K690" s="107">
        <v>6176</v>
      </c>
    </row>
    <row r="691" spans="1:11" x14ac:dyDescent="0.15">
      <c r="A691" s="107">
        <v>1746</v>
      </c>
      <c r="B691" s="107" t="s">
        <v>226</v>
      </c>
      <c r="C691" s="107" t="s">
        <v>268</v>
      </c>
      <c r="D691" s="25">
        <v>5</v>
      </c>
      <c r="E691" s="107" t="s">
        <v>188</v>
      </c>
      <c r="F691" s="107" t="s">
        <v>210</v>
      </c>
      <c r="G691" s="107">
        <v>60</v>
      </c>
      <c r="H691" s="107">
        <v>0</v>
      </c>
      <c r="I691" s="107">
        <v>0</v>
      </c>
      <c r="J691" s="107">
        <f t="shared" si="10"/>
        <v>12</v>
      </c>
      <c r="K691" s="107">
        <v>6188</v>
      </c>
    </row>
    <row r="692" spans="1:11" x14ac:dyDescent="0.15">
      <c r="A692" s="107">
        <v>1747</v>
      </c>
      <c r="B692" s="107" t="s">
        <v>247</v>
      </c>
      <c r="C692" s="107" t="s">
        <v>268</v>
      </c>
      <c r="D692" s="25">
        <v>30</v>
      </c>
      <c r="E692" s="107" t="s">
        <v>188</v>
      </c>
      <c r="F692" s="107" t="s">
        <v>210</v>
      </c>
      <c r="G692" s="107">
        <v>360</v>
      </c>
      <c r="H692" s="107">
        <v>0</v>
      </c>
      <c r="I692" s="107">
        <v>0</v>
      </c>
      <c r="J692" s="107">
        <f t="shared" si="10"/>
        <v>12</v>
      </c>
      <c r="K692" s="107">
        <v>6207</v>
      </c>
    </row>
    <row r="693" spans="1:11" x14ac:dyDescent="0.15">
      <c r="A693" s="107">
        <v>1748</v>
      </c>
      <c r="B693" s="107" t="s">
        <v>260</v>
      </c>
      <c r="C693" s="107" t="s">
        <v>268</v>
      </c>
      <c r="D693" s="25">
        <v>19</v>
      </c>
      <c r="E693" s="107" t="s">
        <v>188</v>
      </c>
      <c r="F693" s="107" t="s">
        <v>210</v>
      </c>
      <c r="G693" s="107">
        <v>228</v>
      </c>
      <c r="H693" s="107">
        <v>0</v>
      </c>
      <c r="I693" s="107">
        <v>0</v>
      </c>
      <c r="J693" s="107">
        <f t="shared" si="10"/>
        <v>12</v>
      </c>
      <c r="K693" s="107">
        <v>6218</v>
      </c>
    </row>
    <row r="694" spans="1:11" x14ac:dyDescent="0.15">
      <c r="A694" s="107">
        <v>1749</v>
      </c>
      <c r="B694" s="107" t="s">
        <v>253</v>
      </c>
      <c r="C694" s="107" t="s">
        <v>268</v>
      </c>
      <c r="D694" s="25">
        <v>7.5</v>
      </c>
      <c r="E694" s="107" t="s">
        <v>188</v>
      </c>
      <c r="F694" s="107" t="s">
        <v>210</v>
      </c>
      <c r="G694" s="107">
        <v>90</v>
      </c>
      <c r="H694" s="107">
        <v>0</v>
      </c>
      <c r="I694" s="107">
        <v>0</v>
      </c>
      <c r="J694" s="107">
        <f t="shared" si="10"/>
        <v>12</v>
      </c>
      <c r="K694" s="107">
        <v>6233</v>
      </c>
    </row>
    <row r="695" spans="1:11" x14ac:dyDescent="0.15">
      <c r="A695" s="107">
        <v>1750</v>
      </c>
      <c r="B695" s="107" t="s">
        <v>197</v>
      </c>
      <c r="C695" s="107" t="s">
        <v>268</v>
      </c>
      <c r="D695" s="25">
        <v>9</v>
      </c>
      <c r="E695" s="107" t="s">
        <v>188</v>
      </c>
      <c r="F695" s="107" t="s">
        <v>210</v>
      </c>
      <c r="G695" s="107">
        <v>108</v>
      </c>
      <c r="H695" s="107">
        <v>0</v>
      </c>
      <c r="I695" s="107">
        <v>0</v>
      </c>
      <c r="J695" s="107">
        <f t="shared" si="10"/>
        <v>12</v>
      </c>
      <c r="K695" s="107">
        <v>6254</v>
      </c>
    </row>
    <row r="696" spans="1:11" x14ac:dyDescent="0.15">
      <c r="A696" s="107">
        <v>1751</v>
      </c>
      <c r="B696" s="107" t="s">
        <v>196</v>
      </c>
      <c r="C696" s="107" t="s">
        <v>268</v>
      </c>
      <c r="D696" s="25">
        <v>8</v>
      </c>
      <c r="E696" s="107" t="s">
        <v>188</v>
      </c>
      <c r="F696" s="107" t="s">
        <v>210</v>
      </c>
      <c r="G696" s="107">
        <v>96</v>
      </c>
      <c r="H696" s="107">
        <v>0</v>
      </c>
      <c r="I696" s="107">
        <v>0</v>
      </c>
      <c r="J696" s="107">
        <f t="shared" si="10"/>
        <v>12</v>
      </c>
      <c r="K696" s="107">
        <v>6270</v>
      </c>
    </row>
    <row r="697" spans="1:11" x14ac:dyDescent="0.15">
      <c r="A697" s="107">
        <v>1752</v>
      </c>
      <c r="B697" s="107" t="s">
        <v>260</v>
      </c>
      <c r="C697" s="107" t="s">
        <v>268</v>
      </c>
      <c r="D697" s="25">
        <v>8</v>
      </c>
      <c r="E697" s="107" t="s">
        <v>188</v>
      </c>
      <c r="F697" s="107" t="s">
        <v>210</v>
      </c>
      <c r="G697" s="107">
        <v>96</v>
      </c>
      <c r="H697" s="107">
        <v>0</v>
      </c>
      <c r="I697" s="107">
        <v>0</v>
      </c>
      <c r="J697" s="107">
        <f t="shared" si="10"/>
        <v>12</v>
      </c>
      <c r="K697" s="107">
        <v>6286</v>
      </c>
    </row>
    <row r="698" spans="1:11" x14ac:dyDescent="0.15">
      <c r="A698" s="107">
        <v>1753</v>
      </c>
      <c r="B698" s="107" t="s">
        <v>196</v>
      </c>
      <c r="C698" s="107" t="s">
        <v>268</v>
      </c>
      <c r="D698" s="25">
        <v>6</v>
      </c>
      <c r="E698" s="107" t="s">
        <v>188</v>
      </c>
      <c r="F698" s="107" t="s">
        <v>210</v>
      </c>
      <c r="G698" s="107">
        <v>72</v>
      </c>
      <c r="H698" s="107">
        <v>0</v>
      </c>
      <c r="I698" s="107">
        <v>0</v>
      </c>
      <c r="J698" s="107">
        <f t="shared" si="10"/>
        <v>12</v>
      </c>
      <c r="K698" s="107">
        <v>6303</v>
      </c>
    </row>
    <row r="699" spans="1:11" x14ac:dyDescent="0.15">
      <c r="A699" s="107">
        <v>1754</v>
      </c>
      <c r="B699" s="107" t="s">
        <v>196</v>
      </c>
      <c r="C699" s="107" t="s">
        <v>268</v>
      </c>
      <c r="D699" s="25">
        <v>8</v>
      </c>
      <c r="E699" s="107" t="s">
        <v>188</v>
      </c>
      <c r="F699" s="107" t="s">
        <v>210</v>
      </c>
      <c r="G699" s="107">
        <v>96</v>
      </c>
      <c r="H699" s="107">
        <v>0</v>
      </c>
      <c r="I699" s="107">
        <v>0</v>
      </c>
      <c r="J699" s="107">
        <f t="shared" si="10"/>
        <v>12</v>
      </c>
      <c r="K699" s="107">
        <v>6314</v>
      </c>
    </row>
    <row r="700" spans="1:11" x14ac:dyDescent="0.15">
      <c r="A700" s="107">
        <v>1755</v>
      </c>
      <c r="B700" s="107" t="s">
        <v>226</v>
      </c>
      <c r="C700" s="107" t="s">
        <v>268</v>
      </c>
      <c r="D700" s="25">
        <v>6</v>
      </c>
      <c r="E700" s="107" t="s">
        <v>188</v>
      </c>
      <c r="F700" s="107" t="s">
        <v>210</v>
      </c>
      <c r="G700" s="107">
        <v>72</v>
      </c>
      <c r="H700" s="107">
        <v>0</v>
      </c>
      <c r="I700" s="107">
        <v>0</v>
      </c>
      <c r="J700" s="107">
        <f t="shared" si="10"/>
        <v>12</v>
      </c>
      <c r="K700" s="107">
        <v>6316</v>
      </c>
    </row>
    <row r="701" spans="1:11" x14ac:dyDescent="0.15">
      <c r="A701" s="107">
        <v>1756</v>
      </c>
      <c r="B701" s="107" t="s">
        <v>197</v>
      </c>
      <c r="C701" s="107" t="s">
        <v>268</v>
      </c>
      <c r="D701" s="25">
        <v>8</v>
      </c>
      <c r="E701" s="107" t="s">
        <v>188</v>
      </c>
      <c r="F701" s="107" t="s">
        <v>210</v>
      </c>
      <c r="G701" s="107">
        <v>96</v>
      </c>
      <c r="H701" s="107">
        <v>0</v>
      </c>
      <c r="I701" s="107">
        <v>0</v>
      </c>
      <c r="J701" s="107">
        <f t="shared" si="10"/>
        <v>12</v>
      </c>
      <c r="K701" s="107">
        <v>6333</v>
      </c>
    </row>
    <row r="702" spans="1:11" x14ac:dyDescent="0.15">
      <c r="A702" s="107">
        <v>1757</v>
      </c>
      <c r="B702" s="107" t="s">
        <v>186</v>
      </c>
      <c r="C702" s="107" t="s">
        <v>268</v>
      </c>
      <c r="D702" s="25">
        <v>6</v>
      </c>
      <c r="E702" s="107" t="s">
        <v>188</v>
      </c>
      <c r="F702" s="107" t="s">
        <v>210</v>
      </c>
      <c r="G702" s="107">
        <v>72</v>
      </c>
      <c r="H702" s="107">
        <v>0</v>
      </c>
      <c r="I702" s="107">
        <v>0</v>
      </c>
      <c r="J702" s="107">
        <f t="shared" si="10"/>
        <v>12</v>
      </c>
      <c r="K702" s="107">
        <v>6354</v>
      </c>
    </row>
    <row r="703" spans="1:11" x14ac:dyDescent="0.15">
      <c r="A703" s="107">
        <v>1759</v>
      </c>
      <c r="B703" s="107" t="s">
        <v>261</v>
      </c>
      <c r="C703" s="107" t="s">
        <v>268</v>
      </c>
      <c r="D703" s="25">
        <v>15</v>
      </c>
      <c r="E703" s="107" t="s">
        <v>188</v>
      </c>
      <c r="F703" s="107" t="s">
        <v>210</v>
      </c>
      <c r="G703" s="107">
        <v>180</v>
      </c>
      <c r="H703" s="107">
        <v>0</v>
      </c>
      <c r="I703" s="107">
        <v>0</v>
      </c>
      <c r="J703" s="107">
        <f t="shared" si="10"/>
        <v>12</v>
      </c>
      <c r="K703" s="107">
        <v>6364</v>
      </c>
    </row>
    <row r="704" spans="1:11" x14ac:dyDescent="0.15">
      <c r="A704" s="107">
        <v>1759</v>
      </c>
      <c r="B704" s="107" t="s">
        <v>261</v>
      </c>
      <c r="C704" s="107" t="s">
        <v>268</v>
      </c>
      <c r="D704" s="25">
        <v>11</v>
      </c>
      <c r="E704" s="107" t="s">
        <v>188</v>
      </c>
      <c r="F704" s="107" t="s">
        <v>210</v>
      </c>
      <c r="G704" s="107">
        <v>132</v>
      </c>
      <c r="H704" s="107">
        <v>0</v>
      </c>
      <c r="I704" s="107">
        <v>0</v>
      </c>
      <c r="J704" s="107">
        <f t="shared" si="10"/>
        <v>12</v>
      </c>
      <c r="K704" s="107">
        <v>6374</v>
      </c>
    </row>
    <row r="705" spans="1:11" x14ac:dyDescent="0.15">
      <c r="A705" s="107">
        <v>1760</v>
      </c>
      <c r="B705" s="107" t="s">
        <v>253</v>
      </c>
      <c r="C705" s="107" t="s">
        <v>268</v>
      </c>
      <c r="D705" s="25">
        <v>11</v>
      </c>
      <c r="E705" s="107" t="s">
        <v>188</v>
      </c>
      <c r="F705" s="107" t="s">
        <v>210</v>
      </c>
      <c r="G705" s="107">
        <v>132</v>
      </c>
      <c r="H705" s="107">
        <v>0</v>
      </c>
      <c r="I705" s="107">
        <v>0</v>
      </c>
      <c r="J705" s="107">
        <f t="shared" si="10"/>
        <v>12</v>
      </c>
      <c r="K705" s="107">
        <v>6388</v>
      </c>
    </row>
    <row r="706" spans="1:11" x14ac:dyDescent="0.15">
      <c r="A706" s="107">
        <v>1760</v>
      </c>
      <c r="B706" s="107" t="s">
        <v>253</v>
      </c>
      <c r="C706" s="107" t="s">
        <v>268</v>
      </c>
      <c r="D706" s="25">
        <v>11</v>
      </c>
      <c r="E706" s="107" t="s">
        <v>188</v>
      </c>
      <c r="F706" s="107" t="s">
        <v>210</v>
      </c>
      <c r="G706" s="107">
        <v>132</v>
      </c>
      <c r="H706" s="107">
        <v>0</v>
      </c>
      <c r="I706" s="107">
        <v>0</v>
      </c>
      <c r="J706" s="107">
        <f t="shared" si="10"/>
        <v>12</v>
      </c>
      <c r="K706" s="107">
        <v>6387</v>
      </c>
    </row>
    <row r="707" spans="1:11" x14ac:dyDescent="0.15">
      <c r="A707" s="107">
        <v>1760</v>
      </c>
      <c r="B707" s="107" t="s">
        <v>244</v>
      </c>
      <c r="C707" s="107" t="s">
        <v>268</v>
      </c>
      <c r="D707" s="25">
        <v>30</v>
      </c>
      <c r="E707" s="107" t="s">
        <v>188</v>
      </c>
      <c r="F707" s="107" t="s">
        <v>210</v>
      </c>
      <c r="G707" s="107">
        <v>360</v>
      </c>
      <c r="H707" s="107">
        <v>0</v>
      </c>
      <c r="I707" s="107">
        <v>0</v>
      </c>
      <c r="J707" s="107">
        <f t="shared" si="10"/>
        <v>12</v>
      </c>
      <c r="K707" s="107">
        <v>6374</v>
      </c>
    </row>
    <row r="708" spans="1:11" x14ac:dyDescent="0.15">
      <c r="A708" s="107">
        <v>1761</v>
      </c>
      <c r="B708" s="107" t="s">
        <v>260</v>
      </c>
      <c r="C708" s="107" t="s">
        <v>268</v>
      </c>
      <c r="D708" s="25">
        <v>20</v>
      </c>
      <c r="E708" s="107" t="s">
        <v>188</v>
      </c>
      <c r="F708" s="107" t="s">
        <v>210</v>
      </c>
      <c r="G708" s="107">
        <v>240</v>
      </c>
      <c r="H708" s="107">
        <v>0</v>
      </c>
      <c r="I708" s="107">
        <v>0</v>
      </c>
      <c r="J708" s="107">
        <f t="shared" si="10"/>
        <v>12</v>
      </c>
      <c r="K708" s="107">
        <v>6388</v>
      </c>
    </row>
    <row r="709" spans="1:11" x14ac:dyDescent="0.15">
      <c r="A709" s="107">
        <v>1761</v>
      </c>
      <c r="B709" s="107" t="s">
        <v>261</v>
      </c>
      <c r="C709" s="107" t="s">
        <v>268</v>
      </c>
      <c r="D709" s="25">
        <v>20</v>
      </c>
      <c r="E709" s="107" t="s">
        <v>193</v>
      </c>
      <c r="F709" s="107" t="s">
        <v>210</v>
      </c>
      <c r="G709" s="107">
        <v>240</v>
      </c>
      <c r="H709" s="107">
        <v>0</v>
      </c>
      <c r="I709" s="107">
        <v>0</v>
      </c>
      <c r="J709" s="107">
        <f t="shared" si="10"/>
        <v>12</v>
      </c>
      <c r="K709" s="107">
        <v>6387</v>
      </c>
    </row>
    <row r="710" spans="1:11" x14ac:dyDescent="0.15">
      <c r="A710" s="107">
        <v>1761</v>
      </c>
      <c r="B710" s="107" t="s">
        <v>260</v>
      </c>
      <c r="C710" s="107" t="s">
        <v>268</v>
      </c>
      <c r="D710" s="25">
        <v>11</v>
      </c>
      <c r="E710" s="107" t="s">
        <v>188</v>
      </c>
      <c r="F710" s="107" t="s">
        <v>210</v>
      </c>
      <c r="G710" s="107">
        <v>132</v>
      </c>
      <c r="H710" s="107">
        <v>0</v>
      </c>
      <c r="I710" s="107">
        <v>0</v>
      </c>
      <c r="J710" s="107">
        <f t="shared" si="10"/>
        <v>12</v>
      </c>
      <c r="K710" s="107">
        <v>6394</v>
      </c>
    </row>
    <row r="711" spans="1:11" x14ac:dyDescent="0.15">
      <c r="A711" s="107">
        <v>1762</v>
      </c>
      <c r="B711" s="107" t="s">
        <v>261</v>
      </c>
      <c r="C711" s="107" t="s">
        <v>268</v>
      </c>
      <c r="D711" s="25">
        <v>20</v>
      </c>
      <c r="E711" s="107" t="s">
        <v>188</v>
      </c>
      <c r="F711" s="107" t="s">
        <v>210</v>
      </c>
      <c r="G711" s="107">
        <v>240</v>
      </c>
      <c r="H711" s="107">
        <v>0</v>
      </c>
      <c r="I711" s="107">
        <v>0</v>
      </c>
      <c r="J711" s="107">
        <f t="shared" si="10"/>
        <v>12</v>
      </c>
      <c r="K711" s="107">
        <v>6394</v>
      </c>
    </row>
    <row r="712" spans="1:11" x14ac:dyDescent="0.15">
      <c r="A712" s="107">
        <v>1763</v>
      </c>
      <c r="B712" s="107" t="s">
        <v>197</v>
      </c>
      <c r="C712" s="107" t="s">
        <v>268</v>
      </c>
      <c r="D712" s="25">
        <v>10</v>
      </c>
      <c r="E712" s="107" t="s">
        <v>188</v>
      </c>
      <c r="F712" s="107" t="s">
        <v>210</v>
      </c>
      <c r="G712" s="107">
        <v>120</v>
      </c>
      <c r="H712" s="107">
        <v>0</v>
      </c>
      <c r="I712" s="107">
        <v>0</v>
      </c>
      <c r="J712" s="107">
        <f t="shared" si="10"/>
        <v>12</v>
      </c>
      <c r="K712" s="107">
        <v>6423</v>
      </c>
    </row>
    <row r="713" spans="1:11" x14ac:dyDescent="0.15">
      <c r="A713" s="107">
        <v>1763</v>
      </c>
      <c r="B713" s="107" t="s">
        <v>244</v>
      </c>
      <c r="C713" s="107" t="s">
        <v>268</v>
      </c>
      <c r="D713" s="25">
        <v>12</v>
      </c>
      <c r="E713" s="107" t="s">
        <v>188</v>
      </c>
      <c r="F713" s="107" t="s">
        <v>210</v>
      </c>
      <c r="G713" s="107">
        <v>144</v>
      </c>
      <c r="H713" s="107">
        <v>0</v>
      </c>
      <c r="I713" s="107">
        <v>0</v>
      </c>
      <c r="J713" s="107">
        <f t="shared" si="10"/>
        <v>12</v>
      </c>
      <c r="K713" s="107">
        <v>6413</v>
      </c>
    </row>
    <row r="714" spans="1:11" x14ac:dyDescent="0.15">
      <c r="A714" s="107">
        <v>1764</v>
      </c>
      <c r="B714" s="107" t="s">
        <v>244</v>
      </c>
      <c r="C714" s="107" t="s">
        <v>268</v>
      </c>
      <c r="D714" s="25">
        <v>15</v>
      </c>
      <c r="E714" s="107" t="s">
        <v>188</v>
      </c>
      <c r="F714" s="107" t="s">
        <v>210</v>
      </c>
      <c r="G714" s="107">
        <v>180</v>
      </c>
      <c r="H714" s="107">
        <v>0</v>
      </c>
      <c r="I714" s="107">
        <v>0</v>
      </c>
      <c r="J714" s="107">
        <f t="shared" si="10"/>
        <v>12</v>
      </c>
      <c r="K714" s="107">
        <v>6419</v>
      </c>
    </row>
    <row r="715" spans="1:11" x14ac:dyDescent="0.15">
      <c r="A715" s="107">
        <v>1764</v>
      </c>
      <c r="B715" s="107" t="s">
        <v>261</v>
      </c>
      <c r="C715" s="107" t="s">
        <v>268</v>
      </c>
      <c r="D715" s="25">
        <v>14</v>
      </c>
      <c r="E715" s="107" t="s">
        <v>188</v>
      </c>
      <c r="F715" s="107" t="s">
        <v>210</v>
      </c>
      <c r="G715" s="107">
        <v>168</v>
      </c>
      <c r="H715" s="107">
        <v>0</v>
      </c>
      <c r="I715" s="107">
        <v>0</v>
      </c>
      <c r="J715" s="107">
        <f t="shared" si="10"/>
        <v>12</v>
      </c>
      <c r="K715" s="107">
        <v>6423</v>
      </c>
    </row>
    <row r="716" spans="1:11" x14ac:dyDescent="0.15">
      <c r="A716" s="107">
        <v>1765</v>
      </c>
      <c r="B716" s="107" t="s">
        <v>196</v>
      </c>
      <c r="C716" s="107" t="s">
        <v>268</v>
      </c>
      <c r="D716" s="25">
        <v>11</v>
      </c>
      <c r="E716" s="107" t="s">
        <v>188</v>
      </c>
      <c r="F716" s="107" t="s">
        <v>210</v>
      </c>
      <c r="G716" s="107">
        <v>132</v>
      </c>
      <c r="H716" s="107">
        <v>0</v>
      </c>
      <c r="I716" s="107">
        <v>0</v>
      </c>
      <c r="J716" s="107">
        <f t="shared" si="10"/>
        <v>12</v>
      </c>
      <c r="K716" s="107">
        <v>6454</v>
      </c>
    </row>
    <row r="717" spans="1:11" x14ac:dyDescent="0.15">
      <c r="A717" s="107">
        <v>1766</v>
      </c>
      <c r="B717" s="107" t="s">
        <v>261</v>
      </c>
      <c r="C717" s="107" t="s">
        <v>268</v>
      </c>
      <c r="D717" s="25">
        <v>11</v>
      </c>
      <c r="E717" s="107" t="s">
        <v>188</v>
      </c>
      <c r="F717" s="107" t="s">
        <v>210</v>
      </c>
      <c r="G717" s="107">
        <v>132</v>
      </c>
      <c r="H717" s="107">
        <v>0</v>
      </c>
      <c r="I717" s="107">
        <v>0</v>
      </c>
      <c r="J717" s="107">
        <f t="shared" si="10"/>
        <v>12</v>
      </c>
      <c r="K717" s="107">
        <v>6457</v>
      </c>
    </row>
    <row r="718" spans="1:11" x14ac:dyDescent="0.15">
      <c r="A718" s="107">
        <v>1767</v>
      </c>
      <c r="B718" s="107" t="s">
        <v>197</v>
      </c>
      <c r="C718" s="107" t="s">
        <v>268</v>
      </c>
      <c r="D718" s="25">
        <v>11</v>
      </c>
      <c r="E718" s="107" t="s">
        <v>188</v>
      </c>
      <c r="F718" s="107" t="s">
        <v>210</v>
      </c>
      <c r="G718" s="107">
        <v>132</v>
      </c>
      <c r="H718" s="107">
        <v>0</v>
      </c>
      <c r="I718" s="107">
        <v>0</v>
      </c>
      <c r="J718" s="107">
        <f t="shared" si="10"/>
        <v>12</v>
      </c>
      <c r="K718" s="107">
        <v>6475</v>
      </c>
    </row>
    <row r="719" spans="1:11" x14ac:dyDescent="0.15">
      <c r="A719" s="107">
        <v>1768</v>
      </c>
      <c r="B719" s="107" t="s">
        <v>260</v>
      </c>
      <c r="C719" s="107" t="s">
        <v>268</v>
      </c>
      <c r="D719" s="25">
        <v>11</v>
      </c>
      <c r="E719" s="107" t="s">
        <v>188</v>
      </c>
      <c r="F719" s="107" t="s">
        <v>210</v>
      </c>
      <c r="G719" s="107">
        <v>132</v>
      </c>
      <c r="H719" s="107">
        <v>0</v>
      </c>
      <c r="I719" s="107">
        <v>0</v>
      </c>
      <c r="J719" s="107">
        <f t="shared" si="10"/>
        <v>12</v>
      </c>
      <c r="K719" s="107">
        <v>6489</v>
      </c>
    </row>
    <row r="720" spans="1:11" x14ac:dyDescent="0.15">
      <c r="A720" s="107">
        <v>1769</v>
      </c>
      <c r="B720" s="107" t="s">
        <v>260</v>
      </c>
      <c r="C720" s="107" t="s">
        <v>268</v>
      </c>
      <c r="D720" s="25">
        <v>11</v>
      </c>
      <c r="E720" s="107" t="s">
        <v>188</v>
      </c>
      <c r="F720" s="107" t="s">
        <v>210</v>
      </c>
      <c r="G720" s="107">
        <v>132</v>
      </c>
      <c r="H720" s="107">
        <v>0</v>
      </c>
      <c r="I720" s="107">
        <v>0</v>
      </c>
      <c r="J720" s="107">
        <f t="shared" si="10"/>
        <v>12</v>
      </c>
      <c r="K720" s="107">
        <v>6518</v>
      </c>
    </row>
    <row r="721" spans="1:11" x14ac:dyDescent="0.15">
      <c r="A721" s="107">
        <v>1770</v>
      </c>
      <c r="B721" s="107" t="s">
        <v>200</v>
      </c>
      <c r="C721" s="107" t="s">
        <v>268</v>
      </c>
      <c r="D721" s="25">
        <v>11</v>
      </c>
      <c r="E721" s="107" t="s">
        <v>188</v>
      </c>
      <c r="F721" s="107" t="s">
        <v>210</v>
      </c>
      <c r="G721" s="107">
        <v>121</v>
      </c>
      <c r="H721" s="107">
        <v>0</v>
      </c>
      <c r="I721" s="107">
        <v>0</v>
      </c>
      <c r="J721" s="107">
        <f t="shared" ref="J721:J752" si="11">(G721+H721/20+I721/320)/D721</f>
        <v>11</v>
      </c>
      <c r="K721" s="107">
        <v>6535</v>
      </c>
    </row>
    <row r="722" spans="1:11" x14ac:dyDescent="0.15">
      <c r="A722" s="107">
        <v>1771</v>
      </c>
      <c r="B722" s="107" t="s">
        <v>261</v>
      </c>
      <c r="C722" s="107" t="s">
        <v>268</v>
      </c>
      <c r="D722" s="25">
        <v>11</v>
      </c>
      <c r="E722" s="107" t="s">
        <v>188</v>
      </c>
      <c r="F722" s="107" t="s">
        <v>210</v>
      </c>
      <c r="G722" s="107">
        <v>121</v>
      </c>
      <c r="H722" s="107">
        <v>0</v>
      </c>
      <c r="I722" s="107">
        <v>0</v>
      </c>
      <c r="J722" s="107">
        <f t="shared" si="11"/>
        <v>11</v>
      </c>
      <c r="K722" s="107">
        <v>6540</v>
      </c>
    </row>
    <row r="723" spans="1:11" x14ac:dyDescent="0.15">
      <c r="A723" s="107">
        <v>1772</v>
      </c>
      <c r="B723" s="107" t="s">
        <v>197</v>
      </c>
      <c r="C723" s="107" t="s">
        <v>268</v>
      </c>
      <c r="D723" s="25">
        <v>14</v>
      </c>
      <c r="E723" s="107" t="s">
        <v>188</v>
      </c>
      <c r="F723" s="107" t="s">
        <v>210</v>
      </c>
      <c r="G723" s="107">
        <v>154</v>
      </c>
      <c r="H723" s="107">
        <v>0</v>
      </c>
      <c r="I723" s="107">
        <v>0</v>
      </c>
      <c r="J723" s="107">
        <f t="shared" si="11"/>
        <v>11</v>
      </c>
      <c r="K723" s="107">
        <v>6551</v>
      </c>
    </row>
    <row r="724" spans="1:11" x14ac:dyDescent="0.15">
      <c r="A724" s="107">
        <v>1773</v>
      </c>
      <c r="B724" s="107" t="s">
        <v>260</v>
      </c>
      <c r="C724" s="107" t="s">
        <v>268</v>
      </c>
      <c r="D724" s="25">
        <v>11</v>
      </c>
      <c r="E724" s="107" t="s">
        <v>188</v>
      </c>
      <c r="F724" s="107" t="s">
        <v>210</v>
      </c>
      <c r="G724" s="107">
        <v>121</v>
      </c>
      <c r="H724" s="107">
        <v>0</v>
      </c>
      <c r="I724" s="107">
        <v>0</v>
      </c>
      <c r="J724" s="107">
        <f t="shared" si="11"/>
        <v>11</v>
      </c>
      <c r="K724" s="107">
        <v>6566</v>
      </c>
    </row>
    <row r="725" spans="1:11" x14ac:dyDescent="0.15">
      <c r="A725" s="107">
        <v>1774</v>
      </c>
      <c r="B725" s="107" t="s">
        <v>260</v>
      </c>
      <c r="C725" s="107" t="s">
        <v>268</v>
      </c>
      <c r="D725" s="25">
        <v>11</v>
      </c>
      <c r="E725" s="107" t="s">
        <v>188</v>
      </c>
      <c r="F725" s="107" t="s">
        <v>210</v>
      </c>
      <c r="G725" s="107">
        <v>121</v>
      </c>
      <c r="H725" s="107">
        <v>0</v>
      </c>
      <c r="I725" s="107">
        <v>0</v>
      </c>
      <c r="J725" s="25">
        <f t="shared" si="11"/>
        <v>11</v>
      </c>
      <c r="K725" s="25">
        <v>6589</v>
      </c>
    </row>
    <row r="726" spans="1:11" x14ac:dyDescent="0.15">
      <c r="A726" s="107">
        <v>1775</v>
      </c>
      <c r="B726" s="107" t="s">
        <v>196</v>
      </c>
      <c r="C726" s="107" t="s">
        <v>268</v>
      </c>
      <c r="D726" s="25">
        <v>11</v>
      </c>
      <c r="E726" s="107" t="s">
        <v>188</v>
      </c>
      <c r="F726" s="107" t="s">
        <v>210</v>
      </c>
      <c r="G726" s="107">
        <v>121</v>
      </c>
      <c r="H726" s="107">
        <v>0</v>
      </c>
      <c r="I726" s="107">
        <v>0</v>
      </c>
      <c r="J726" s="107">
        <f t="shared" si="11"/>
        <v>11</v>
      </c>
      <c r="K726" s="107">
        <v>6611</v>
      </c>
    </row>
    <row r="727" spans="1:11" x14ac:dyDescent="0.15">
      <c r="A727" s="107">
        <v>1776</v>
      </c>
      <c r="B727" s="107" t="s">
        <v>253</v>
      </c>
      <c r="C727" s="107" t="s">
        <v>268</v>
      </c>
      <c r="D727" s="25">
        <v>11</v>
      </c>
      <c r="E727" s="107" t="s">
        <v>188</v>
      </c>
      <c r="F727" s="107" t="s">
        <v>210</v>
      </c>
      <c r="G727" s="107">
        <v>121</v>
      </c>
      <c r="H727" s="107">
        <v>0</v>
      </c>
      <c r="I727" s="107">
        <v>0</v>
      </c>
      <c r="J727" s="107">
        <f t="shared" si="11"/>
        <v>11</v>
      </c>
      <c r="K727" s="107">
        <v>6627</v>
      </c>
    </row>
    <row r="728" spans="1:11" x14ac:dyDescent="0.15">
      <c r="A728" s="107">
        <v>1777</v>
      </c>
      <c r="B728" s="107" t="s">
        <v>253</v>
      </c>
      <c r="C728" s="107" t="s">
        <v>268</v>
      </c>
      <c r="D728" s="25">
        <v>11</v>
      </c>
      <c r="E728" s="107" t="s">
        <v>188</v>
      </c>
      <c r="F728" s="107" t="s">
        <v>210</v>
      </c>
      <c r="G728" s="107">
        <v>121</v>
      </c>
      <c r="H728" s="107">
        <v>0</v>
      </c>
      <c r="I728" s="107">
        <v>0</v>
      </c>
      <c r="J728" s="107">
        <f t="shared" si="11"/>
        <v>11</v>
      </c>
      <c r="K728" s="107">
        <v>6643</v>
      </c>
    </row>
    <row r="729" spans="1:11" x14ac:dyDescent="0.15">
      <c r="A729" s="107">
        <v>1778</v>
      </c>
      <c r="B729" s="107" t="s">
        <v>192</v>
      </c>
      <c r="C729" s="107" t="s">
        <v>268</v>
      </c>
      <c r="D729" s="25">
        <v>16</v>
      </c>
      <c r="E729" s="107" t="s">
        <v>188</v>
      </c>
      <c r="F729" s="107" t="s">
        <v>210</v>
      </c>
      <c r="G729" s="107">
        <v>176</v>
      </c>
      <c r="H729" s="107">
        <v>0</v>
      </c>
      <c r="I729" s="107">
        <v>0</v>
      </c>
      <c r="J729" s="107">
        <f t="shared" si="11"/>
        <v>11</v>
      </c>
      <c r="K729" s="107">
        <v>6663</v>
      </c>
    </row>
    <row r="730" spans="1:11" x14ac:dyDescent="0.15">
      <c r="A730" s="107">
        <v>1779</v>
      </c>
      <c r="B730" s="107" t="s">
        <v>260</v>
      </c>
      <c r="C730" s="107" t="s">
        <v>268</v>
      </c>
      <c r="D730" s="25">
        <v>8</v>
      </c>
      <c r="E730" s="107" t="s">
        <v>188</v>
      </c>
      <c r="F730" s="107" t="s">
        <v>210</v>
      </c>
      <c r="G730" s="107">
        <v>88</v>
      </c>
      <c r="H730" s="107">
        <v>0</v>
      </c>
      <c r="I730" s="107">
        <v>0</v>
      </c>
      <c r="J730" s="107">
        <f t="shared" si="11"/>
        <v>11</v>
      </c>
      <c r="K730" s="107">
        <v>6669</v>
      </c>
    </row>
    <row r="731" spans="1:11" x14ac:dyDescent="0.15">
      <c r="A731" s="107">
        <v>1780</v>
      </c>
      <c r="B731" s="107" t="s">
        <v>196</v>
      </c>
      <c r="C731" s="107" t="s">
        <v>268</v>
      </c>
      <c r="D731" s="25">
        <v>11</v>
      </c>
      <c r="E731" s="107" t="s">
        <v>193</v>
      </c>
      <c r="F731" s="107" t="s">
        <v>210</v>
      </c>
      <c r="G731" s="107">
        <v>121</v>
      </c>
      <c r="H731" s="107">
        <v>0</v>
      </c>
      <c r="I731" s="107">
        <v>0</v>
      </c>
      <c r="J731" s="107">
        <f t="shared" si="11"/>
        <v>11</v>
      </c>
      <c r="K731" s="107">
        <v>6679</v>
      </c>
    </row>
    <row r="732" spans="1:11" x14ac:dyDescent="0.15">
      <c r="A732" s="107">
        <v>1780</v>
      </c>
      <c r="B732" s="107" t="s">
        <v>200</v>
      </c>
      <c r="C732" s="107" t="s">
        <v>268</v>
      </c>
      <c r="D732" s="25">
        <v>16</v>
      </c>
      <c r="E732" s="107" t="s">
        <v>188</v>
      </c>
      <c r="F732" s="107" t="s">
        <v>210</v>
      </c>
      <c r="G732" s="107">
        <v>176</v>
      </c>
      <c r="H732" s="107">
        <v>0</v>
      </c>
      <c r="I732" s="107">
        <v>0</v>
      </c>
      <c r="J732" s="107">
        <f t="shared" si="11"/>
        <v>11</v>
      </c>
      <c r="K732" s="107">
        <v>6689</v>
      </c>
    </row>
    <row r="733" spans="1:11" x14ac:dyDescent="0.15">
      <c r="A733" s="107">
        <v>1781</v>
      </c>
      <c r="B733" s="107" t="s">
        <v>261</v>
      </c>
      <c r="C733" s="107" t="s">
        <v>268</v>
      </c>
      <c r="D733" s="25">
        <v>18</v>
      </c>
      <c r="E733" s="107" t="s">
        <v>188</v>
      </c>
      <c r="F733" s="107" t="s">
        <v>210</v>
      </c>
      <c r="G733" s="107">
        <v>198</v>
      </c>
      <c r="H733" s="107">
        <v>0</v>
      </c>
      <c r="I733" s="107">
        <v>0</v>
      </c>
      <c r="J733" s="107">
        <f t="shared" si="11"/>
        <v>11</v>
      </c>
      <c r="K733" s="107">
        <v>6699</v>
      </c>
    </row>
    <row r="734" spans="1:11" x14ac:dyDescent="0.15">
      <c r="A734" s="107">
        <v>1783</v>
      </c>
      <c r="B734" s="107" t="s">
        <v>236</v>
      </c>
      <c r="C734" s="107" t="s">
        <v>268</v>
      </c>
      <c r="D734" s="25">
        <v>10</v>
      </c>
      <c r="E734" s="107" t="s">
        <v>188</v>
      </c>
      <c r="F734" s="107" t="s">
        <v>210</v>
      </c>
      <c r="G734" s="107">
        <v>110</v>
      </c>
      <c r="H734" s="107">
        <v>0</v>
      </c>
      <c r="I734" s="107">
        <v>0</v>
      </c>
      <c r="J734" s="25">
        <f t="shared" si="11"/>
        <v>11</v>
      </c>
      <c r="K734" s="107">
        <v>6714</v>
      </c>
    </row>
    <row r="735" spans="1:11" x14ac:dyDescent="0.15">
      <c r="A735" s="107">
        <v>1784</v>
      </c>
      <c r="B735" s="107" t="s">
        <v>261</v>
      </c>
      <c r="C735" s="107" t="s">
        <v>268</v>
      </c>
      <c r="D735" s="25">
        <v>8</v>
      </c>
      <c r="E735" s="107" t="s">
        <v>188</v>
      </c>
      <c r="F735" s="107" t="s">
        <v>210</v>
      </c>
      <c r="G735" s="107">
        <v>88</v>
      </c>
      <c r="H735" s="107">
        <v>0</v>
      </c>
      <c r="I735" s="107">
        <v>0</v>
      </c>
      <c r="J735" s="25">
        <f t="shared" si="11"/>
        <v>11</v>
      </c>
      <c r="K735" s="25">
        <v>6705</v>
      </c>
    </row>
    <row r="736" spans="1:11" x14ac:dyDescent="0.15">
      <c r="A736" s="107">
        <v>1784</v>
      </c>
      <c r="B736" s="107" t="s">
        <v>236</v>
      </c>
      <c r="C736" s="107" t="s">
        <v>268</v>
      </c>
      <c r="D736" s="25">
        <v>10</v>
      </c>
      <c r="E736" s="107" t="s">
        <v>188</v>
      </c>
      <c r="F736" s="107" t="s">
        <v>210</v>
      </c>
      <c r="G736" s="107">
        <v>110</v>
      </c>
      <c r="H736" s="107">
        <v>0</v>
      </c>
      <c r="I736" s="107">
        <v>0</v>
      </c>
      <c r="J736" s="107">
        <f t="shared" si="11"/>
        <v>11</v>
      </c>
      <c r="K736" s="107">
        <v>6733</v>
      </c>
    </row>
    <row r="737" spans="1:11" x14ac:dyDescent="0.15">
      <c r="A737" s="107">
        <v>1785</v>
      </c>
      <c r="B737" s="107" t="s">
        <v>186</v>
      </c>
      <c r="C737" s="107" t="s">
        <v>268</v>
      </c>
      <c r="D737" s="25">
        <v>4</v>
      </c>
      <c r="E737" s="107" t="s">
        <v>188</v>
      </c>
      <c r="F737" s="107" t="s">
        <v>210</v>
      </c>
      <c r="G737" s="107">
        <v>44</v>
      </c>
      <c r="H737" s="107">
        <v>0</v>
      </c>
      <c r="I737" s="107">
        <v>0</v>
      </c>
      <c r="J737" s="107">
        <f t="shared" si="11"/>
        <v>11</v>
      </c>
      <c r="K737" s="107">
        <v>6736</v>
      </c>
    </row>
    <row r="738" spans="1:11" x14ac:dyDescent="0.15">
      <c r="A738" s="107">
        <v>1786</v>
      </c>
      <c r="B738" s="107" t="s">
        <v>261</v>
      </c>
      <c r="C738" s="107" t="s">
        <v>268</v>
      </c>
      <c r="D738" s="25">
        <v>7.75</v>
      </c>
      <c r="E738" s="107" t="s">
        <v>188</v>
      </c>
      <c r="F738" s="107" t="s">
        <v>210</v>
      </c>
      <c r="G738" s="107">
        <v>85</v>
      </c>
      <c r="H738" s="107">
        <v>5</v>
      </c>
      <c r="I738" s="107">
        <v>0</v>
      </c>
      <c r="J738" s="107">
        <f t="shared" si="11"/>
        <v>11</v>
      </c>
      <c r="K738" s="107">
        <v>6746</v>
      </c>
    </row>
    <row r="739" spans="1:11" x14ac:dyDescent="0.15">
      <c r="A739" s="107">
        <v>1787</v>
      </c>
      <c r="B739" s="107" t="s">
        <v>197</v>
      </c>
      <c r="C739" s="107" t="s">
        <v>268</v>
      </c>
      <c r="D739" s="25">
        <v>2</v>
      </c>
      <c r="E739" s="107" t="s">
        <v>338</v>
      </c>
      <c r="F739" s="107" t="s">
        <v>210</v>
      </c>
      <c r="G739" s="107">
        <v>44</v>
      </c>
      <c r="H739" s="107">
        <v>0</v>
      </c>
      <c r="I739" s="107">
        <v>0</v>
      </c>
      <c r="J739" s="107">
        <f t="shared" si="11"/>
        <v>22</v>
      </c>
      <c r="K739" s="107">
        <v>6752</v>
      </c>
    </row>
    <row r="740" spans="1:11" x14ac:dyDescent="0.15">
      <c r="A740" s="107">
        <v>1788</v>
      </c>
      <c r="B740" s="107" t="s">
        <v>236</v>
      </c>
      <c r="C740" s="107" t="s">
        <v>268</v>
      </c>
      <c r="D740" s="25">
        <v>2</v>
      </c>
      <c r="E740" s="107" t="s">
        <v>188</v>
      </c>
      <c r="F740" s="107" t="s">
        <v>210</v>
      </c>
      <c r="G740" s="107">
        <v>22</v>
      </c>
      <c r="H740" s="107">
        <v>0</v>
      </c>
      <c r="I740" s="107">
        <v>0</v>
      </c>
      <c r="J740" s="25">
        <f t="shared" si="11"/>
        <v>11</v>
      </c>
      <c r="K740" s="25">
        <v>6786</v>
      </c>
    </row>
    <row r="741" spans="1:11" x14ac:dyDescent="0.15">
      <c r="A741" s="107">
        <v>1789</v>
      </c>
      <c r="B741" s="107" t="s">
        <v>253</v>
      </c>
      <c r="C741" s="107" t="s">
        <v>268</v>
      </c>
      <c r="D741" s="25">
        <v>2</v>
      </c>
      <c r="E741" s="107" t="s">
        <v>188</v>
      </c>
      <c r="F741" s="107" t="s">
        <v>210</v>
      </c>
      <c r="G741" s="107">
        <v>22</v>
      </c>
      <c r="H741" s="107">
        <v>0</v>
      </c>
      <c r="I741" s="107">
        <v>0</v>
      </c>
      <c r="J741" s="25">
        <f t="shared" si="11"/>
        <v>11</v>
      </c>
      <c r="K741" s="25">
        <v>6785</v>
      </c>
    </row>
    <row r="742" spans="1:11" x14ac:dyDescent="0.15">
      <c r="A742" s="107">
        <v>1789</v>
      </c>
      <c r="B742" s="107" t="s">
        <v>226</v>
      </c>
      <c r="C742" s="107" t="s">
        <v>268</v>
      </c>
      <c r="D742" s="25">
        <v>2</v>
      </c>
      <c r="E742" s="107" t="s">
        <v>188</v>
      </c>
      <c r="F742" s="107" t="s">
        <v>210</v>
      </c>
      <c r="G742" s="107">
        <v>22</v>
      </c>
      <c r="H742" s="107">
        <v>0</v>
      </c>
      <c r="I742" s="107">
        <v>0</v>
      </c>
      <c r="J742" s="25">
        <f t="shared" si="11"/>
        <v>11</v>
      </c>
      <c r="K742" s="25">
        <v>6785</v>
      </c>
    </row>
    <row r="743" spans="1:11" x14ac:dyDescent="0.15">
      <c r="A743" s="107">
        <v>1790</v>
      </c>
      <c r="B743" s="107" t="s">
        <v>226</v>
      </c>
      <c r="C743" s="107" t="s">
        <v>268</v>
      </c>
      <c r="D743" s="25">
        <v>2</v>
      </c>
      <c r="E743" s="107" t="s">
        <v>188</v>
      </c>
      <c r="F743" s="107" t="s">
        <v>210</v>
      </c>
      <c r="G743" s="107">
        <v>22</v>
      </c>
      <c r="H743" s="107">
        <v>0</v>
      </c>
      <c r="I743" s="107">
        <v>0</v>
      </c>
      <c r="J743" s="25">
        <f t="shared" si="11"/>
        <v>11</v>
      </c>
      <c r="K743" s="25">
        <v>6790</v>
      </c>
    </row>
    <row r="744" spans="1:11" x14ac:dyDescent="0.15">
      <c r="A744" s="107">
        <v>1791</v>
      </c>
      <c r="B744" s="107" t="s">
        <v>196</v>
      </c>
      <c r="C744" s="107" t="s">
        <v>268</v>
      </c>
      <c r="D744" s="25">
        <v>3</v>
      </c>
      <c r="E744" s="107" t="s">
        <v>188</v>
      </c>
      <c r="F744" s="107" t="s">
        <v>210</v>
      </c>
      <c r="G744" s="107">
        <v>33</v>
      </c>
      <c r="H744" s="107">
        <v>0</v>
      </c>
      <c r="I744" s="107">
        <v>0</v>
      </c>
      <c r="J744" s="107">
        <f t="shared" si="11"/>
        <v>11</v>
      </c>
      <c r="K744" s="107">
        <v>6805</v>
      </c>
    </row>
    <row r="745" spans="1:11" x14ac:dyDescent="0.15">
      <c r="A745" s="107">
        <v>1791</v>
      </c>
      <c r="B745" s="107" t="s">
        <v>197</v>
      </c>
      <c r="C745" s="107" t="s">
        <v>268</v>
      </c>
      <c r="D745" s="25">
        <v>3</v>
      </c>
      <c r="E745" s="107" t="s">
        <v>188</v>
      </c>
      <c r="F745" s="107" t="s">
        <v>210</v>
      </c>
      <c r="G745" s="107">
        <v>33</v>
      </c>
      <c r="H745" s="107">
        <v>0</v>
      </c>
      <c r="I745" s="107">
        <v>0</v>
      </c>
      <c r="J745" s="107">
        <f t="shared" si="11"/>
        <v>11</v>
      </c>
      <c r="K745" s="107">
        <v>6804</v>
      </c>
    </row>
    <row r="746" spans="1:11" x14ac:dyDescent="0.15">
      <c r="A746" s="107">
        <v>1792</v>
      </c>
      <c r="B746" s="107" t="s">
        <v>196</v>
      </c>
      <c r="C746" s="107" t="s">
        <v>268</v>
      </c>
      <c r="D746" s="25">
        <v>2</v>
      </c>
      <c r="E746" s="107" t="s">
        <v>188</v>
      </c>
      <c r="F746" s="107" t="s">
        <v>210</v>
      </c>
      <c r="G746" s="107">
        <v>22</v>
      </c>
      <c r="H746" s="107">
        <v>0</v>
      </c>
      <c r="I746" s="107">
        <v>0</v>
      </c>
      <c r="J746" s="107">
        <f t="shared" si="11"/>
        <v>11</v>
      </c>
      <c r="K746" s="107">
        <v>6811</v>
      </c>
    </row>
    <row r="747" spans="1:11" x14ac:dyDescent="0.15">
      <c r="A747" s="107">
        <v>1793</v>
      </c>
      <c r="B747" s="107" t="s">
        <v>192</v>
      </c>
      <c r="C747" s="107" t="s">
        <v>268</v>
      </c>
      <c r="D747" s="25">
        <v>2.5</v>
      </c>
      <c r="E747" s="107" t="s">
        <v>188</v>
      </c>
      <c r="F747" s="107" t="s">
        <v>210</v>
      </c>
      <c r="G747" s="107">
        <v>27</v>
      </c>
      <c r="H747" s="107">
        <v>10</v>
      </c>
      <c r="I747" s="107">
        <v>0</v>
      </c>
      <c r="J747" s="107">
        <f t="shared" si="11"/>
        <v>11</v>
      </c>
      <c r="K747" s="107">
        <v>6826</v>
      </c>
    </row>
    <row r="748" spans="1:11" x14ac:dyDescent="0.15">
      <c r="A748" s="107">
        <v>1793</v>
      </c>
      <c r="B748" s="107" t="s">
        <v>247</v>
      </c>
      <c r="C748" s="107" t="s">
        <v>270</v>
      </c>
      <c r="D748" s="25">
        <v>2.5</v>
      </c>
      <c r="E748" s="107" t="s">
        <v>188</v>
      </c>
      <c r="F748" s="107" t="s">
        <v>210</v>
      </c>
      <c r="G748" s="107">
        <v>27</v>
      </c>
      <c r="H748" s="107">
        <v>10</v>
      </c>
      <c r="I748" s="107">
        <v>0</v>
      </c>
      <c r="J748" s="107">
        <f t="shared" si="11"/>
        <v>11</v>
      </c>
      <c r="K748" s="107">
        <v>6826</v>
      </c>
    </row>
    <row r="749" spans="1:11" x14ac:dyDescent="0.15">
      <c r="A749" s="107">
        <v>1794</v>
      </c>
      <c r="B749" s="107" t="s">
        <v>260</v>
      </c>
      <c r="C749" s="107" t="s">
        <v>270</v>
      </c>
      <c r="D749" s="25">
        <v>5</v>
      </c>
      <c r="E749" s="107" t="s">
        <v>188</v>
      </c>
      <c r="F749" s="107" t="s">
        <v>210</v>
      </c>
      <c r="G749" s="107">
        <v>55</v>
      </c>
      <c r="H749" s="107">
        <v>0</v>
      </c>
      <c r="I749" s="107">
        <v>0</v>
      </c>
      <c r="J749" s="107">
        <f t="shared" si="11"/>
        <v>11</v>
      </c>
      <c r="K749" s="107">
        <v>6840</v>
      </c>
    </row>
    <row r="750" spans="1:11" x14ac:dyDescent="0.15">
      <c r="A750" s="107">
        <v>1794</v>
      </c>
      <c r="B750" s="107" t="s">
        <v>261</v>
      </c>
      <c r="C750" s="107" t="s">
        <v>268</v>
      </c>
      <c r="D750" s="25">
        <v>57</v>
      </c>
      <c r="E750" s="107" t="s">
        <v>188</v>
      </c>
      <c r="F750" s="107" t="s">
        <v>210</v>
      </c>
      <c r="G750" s="107">
        <v>561</v>
      </c>
      <c r="H750" s="107">
        <v>0</v>
      </c>
      <c r="I750" s="107">
        <v>0</v>
      </c>
      <c r="J750" s="107">
        <f t="shared" si="11"/>
        <v>9.8421052631578956</v>
      </c>
      <c r="K750" s="107">
        <v>6839</v>
      </c>
    </row>
    <row r="751" spans="1:11" x14ac:dyDescent="0.15">
      <c r="A751" s="107">
        <v>1721</v>
      </c>
      <c r="B751" s="107" t="s">
        <v>192</v>
      </c>
      <c r="C751" s="107" t="s">
        <v>268</v>
      </c>
      <c r="D751" s="25">
        <v>4</v>
      </c>
      <c r="E751" s="107" t="s">
        <v>188</v>
      </c>
      <c r="F751" s="107" t="s">
        <v>446</v>
      </c>
      <c r="G751" s="107">
        <v>48</v>
      </c>
      <c r="H751" s="107">
        <v>8</v>
      </c>
      <c r="I751" s="107">
        <v>0</v>
      </c>
      <c r="J751" s="107">
        <f t="shared" si="11"/>
        <v>12.1</v>
      </c>
      <c r="K751" s="107">
        <v>5753</v>
      </c>
    </row>
    <row r="752" spans="1:11" x14ac:dyDescent="0.15">
      <c r="A752" s="107">
        <v>1721</v>
      </c>
      <c r="B752" s="107" t="s">
        <v>192</v>
      </c>
      <c r="C752" s="107" t="s">
        <v>268</v>
      </c>
      <c r="D752" s="25">
        <v>0.5</v>
      </c>
      <c r="E752" s="107" t="s">
        <v>188</v>
      </c>
      <c r="F752" s="107" t="s">
        <v>447</v>
      </c>
      <c r="G752" s="107">
        <v>10</v>
      </c>
      <c r="H752" s="107">
        <v>10</v>
      </c>
      <c r="I752" s="107">
        <v>0</v>
      </c>
      <c r="J752" s="107">
        <f t="shared" si="11"/>
        <v>21</v>
      </c>
      <c r="K752" s="107">
        <v>5753</v>
      </c>
    </row>
    <row r="753" spans="1:14" x14ac:dyDescent="0.15">
      <c r="A753" s="107">
        <v>1721</v>
      </c>
      <c r="B753" s="107" t="s">
        <v>192</v>
      </c>
      <c r="C753" s="107" t="s">
        <v>268</v>
      </c>
      <c r="D753" s="25">
        <v>12</v>
      </c>
      <c r="E753" s="107" t="s">
        <v>188</v>
      </c>
      <c r="F753" s="107" t="s">
        <v>448</v>
      </c>
      <c r="G753" s="107">
        <v>219</v>
      </c>
      <c r="H753" s="107">
        <v>19</v>
      </c>
      <c r="I753" s="107">
        <v>8</v>
      </c>
      <c r="J753" s="107">
        <f t="shared" ref="J753" si="12">(G753+H753/20+I753/320)/D753</f>
        <v>18.331250000000001</v>
      </c>
      <c r="K753" s="107">
        <v>5753</v>
      </c>
      <c r="L753" s="107"/>
      <c r="M753" s="107"/>
      <c r="N753" s="107"/>
    </row>
    <row r="754" spans="1:14" x14ac:dyDescent="0.15">
      <c r="A754" s="107">
        <v>1659</v>
      </c>
      <c r="B754" s="107" t="s">
        <v>197</v>
      </c>
      <c r="C754" s="107" t="s">
        <v>274</v>
      </c>
      <c r="D754" s="107">
        <v>15</v>
      </c>
      <c r="E754" s="107" t="s">
        <v>204</v>
      </c>
      <c r="F754" s="107" t="s">
        <v>449</v>
      </c>
      <c r="G754" s="107">
        <v>15</v>
      </c>
      <c r="H754" s="107">
        <v>0</v>
      </c>
      <c r="I754" s="107">
        <v>0</v>
      </c>
      <c r="J754" s="107">
        <v>1</v>
      </c>
      <c r="K754" s="107">
        <v>3993</v>
      </c>
      <c r="L754" s="107">
        <v>1792</v>
      </c>
      <c r="M754" s="107">
        <v>167</v>
      </c>
      <c r="N754" s="107" t="s">
        <v>317</v>
      </c>
    </row>
    <row r="755" spans="1:14" x14ac:dyDescent="0.15">
      <c r="A755" s="107">
        <v>1656</v>
      </c>
      <c r="B755" s="107" t="s">
        <v>261</v>
      </c>
      <c r="C755" s="107" t="s">
        <v>274</v>
      </c>
      <c r="D755" s="107">
        <v>10</v>
      </c>
      <c r="E755" s="107" t="s">
        <v>193</v>
      </c>
      <c r="F755" s="107" t="s">
        <v>450</v>
      </c>
      <c r="G755" s="107">
        <v>5</v>
      </c>
      <c r="H755" s="107">
        <v>0</v>
      </c>
      <c r="I755" s="107">
        <v>0</v>
      </c>
      <c r="J755" s="107">
        <v>0.5</v>
      </c>
      <c r="K755" s="107">
        <v>3991</v>
      </c>
      <c r="L755" s="107">
        <v>1788</v>
      </c>
      <c r="M755" s="107">
        <v>157</v>
      </c>
      <c r="N755" s="107"/>
    </row>
    <row r="756" spans="1:14" x14ac:dyDescent="0.15">
      <c r="A756" s="107">
        <v>1657</v>
      </c>
      <c r="B756" s="107" t="s">
        <v>197</v>
      </c>
      <c r="C756" s="107" t="s">
        <v>274</v>
      </c>
      <c r="D756" s="107">
        <v>12</v>
      </c>
      <c r="E756" s="107" t="s">
        <v>193</v>
      </c>
      <c r="F756" s="107" t="s">
        <v>450</v>
      </c>
      <c r="G756" s="107">
        <v>6</v>
      </c>
      <c r="H756" s="107">
        <v>0</v>
      </c>
      <c r="I756" s="107">
        <v>0</v>
      </c>
      <c r="J756" s="107">
        <v>0.5</v>
      </c>
      <c r="K756" s="107">
        <v>3992</v>
      </c>
      <c r="L756" s="107">
        <v>1789</v>
      </c>
      <c r="M756" s="107">
        <v>228</v>
      </c>
      <c r="N756" s="107"/>
    </row>
    <row r="757" spans="1:14" x14ac:dyDescent="0.15">
      <c r="A757" s="107">
        <v>1658</v>
      </c>
      <c r="B757" s="107" t="s">
        <v>197</v>
      </c>
      <c r="C757" s="107" t="s">
        <v>274</v>
      </c>
      <c r="D757" s="107">
        <v>12</v>
      </c>
      <c r="E757" s="107" t="s">
        <v>193</v>
      </c>
      <c r="F757" s="107" t="s">
        <v>450</v>
      </c>
      <c r="G757" s="107">
        <v>6</v>
      </c>
      <c r="H757" s="107">
        <v>0</v>
      </c>
      <c r="I757" s="107">
        <v>0</v>
      </c>
      <c r="J757" s="107">
        <v>0.5</v>
      </c>
      <c r="K757" s="107">
        <v>3993</v>
      </c>
      <c r="L757" s="107">
        <v>1791</v>
      </c>
      <c r="M757" s="107">
        <v>275</v>
      </c>
      <c r="N757" s="107"/>
    </row>
    <row r="758" spans="1:14" x14ac:dyDescent="0.15">
      <c r="A758" s="107">
        <v>1665</v>
      </c>
      <c r="B758" s="107" t="s">
        <v>197</v>
      </c>
      <c r="C758" s="107" t="s">
        <v>274</v>
      </c>
      <c r="D758" s="107">
        <v>40</v>
      </c>
      <c r="E758" s="107" t="s">
        <v>193</v>
      </c>
      <c r="F758" s="107" t="s">
        <v>450</v>
      </c>
      <c r="G758" s="107">
        <v>24</v>
      </c>
      <c r="H758" s="107">
        <v>0</v>
      </c>
      <c r="I758" s="107">
        <v>0</v>
      </c>
      <c r="J758" s="107">
        <v>0.6</v>
      </c>
      <c r="K758" s="107">
        <v>4000</v>
      </c>
      <c r="L758" s="107">
        <v>1798</v>
      </c>
      <c r="M758" s="107">
        <v>66</v>
      </c>
      <c r="N758" s="107"/>
    </row>
    <row r="759" spans="1:14" x14ac:dyDescent="0.15">
      <c r="A759" s="107">
        <v>1676</v>
      </c>
      <c r="B759" s="107" t="s">
        <v>197</v>
      </c>
      <c r="C759" s="107" t="s">
        <v>274</v>
      </c>
      <c r="D759" s="107">
        <v>0.75</v>
      </c>
      <c r="E759" s="107" t="s">
        <v>193</v>
      </c>
      <c r="F759" s="107" t="s">
        <v>450</v>
      </c>
      <c r="G759" s="107">
        <v>0</v>
      </c>
      <c r="H759" s="107">
        <v>3</v>
      </c>
      <c r="I759" s="107">
        <v>2</v>
      </c>
      <c r="J759" s="107">
        <v>0.20833333333333334</v>
      </c>
      <c r="K759" s="107">
        <v>4012</v>
      </c>
      <c r="L759" s="107">
        <v>1814</v>
      </c>
      <c r="M759" s="107">
        <v>428</v>
      </c>
      <c r="N759" s="107"/>
    </row>
    <row r="760" spans="1:14" x14ac:dyDescent="0.15">
      <c r="A760" s="107">
        <v>1678</v>
      </c>
      <c r="B760" s="107" t="s">
        <v>197</v>
      </c>
      <c r="C760" s="107" t="s">
        <v>295</v>
      </c>
      <c r="D760" s="107">
        <v>0.25</v>
      </c>
      <c r="E760" s="107" t="s">
        <v>193</v>
      </c>
      <c r="F760" s="107" t="s">
        <v>450</v>
      </c>
      <c r="G760" s="107">
        <v>3</v>
      </c>
      <c r="H760" s="107">
        <v>2</v>
      </c>
      <c r="I760" s="107">
        <v>0</v>
      </c>
      <c r="J760" s="107">
        <v>12.4</v>
      </c>
      <c r="K760" s="107">
        <v>4014</v>
      </c>
      <c r="L760" s="107">
        <v>4903</v>
      </c>
      <c r="M760" s="107">
        <v>667</v>
      </c>
      <c r="N760" s="107"/>
    </row>
    <row r="761" spans="1:14" x14ac:dyDescent="0.15">
      <c r="A761" s="107">
        <v>1681</v>
      </c>
      <c r="B761" s="107" t="s">
        <v>197</v>
      </c>
      <c r="C761" s="107" t="s">
        <v>271</v>
      </c>
      <c r="D761" s="107">
        <v>0.25</v>
      </c>
      <c r="E761" s="107" t="s">
        <v>193</v>
      </c>
      <c r="F761" s="107" t="s">
        <v>450</v>
      </c>
      <c r="G761" s="107">
        <v>0</v>
      </c>
      <c r="H761" s="107">
        <v>3</v>
      </c>
      <c r="I761" s="107">
        <v>2</v>
      </c>
      <c r="J761" s="107">
        <v>0.625</v>
      </c>
      <c r="K761" s="107">
        <v>4017</v>
      </c>
      <c r="L761" s="107">
        <v>1819</v>
      </c>
      <c r="M761" s="107">
        <v>427</v>
      </c>
      <c r="N761" s="107"/>
    </row>
    <row r="762" spans="1:14" x14ac:dyDescent="0.15">
      <c r="A762" s="107">
        <v>1683</v>
      </c>
      <c r="B762" s="107" t="s">
        <v>197</v>
      </c>
      <c r="C762" s="107" t="s">
        <v>271</v>
      </c>
      <c r="D762" s="107">
        <v>0.5</v>
      </c>
      <c r="E762" s="107" t="s">
        <v>193</v>
      </c>
      <c r="F762" s="107" t="s">
        <v>450</v>
      </c>
      <c r="G762" s="107">
        <v>0</v>
      </c>
      <c r="H762" s="107">
        <v>6</v>
      </c>
      <c r="I762" s="107">
        <v>4</v>
      </c>
      <c r="J762" s="107">
        <v>0.625</v>
      </c>
      <c r="K762" s="107">
        <v>4019</v>
      </c>
      <c r="L762" s="107">
        <v>1822</v>
      </c>
      <c r="M762" s="107">
        <v>600</v>
      </c>
      <c r="N762" s="107"/>
    </row>
    <row r="763" spans="1:14" x14ac:dyDescent="0.15">
      <c r="A763" s="107">
        <v>1684</v>
      </c>
      <c r="B763" s="107" t="s">
        <v>197</v>
      </c>
      <c r="C763" s="107" t="s">
        <v>271</v>
      </c>
      <c r="D763" s="107">
        <v>0.5</v>
      </c>
      <c r="E763" s="107" t="s">
        <v>193</v>
      </c>
      <c r="F763" s="107" t="s">
        <v>450</v>
      </c>
      <c r="G763" s="107">
        <v>0</v>
      </c>
      <c r="H763" s="107">
        <v>6</v>
      </c>
      <c r="I763" s="107">
        <v>10</v>
      </c>
      <c r="J763" s="107">
        <v>0.66249999999999998</v>
      </c>
      <c r="K763" s="107">
        <v>4021</v>
      </c>
      <c r="L763" s="107">
        <v>1825</v>
      </c>
      <c r="M763" s="107">
        <v>669</v>
      </c>
      <c r="N763" s="107"/>
    </row>
    <row r="764" spans="1:14" x14ac:dyDescent="0.15">
      <c r="A764" s="107">
        <v>1685</v>
      </c>
      <c r="B764" s="107" t="s">
        <v>247</v>
      </c>
      <c r="C764" s="107" t="s">
        <v>271</v>
      </c>
      <c r="D764" s="107">
        <v>1</v>
      </c>
      <c r="E764" s="107" t="s">
        <v>193</v>
      </c>
      <c r="F764" s="107" t="s">
        <v>450</v>
      </c>
      <c r="G764" s="107">
        <v>0</v>
      </c>
      <c r="H764" s="107">
        <v>13</v>
      </c>
      <c r="I764" s="107">
        <v>4</v>
      </c>
      <c r="J764" s="107">
        <v>0.66249999999999998</v>
      </c>
      <c r="K764" s="107">
        <v>4022</v>
      </c>
      <c r="L764" s="107">
        <v>1827</v>
      </c>
      <c r="M764" s="107">
        <v>614</v>
      </c>
      <c r="N764" s="107"/>
    </row>
    <row r="765" spans="1:14" x14ac:dyDescent="0.15">
      <c r="A765" s="107">
        <v>1671</v>
      </c>
      <c r="B765" s="107" t="s">
        <v>356</v>
      </c>
      <c r="C765" s="107" t="s">
        <v>274</v>
      </c>
      <c r="D765" s="107">
        <v>1</v>
      </c>
      <c r="E765" s="107" t="s">
        <v>280</v>
      </c>
      <c r="F765" s="107" t="s">
        <v>451</v>
      </c>
      <c r="G765" s="107">
        <v>135</v>
      </c>
      <c r="H765" s="107">
        <v>0</v>
      </c>
      <c r="I765" s="107">
        <v>0</v>
      </c>
      <c r="J765" s="107">
        <v>135</v>
      </c>
      <c r="K765" s="107">
        <v>4008</v>
      </c>
      <c r="L765" s="107">
        <v>1810</v>
      </c>
      <c r="M765" s="107">
        <v>433</v>
      </c>
      <c r="N765" s="107"/>
    </row>
    <row r="766" spans="1:14" x14ac:dyDescent="0.15">
      <c r="A766" s="107">
        <v>1672</v>
      </c>
      <c r="B766" s="107" t="s">
        <v>196</v>
      </c>
      <c r="C766" s="107" t="s">
        <v>274</v>
      </c>
      <c r="D766" s="107">
        <v>1</v>
      </c>
      <c r="E766" s="107" t="s">
        <v>452</v>
      </c>
      <c r="F766" s="107" t="s">
        <v>451</v>
      </c>
      <c r="G766" s="107">
        <v>135</v>
      </c>
      <c r="H766" s="107">
        <v>0</v>
      </c>
      <c r="I766" s="107">
        <v>0</v>
      </c>
      <c r="J766" s="107">
        <v>135</v>
      </c>
      <c r="K766" s="107">
        <v>4008</v>
      </c>
      <c r="L766" s="107">
        <v>1810</v>
      </c>
      <c r="M766" s="107">
        <v>511</v>
      </c>
      <c r="N766" s="107"/>
    </row>
    <row r="767" spans="1:14" x14ac:dyDescent="0.15">
      <c r="A767" s="107">
        <v>1682</v>
      </c>
      <c r="B767" s="107" t="s">
        <v>197</v>
      </c>
      <c r="C767" s="107" t="s">
        <v>271</v>
      </c>
      <c r="D767" s="107">
        <v>8</v>
      </c>
      <c r="E767" s="107" t="s">
        <v>193</v>
      </c>
      <c r="F767" s="107" t="s">
        <v>453</v>
      </c>
      <c r="G767" s="107">
        <v>0</v>
      </c>
      <c r="H767" s="107">
        <v>5</v>
      </c>
      <c r="I767" s="107">
        <v>8</v>
      </c>
      <c r="J767" s="107">
        <v>3.4375000000000003E-2</v>
      </c>
      <c r="K767" s="107">
        <v>4018</v>
      </c>
      <c r="L767" s="107">
        <v>1820</v>
      </c>
      <c r="M767" s="107">
        <v>761</v>
      </c>
      <c r="N767" s="107" t="s">
        <v>273</v>
      </c>
    </row>
    <row r="768" spans="1:14" x14ac:dyDescent="0.15">
      <c r="A768" s="107">
        <v>1683</v>
      </c>
      <c r="B768" s="107" t="s">
        <v>197</v>
      </c>
      <c r="C768" s="107" t="s">
        <v>271</v>
      </c>
      <c r="D768" s="107">
        <v>3.25</v>
      </c>
      <c r="E768" s="107" t="s">
        <v>193</v>
      </c>
      <c r="F768" s="107" t="s">
        <v>453</v>
      </c>
      <c r="G768" s="107">
        <v>2</v>
      </c>
      <c r="H768" s="107">
        <v>0</v>
      </c>
      <c r="I768" s="107">
        <v>0</v>
      </c>
      <c r="J768" s="107">
        <v>0.61538461538461542</v>
      </c>
      <c r="K768" s="107">
        <v>4019</v>
      </c>
      <c r="L768" s="107">
        <v>1822</v>
      </c>
      <c r="M768" s="107">
        <v>600</v>
      </c>
      <c r="N768" s="107"/>
    </row>
    <row r="769" spans="1:15" x14ac:dyDescent="0.15">
      <c r="A769" s="107">
        <v>1661</v>
      </c>
      <c r="B769" s="107" t="s">
        <v>260</v>
      </c>
      <c r="C769" s="107" t="s">
        <v>274</v>
      </c>
      <c r="D769" s="107">
        <v>6</v>
      </c>
      <c r="E769" s="107" t="s">
        <v>193</v>
      </c>
      <c r="F769" s="107" t="s">
        <v>454</v>
      </c>
      <c r="G769" s="107">
        <v>12</v>
      </c>
      <c r="H769" s="107">
        <v>0</v>
      </c>
      <c r="I769" s="107">
        <v>0</v>
      </c>
      <c r="J769" s="107">
        <v>2</v>
      </c>
      <c r="K769" s="107">
        <v>3996</v>
      </c>
      <c r="L769" s="107">
        <v>1794</v>
      </c>
      <c r="M769" s="107" t="s">
        <v>290</v>
      </c>
      <c r="N769" s="107"/>
      <c r="O769" s="107"/>
    </row>
    <row r="770" spans="1:15" x14ac:dyDescent="0.15">
      <c r="A770" s="107">
        <v>1662</v>
      </c>
      <c r="B770" s="107" t="s">
        <v>197</v>
      </c>
      <c r="C770" s="107" t="s">
        <v>274</v>
      </c>
      <c r="D770" s="107">
        <v>136</v>
      </c>
      <c r="E770" s="107" t="s">
        <v>193</v>
      </c>
      <c r="F770" s="107" t="s">
        <v>454</v>
      </c>
      <c r="G770" s="107">
        <v>312</v>
      </c>
      <c r="H770" s="107">
        <v>16</v>
      </c>
      <c r="I770" s="107">
        <v>0</v>
      </c>
      <c r="J770" s="107">
        <v>2.3000000000000003</v>
      </c>
      <c r="K770" s="107">
        <v>3997</v>
      </c>
      <c r="L770" s="107">
        <v>1795</v>
      </c>
      <c r="M770" s="107">
        <v>304</v>
      </c>
      <c r="N770" s="107"/>
      <c r="O770" s="107"/>
    </row>
    <row r="771" spans="1:15" x14ac:dyDescent="0.15">
      <c r="A771" s="107">
        <v>1663</v>
      </c>
      <c r="B771" s="107" t="s">
        <v>197</v>
      </c>
      <c r="C771" s="107" t="s">
        <v>274</v>
      </c>
      <c r="D771" s="107">
        <v>114.75</v>
      </c>
      <c r="E771" s="107" t="s">
        <v>193</v>
      </c>
      <c r="F771" s="107" t="s">
        <v>454</v>
      </c>
      <c r="G771" s="107">
        <v>263</v>
      </c>
      <c r="H771" s="107">
        <v>18</v>
      </c>
      <c r="I771" s="107">
        <v>8</v>
      </c>
      <c r="J771" s="107">
        <v>2.2999999999999998</v>
      </c>
      <c r="K771" s="107">
        <v>3998</v>
      </c>
      <c r="L771" s="107">
        <v>1797</v>
      </c>
      <c r="M771" s="107" t="s">
        <v>290</v>
      </c>
      <c r="N771" s="107"/>
      <c r="O771" s="107"/>
    </row>
    <row r="772" spans="1:15" x14ac:dyDescent="0.15">
      <c r="A772" s="107">
        <v>1665</v>
      </c>
      <c r="B772" s="107" t="s">
        <v>197</v>
      </c>
      <c r="C772" s="107" t="s">
        <v>274</v>
      </c>
      <c r="D772" s="107">
        <v>43.5</v>
      </c>
      <c r="E772" s="107" t="s">
        <v>193</v>
      </c>
      <c r="F772" s="107" t="s">
        <v>454</v>
      </c>
      <c r="G772" s="107">
        <v>100</v>
      </c>
      <c r="H772" s="107">
        <v>1</v>
      </c>
      <c r="I772" s="107">
        <v>0</v>
      </c>
      <c r="J772" s="107">
        <v>2.2999999999999998</v>
      </c>
      <c r="K772" s="107">
        <v>4000</v>
      </c>
      <c r="L772" s="107">
        <v>1798</v>
      </c>
      <c r="M772" s="107">
        <v>61</v>
      </c>
      <c r="N772" s="107"/>
      <c r="O772" s="107"/>
    </row>
    <row r="773" spans="1:15" x14ac:dyDescent="0.15">
      <c r="A773" s="107">
        <v>1667</v>
      </c>
      <c r="B773" s="107" t="s">
        <v>197</v>
      </c>
      <c r="C773" s="107" t="s">
        <v>274</v>
      </c>
      <c r="D773" s="107">
        <v>1</v>
      </c>
      <c r="E773" s="107" t="s">
        <v>193</v>
      </c>
      <c r="F773" s="107" t="s">
        <v>454</v>
      </c>
      <c r="G773" s="107">
        <v>4</v>
      </c>
      <c r="H773" s="107">
        <v>0</v>
      </c>
      <c r="I773" s="107">
        <v>0</v>
      </c>
      <c r="J773" s="107">
        <v>4</v>
      </c>
      <c r="K773" s="107">
        <v>4002</v>
      </c>
      <c r="L773" s="107">
        <v>1802</v>
      </c>
      <c r="M773" s="107">
        <v>776</v>
      </c>
      <c r="N773" s="107"/>
      <c r="O773" s="107"/>
    </row>
    <row r="774" spans="1:15" x14ac:dyDescent="0.15">
      <c r="A774" s="107">
        <v>1670</v>
      </c>
      <c r="B774" s="107" t="s">
        <v>260</v>
      </c>
      <c r="C774" s="107" t="s">
        <v>274</v>
      </c>
      <c r="D774" s="107">
        <v>6</v>
      </c>
      <c r="E774" s="107" t="s">
        <v>193</v>
      </c>
      <c r="F774" s="107" t="s">
        <v>454</v>
      </c>
      <c r="G774" s="107">
        <v>21</v>
      </c>
      <c r="H774" s="107">
        <v>12</v>
      </c>
      <c r="I774" s="107">
        <v>0</v>
      </c>
      <c r="J774" s="107">
        <v>3.6</v>
      </c>
      <c r="K774" s="107">
        <v>4006</v>
      </c>
      <c r="L774" s="107">
        <v>1808</v>
      </c>
      <c r="M774" s="107">
        <v>792</v>
      </c>
      <c r="N774" s="107"/>
      <c r="O774" s="107"/>
    </row>
    <row r="775" spans="1:15" x14ac:dyDescent="0.15">
      <c r="A775" s="107">
        <v>1676</v>
      </c>
      <c r="B775" s="107" t="s">
        <v>196</v>
      </c>
      <c r="C775" s="107" t="s">
        <v>274</v>
      </c>
      <c r="D775" s="107">
        <v>13.75</v>
      </c>
      <c r="E775" s="107" t="s">
        <v>193</v>
      </c>
      <c r="F775" s="107" t="s">
        <v>454</v>
      </c>
      <c r="G775" s="107">
        <v>19</v>
      </c>
      <c r="H775" s="107">
        <v>5</v>
      </c>
      <c r="I775" s="107">
        <v>0</v>
      </c>
      <c r="J775" s="107">
        <v>1.4</v>
      </c>
      <c r="K775" s="107">
        <v>4012</v>
      </c>
      <c r="L775" s="107">
        <v>1814</v>
      </c>
      <c r="M775" s="107">
        <v>445</v>
      </c>
      <c r="N775" s="107"/>
      <c r="O775" s="107"/>
    </row>
    <row r="776" spans="1:15" x14ac:dyDescent="0.15">
      <c r="A776" s="107">
        <v>1677</v>
      </c>
      <c r="B776" s="107" t="s">
        <v>197</v>
      </c>
      <c r="C776" s="107" t="s">
        <v>274</v>
      </c>
      <c r="D776" s="107">
        <v>16.84375</v>
      </c>
      <c r="E776" s="107" t="s">
        <v>193</v>
      </c>
      <c r="F776" s="107" t="s">
        <v>454</v>
      </c>
      <c r="G776" s="107">
        <v>55</v>
      </c>
      <c r="H776" s="107">
        <v>0</v>
      </c>
      <c r="I776" s="107">
        <v>2</v>
      </c>
      <c r="J776" s="107">
        <v>3.2656771799628945</v>
      </c>
      <c r="K776" s="107">
        <v>4013</v>
      </c>
      <c r="L776" s="107">
        <v>1816</v>
      </c>
      <c r="M776" s="107">
        <v>696</v>
      </c>
      <c r="N776" s="107"/>
      <c r="O776" s="107"/>
    </row>
    <row r="777" spans="1:15" x14ac:dyDescent="0.15">
      <c r="A777" s="107">
        <v>1685</v>
      </c>
      <c r="B777" s="107" t="s">
        <v>197</v>
      </c>
      <c r="C777" s="107" t="s">
        <v>271</v>
      </c>
      <c r="D777" s="107">
        <v>23.75</v>
      </c>
      <c r="E777" s="107" t="s">
        <v>193</v>
      </c>
      <c r="F777" s="107" t="s">
        <v>454</v>
      </c>
      <c r="G777" s="107">
        <v>103</v>
      </c>
      <c r="H777" s="107">
        <v>5</v>
      </c>
      <c r="I777" s="107">
        <v>0</v>
      </c>
      <c r="J777" s="107">
        <v>4.3473684210526313</v>
      </c>
      <c r="K777" s="107">
        <v>4022</v>
      </c>
      <c r="L777" s="107">
        <v>1827</v>
      </c>
      <c r="M777" s="107">
        <v>459</v>
      </c>
      <c r="N777" s="107"/>
      <c r="O777" s="107"/>
    </row>
    <row r="778" spans="1:15" x14ac:dyDescent="0.15">
      <c r="A778" s="107">
        <v>1689</v>
      </c>
      <c r="B778" s="107" t="s">
        <v>197</v>
      </c>
      <c r="C778" s="107" t="s">
        <v>271</v>
      </c>
      <c r="D778" s="107">
        <v>24.125</v>
      </c>
      <c r="E778" s="107" t="s">
        <v>193</v>
      </c>
      <c r="F778" s="107" t="s">
        <v>454</v>
      </c>
      <c r="G778" s="107">
        <v>22</v>
      </c>
      <c r="H778" s="107">
        <v>4</v>
      </c>
      <c r="I778" s="107">
        <v>0</v>
      </c>
      <c r="J778" s="107">
        <v>0.92020725388601032</v>
      </c>
      <c r="K778" s="107">
        <v>4027</v>
      </c>
      <c r="L778" s="107">
        <v>1832</v>
      </c>
      <c r="M778" s="107">
        <v>482</v>
      </c>
      <c r="N778" s="107"/>
      <c r="O778" s="107"/>
    </row>
    <row r="779" spans="1:15" x14ac:dyDescent="0.15">
      <c r="A779" s="107">
        <v>1655</v>
      </c>
      <c r="B779" s="107" t="s">
        <v>196</v>
      </c>
      <c r="C779" s="107" t="s">
        <v>274</v>
      </c>
      <c r="D779" s="107">
        <v>1</v>
      </c>
      <c r="E779" s="107" t="s">
        <v>193</v>
      </c>
      <c r="F779" s="107" t="s">
        <v>455</v>
      </c>
      <c r="G779" s="107">
        <v>1</v>
      </c>
      <c r="H779" s="107">
        <v>12</v>
      </c>
      <c r="I779" s="107">
        <v>0</v>
      </c>
      <c r="J779" s="107">
        <v>1.6</v>
      </c>
      <c r="K779" s="107">
        <v>3990</v>
      </c>
      <c r="L779" s="107">
        <v>1788</v>
      </c>
      <c r="M779" s="107">
        <v>206</v>
      </c>
      <c r="N779" s="107" t="s">
        <v>406</v>
      </c>
      <c r="O779" s="107" t="s">
        <v>277</v>
      </c>
    </row>
    <row r="780" spans="1:15" x14ac:dyDescent="0.15">
      <c r="A780" s="107">
        <v>1668</v>
      </c>
      <c r="B780" s="107" t="s">
        <v>197</v>
      </c>
      <c r="C780" s="107" t="s">
        <v>274</v>
      </c>
      <c r="D780" s="107">
        <v>60</v>
      </c>
      <c r="E780" s="107" t="s">
        <v>193</v>
      </c>
      <c r="F780" s="107" t="s">
        <v>456</v>
      </c>
      <c r="G780" s="107">
        <v>198</v>
      </c>
      <c r="H780" s="107">
        <v>0</v>
      </c>
      <c r="I780" s="107">
        <v>0</v>
      </c>
      <c r="J780" s="107">
        <v>3.3</v>
      </c>
      <c r="K780" s="107">
        <v>4003</v>
      </c>
      <c r="L780" s="107">
        <v>1802</v>
      </c>
      <c r="M780" s="107">
        <v>30</v>
      </c>
      <c r="N780" s="107"/>
      <c r="O780" s="107"/>
    </row>
    <row r="781" spans="1:15" x14ac:dyDescent="0.15">
      <c r="A781" s="107">
        <v>1669</v>
      </c>
      <c r="B781" s="107" t="s">
        <v>197</v>
      </c>
      <c r="C781" s="107" t="s">
        <v>274</v>
      </c>
      <c r="D781" s="107">
        <v>60</v>
      </c>
      <c r="E781" s="107" t="s">
        <v>193</v>
      </c>
      <c r="F781" s="107" t="s">
        <v>456</v>
      </c>
      <c r="G781" s="107">
        <v>198</v>
      </c>
      <c r="H781" s="107">
        <v>0</v>
      </c>
      <c r="I781" s="107">
        <v>0</v>
      </c>
      <c r="J781" s="107">
        <v>3.3</v>
      </c>
      <c r="K781" s="107">
        <v>4004</v>
      </c>
      <c r="L781" s="107">
        <v>1805</v>
      </c>
      <c r="M781" s="107">
        <v>558</v>
      </c>
      <c r="N781" s="107"/>
      <c r="O781" s="107"/>
    </row>
    <row r="782" spans="1:15" x14ac:dyDescent="0.15">
      <c r="A782" s="107">
        <v>1676</v>
      </c>
      <c r="B782" s="107" t="s">
        <v>197</v>
      </c>
      <c r="C782" s="107" t="s">
        <v>274</v>
      </c>
      <c r="D782" s="107">
        <v>0.5</v>
      </c>
      <c r="E782" s="107" t="s">
        <v>193</v>
      </c>
      <c r="F782" s="107" t="s">
        <v>456</v>
      </c>
      <c r="G782" s="107">
        <v>2</v>
      </c>
      <c r="H782" s="107">
        <v>10</v>
      </c>
      <c r="I782" s="107">
        <v>0</v>
      </c>
      <c r="J782" s="107">
        <v>5</v>
      </c>
      <c r="K782" s="107">
        <v>4012</v>
      </c>
      <c r="L782" s="107">
        <v>1814</v>
      </c>
      <c r="M782" s="107">
        <v>428</v>
      </c>
      <c r="N782" s="107"/>
      <c r="O782" s="107"/>
    </row>
    <row r="783" spans="1:15" x14ac:dyDescent="0.15">
      <c r="A783" s="107">
        <v>1668</v>
      </c>
      <c r="B783" s="107" t="s">
        <v>197</v>
      </c>
      <c r="C783" s="107" t="s">
        <v>274</v>
      </c>
      <c r="D783" s="107">
        <v>244.09375</v>
      </c>
      <c r="E783" s="107" t="s">
        <v>193</v>
      </c>
      <c r="F783" s="107" t="s">
        <v>457</v>
      </c>
      <c r="G783" s="107">
        <v>390</v>
      </c>
      <c r="H783" s="107">
        <v>11</v>
      </c>
      <c r="I783" s="107">
        <v>0</v>
      </c>
      <c r="J783" s="107">
        <v>1.6</v>
      </c>
      <c r="K783" s="107">
        <v>4003</v>
      </c>
      <c r="L783" s="107">
        <v>1802</v>
      </c>
      <c r="M783" s="107">
        <v>30</v>
      </c>
      <c r="N783" s="107"/>
      <c r="O783" s="107"/>
    </row>
    <row r="784" spans="1:15" x14ac:dyDescent="0.15">
      <c r="A784" s="107">
        <v>1669</v>
      </c>
      <c r="B784" s="107" t="s">
        <v>197</v>
      </c>
      <c r="C784" s="107" t="s">
        <v>274</v>
      </c>
      <c r="D784" s="107">
        <v>298.28125</v>
      </c>
      <c r="E784" s="107" t="s">
        <v>193</v>
      </c>
      <c r="F784" s="107" t="s">
        <v>457</v>
      </c>
      <c r="G784" s="107">
        <v>477</v>
      </c>
      <c r="H784" s="107">
        <v>5</v>
      </c>
      <c r="I784" s="107">
        <v>0</v>
      </c>
      <c r="J784" s="107">
        <v>1.6</v>
      </c>
      <c r="K784" s="107">
        <v>4004</v>
      </c>
      <c r="L784" s="107">
        <v>1805</v>
      </c>
      <c r="M784" s="107">
        <v>558</v>
      </c>
      <c r="N784" s="107"/>
      <c r="O784" s="107"/>
    </row>
    <row r="785" spans="1:15" x14ac:dyDescent="0.15">
      <c r="A785" s="107">
        <v>1671</v>
      </c>
      <c r="B785" s="107" t="s">
        <v>236</v>
      </c>
      <c r="C785" s="107" t="s">
        <v>274</v>
      </c>
      <c r="D785" s="107">
        <v>0.5</v>
      </c>
      <c r="E785" s="107" t="s">
        <v>193</v>
      </c>
      <c r="F785" s="107" t="s">
        <v>457</v>
      </c>
      <c r="G785" s="107">
        <v>0</v>
      </c>
      <c r="H785" s="107">
        <v>14</v>
      </c>
      <c r="I785" s="107">
        <v>0</v>
      </c>
      <c r="J785" s="107">
        <v>1.4</v>
      </c>
      <c r="K785" s="107">
        <v>4008</v>
      </c>
      <c r="L785" s="107">
        <v>1810</v>
      </c>
      <c r="M785" s="107">
        <v>460</v>
      </c>
      <c r="N785" s="107"/>
      <c r="O785" s="107"/>
    </row>
    <row r="786" spans="1:15" x14ac:dyDescent="0.15">
      <c r="A786" s="107">
        <v>1659</v>
      </c>
      <c r="B786" s="107" t="s">
        <v>197</v>
      </c>
      <c r="C786" s="107" t="s">
        <v>274</v>
      </c>
      <c r="D786" s="107">
        <v>5</v>
      </c>
      <c r="E786" s="107"/>
      <c r="F786" s="107" t="s">
        <v>458</v>
      </c>
      <c r="G786" s="107">
        <v>6</v>
      </c>
      <c r="H786" s="107">
        <v>12</v>
      </c>
      <c r="I786" s="107">
        <v>0</v>
      </c>
      <c r="J786" s="107">
        <v>1.3199999999999998</v>
      </c>
      <c r="K786" s="107">
        <v>3993</v>
      </c>
      <c r="L786" s="107">
        <v>1792</v>
      </c>
      <c r="M786" s="107">
        <v>167</v>
      </c>
      <c r="N786" s="107" t="s">
        <v>317</v>
      </c>
      <c r="O786" s="107"/>
    </row>
    <row r="787" spans="1:15" x14ac:dyDescent="0.15">
      <c r="A787" s="107">
        <v>1655</v>
      </c>
      <c r="B787" s="107" t="s">
        <v>196</v>
      </c>
      <c r="C787" s="107" t="s">
        <v>274</v>
      </c>
      <c r="D787" s="107">
        <v>8</v>
      </c>
      <c r="E787" s="107" t="s">
        <v>407</v>
      </c>
      <c r="F787" s="107" t="s">
        <v>459</v>
      </c>
      <c r="G787" s="107">
        <v>0</v>
      </c>
      <c r="H787" s="107">
        <v>16</v>
      </c>
      <c r="I787" s="107">
        <v>0</v>
      </c>
      <c r="J787" s="107">
        <v>0.1</v>
      </c>
      <c r="K787" s="107">
        <v>3990</v>
      </c>
      <c r="L787" s="107">
        <v>1788</v>
      </c>
      <c r="M787" s="107">
        <v>206</v>
      </c>
      <c r="N787" s="107" t="s">
        <v>406</v>
      </c>
      <c r="O787" s="107" t="s">
        <v>277</v>
      </c>
    </row>
    <row r="788" spans="1:15" x14ac:dyDescent="0.15">
      <c r="A788" s="107">
        <v>1656</v>
      </c>
      <c r="B788" s="107" t="s">
        <v>283</v>
      </c>
      <c r="C788" s="107" t="s">
        <v>274</v>
      </c>
      <c r="D788" s="107">
        <v>16.5</v>
      </c>
      <c r="E788" s="107" t="s">
        <v>204</v>
      </c>
      <c r="F788" s="107" t="s">
        <v>460</v>
      </c>
      <c r="G788" s="107">
        <v>52</v>
      </c>
      <c r="H788" s="107">
        <v>14</v>
      </c>
      <c r="I788" s="107">
        <v>0</v>
      </c>
      <c r="J788" s="107">
        <v>3.1939393939393943</v>
      </c>
      <c r="K788" s="107">
        <v>3991</v>
      </c>
      <c r="L788" s="107">
        <v>1788</v>
      </c>
      <c r="M788" s="107">
        <v>149</v>
      </c>
      <c r="N788" s="107" t="s">
        <v>284</v>
      </c>
      <c r="O788" s="107"/>
    </row>
    <row r="789" spans="1:15" x14ac:dyDescent="0.15">
      <c r="A789" s="107">
        <v>1659</v>
      </c>
      <c r="B789" s="107" t="s">
        <v>197</v>
      </c>
      <c r="C789" s="107" t="s">
        <v>274</v>
      </c>
      <c r="D789" s="107">
        <v>2</v>
      </c>
      <c r="E789" s="107" t="s">
        <v>188</v>
      </c>
      <c r="F789" s="107" t="s">
        <v>461</v>
      </c>
      <c r="G789" s="107">
        <v>7</v>
      </c>
      <c r="H789" s="107">
        <v>0</v>
      </c>
      <c r="I789" s="107">
        <v>0</v>
      </c>
      <c r="J789" s="107">
        <v>3.5</v>
      </c>
      <c r="K789" s="107">
        <v>3994</v>
      </c>
      <c r="L789" s="107">
        <v>1792</v>
      </c>
      <c r="M789" s="107">
        <v>324</v>
      </c>
      <c r="N789" s="107"/>
      <c r="O789" s="107"/>
    </row>
    <row r="790" spans="1:15" x14ac:dyDescent="0.15">
      <c r="A790" s="107">
        <v>1660</v>
      </c>
      <c r="B790" s="107" t="s">
        <v>197</v>
      </c>
      <c r="C790" s="107" t="s">
        <v>274</v>
      </c>
      <c r="D790" s="107">
        <v>143.875</v>
      </c>
      <c r="E790" s="107" t="s">
        <v>188</v>
      </c>
      <c r="F790" s="107" t="s">
        <v>461</v>
      </c>
      <c r="G790" s="107">
        <v>719</v>
      </c>
      <c r="H790" s="107">
        <v>7</v>
      </c>
      <c r="I790" s="107">
        <v>8</v>
      </c>
      <c r="J790" s="107">
        <v>5</v>
      </c>
      <c r="K790" s="107">
        <v>3995</v>
      </c>
      <c r="L790" s="107">
        <v>1793</v>
      </c>
      <c r="M790" s="107">
        <v>196</v>
      </c>
      <c r="N790" s="107"/>
      <c r="O790" s="107"/>
    </row>
    <row r="791" spans="1:15" x14ac:dyDescent="0.15">
      <c r="A791" s="107">
        <v>1661</v>
      </c>
      <c r="B791" s="107" t="s">
        <v>197</v>
      </c>
      <c r="C791" s="107" t="s">
        <v>274</v>
      </c>
      <c r="D791" s="107">
        <v>115.8125</v>
      </c>
      <c r="E791" s="107" t="s">
        <v>188</v>
      </c>
      <c r="F791" s="107" t="s">
        <v>461</v>
      </c>
      <c r="G791" s="107">
        <v>579</v>
      </c>
      <c r="H791" s="107">
        <v>1</v>
      </c>
      <c r="I791" s="107">
        <v>4</v>
      </c>
      <c r="J791" s="107">
        <v>5</v>
      </c>
      <c r="K791" s="107">
        <v>3996</v>
      </c>
      <c r="L791" s="107">
        <v>1794</v>
      </c>
      <c r="M791" s="107" t="s">
        <v>290</v>
      </c>
      <c r="N791" s="107"/>
      <c r="O791" s="107"/>
    </row>
    <row r="792" spans="1:15" x14ac:dyDescent="0.15">
      <c r="A792" s="107">
        <v>1662</v>
      </c>
      <c r="B792" s="107" t="s">
        <v>197</v>
      </c>
      <c r="C792" s="107" t="s">
        <v>274</v>
      </c>
      <c r="D792" s="107">
        <v>115.6875</v>
      </c>
      <c r="E792" s="107" t="s">
        <v>188</v>
      </c>
      <c r="F792" s="107" t="s">
        <v>461</v>
      </c>
      <c r="G792" s="107">
        <v>578</v>
      </c>
      <c r="H792" s="107">
        <v>8</v>
      </c>
      <c r="I792" s="107">
        <v>12</v>
      </c>
      <c r="J792" s="107">
        <v>5</v>
      </c>
      <c r="K792" s="107">
        <v>3997</v>
      </c>
      <c r="L792" s="107">
        <v>1795</v>
      </c>
      <c r="M792" s="107">
        <v>303</v>
      </c>
      <c r="N792" s="107"/>
      <c r="O792" s="107"/>
    </row>
    <row r="793" spans="1:15" x14ac:dyDescent="0.15">
      <c r="A793" s="107">
        <v>1663</v>
      </c>
      <c r="B793" s="107" t="s">
        <v>197</v>
      </c>
      <c r="C793" s="107" t="s">
        <v>274</v>
      </c>
      <c r="D793" s="107">
        <v>34.125</v>
      </c>
      <c r="E793" s="107" t="s">
        <v>188</v>
      </c>
      <c r="F793" s="107" t="s">
        <v>461</v>
      </c>
      <c r="G793" s="107">
        <v>170</v>
      </c>
      <c r="H793" s="107">
        <v>6</v>
      </c>
      <c r="I793" s="107">
        <v>4</v>
      </c>
      <c r="J793" s="107">
        <v>4.9908424908424909</v>
      </c>
      <c r="K793" s="107">
        <v>3998</v>
      </c>
      <c r="L793" s="107">
        <v>1797</v>
      </c>
      <c r="M793" s="107" t="s">
        <v>290</v>
      </c>
      <c r="N793" s="107"/>
      <c r="O793" s="107"/>
    </row>
    <row r="794" spans="1:15" x14ac:dyDescent="0.15">
      <c r="A794" s="107">
        <v>1665</v>
      </c>
      <c r="B794" s="107" t="s">
        <v>197</v>
      </c>
      <c r="C794" s="107" t="s">
        <v>274</v>
      </c>
      <c r="D794" s="107">
        <v>27.75</v>
      </c>
      <c r="E794" s="107" t="s">
        <v>188</v>
      </c>
      <c r="F794" s="107" t="s">
        <v>461</v>
      </c>
      <c r="G794" s="107">
        <v>150</v>
      </c>
      <c r="H794" s="107">
        <v>11</v>
      </c>
      <c r="I794" s="107">
        <v>4</v>
      </c>
      <c r="J794" s="107">
        <v>5.4256756756756754</v>
      </c>
      <c r="K794" s="107">
        <v>4000</v>
      </c>
      <c r="L794" s="107">
        <v>1798</v>
      </c>
      <c r="M794" s="107">
        <v>62</v>
      </c>
      <c r="N794" s="107"/>
      <c r="O794" s="107"/>
    </row>
    <row r="795" spans="1:15" x14ac:dyDescent="0.15">
      <c r="A795" s="107">
        <v>1666</v>
      </c>
      <c r="B795" s="107" t="s">
        <v>197</v>
      </c>
      <c r="C795" s="107" t="s">
        <v>274</v>
      </c>
      <c r="D795" s="107">
        <v>19.875</v>
      </c>
      <c r="E795" s="107" t="s">
        <v>188</v>
      </c>
      <c r="F795" s="107" t="s">
        <v>461</v>
      </c>
      <c r="G795" s="107">
        <v>109</v>
      </c>
      <c r="H795" s="107">
        <v>6</v>
      </c>
      <c r="I795" s="107">
        <v>4</v>
      </c>
      <c r="J795" s="107">
        <v>5.5</v>
      </c>
      <c r="K795" s="107">
        <v>4001</v>
      </c>
      <c r="L795" s="107">
        <v>1800</v>
      </c>
      <c r="M795" s="107">
        <v>38</v>
      </c>
      <c r="N795" s="107"/>
      <c r="O795" s="107"/>
    </row>
    <row r="796" spans="1:15" x14ac:dyDescent="0.15">
      <c r="A796" s="107">
        <v>1667</v>
      </c>
      <c r="B796" s="107" t="s">
        <v>197</v>
      </c>
      <c r="C796" s="107" t="s">
        <v>274</v>
      </c>
      <c r="D796" s="107">
        <v>21.875</v>
      </c>
      <c r="E796" s="107" t="s">
        <v>188</v>
      </c>
      <c r="F796" s="107" t="s">
        <v>461</v>
      </c>
      <c r="G796" s="107">
        <v>120</v>
      </c>
      <c r="H796" s="107">
        <v>6</v>
      </c>
      <c r="I796" s="107">
        <v>4</v>
      </c>
      <c r="J796" s="107">
        <v>5.5</v>
      </c>
      <c r="K796" s="107">
        <v>4002</v>
      </c>
      <c r="L796" s="107">
        <v>1802</v>
      </c>
      <c r="M796" s="107">
        <v>760</v>
      </c>
      <c r="N796" s="107"/>
      <c r="O796" s="107"/>
    </row>
    <row r="797" spans="1:15" x14ac:dyDescent="0.15">
      <c r="A797" s="107">
        <v>1670</v>
      </c>
      <c r="B797" s="107" t="s">
        <v>197</v>
      </c>
      <c r="C797" s="107" t="s">
        <v>274</v>
      </c>
      <c r="D797" s="107">
        <v>2</v>
      </c>
      <c r="E797" s="107" t="s">
        <v>336</v>
      </c>
      <c r="F797" s="107" t="s">
        <v>461</v>
      </c>
      <c r="G797" s="107">
        <v>16</v>
      </c>
      <c r="H797" s="107">
        <v>0</v>
      </c>
      <c r="I797" s="107">
        <v>0</v>
      </c>
      <c r="J797" s="107">
        <v>8</v>
      </c>
      <c r="K797" s="107">
        <v>4006</v>
      </c>
      <c r="L797" s="107">
        <v>1808</v>
      </c>
      <c r="M797" s="107">
        <v>635</v>
      </c>
      <c r="N797" s="107"/>
      <c r="O797" s="107"/>
    </row>
    <row r="798" spans="1:15" x14ac:dyDescent="0.15">
      <c r="A798" s="107">
        <v>1672</v>
      </c>
      <c r="B798" s="107" t="s">
        <v>196</v>
      </c>
      <c r="C798" s="107" t="s">
        <v>274</v>
      </c>
      <c r="D798" s="107">
        <v>3</v>
      </c>
      <c r="E798" s="107" t="s">
        <v>188</v>
      </c>
      <c r="F798" s="107" t="s">
        <v>461</v>
      </c>
      <c r="G798" s="107">
        <v>24</v>
      </c>
      <c r="H798" s="107">
        <v>0</v>
      </c>
      <c r="I798" s="107">
        <v>0</v>
      </c>
      <c r="J798" s="107">
        <v>8</v>
      </c>
      <c r="K798" s="107">
        <v>4008</v>
      </c>
      <c r="L798" s="107">
        <v>1810</v>
      </c>
      <c r="M798" s="107">
        <v>511</v>
      </c>
      <c r="N798" s="107"/>
      <c r="O798" s="107"/>
    </row>
    <row r="799" spans="1:15" x14ac:dyDescent="0.15">
      <c r="A799" s="107">
        <v>1674</v>
      </c>
      <c r="B799" s="107" t="s">
        <v>196</v>
      </c>
      <c r="C799" s="107" t="s">
        <v>274</v>
      </c>
      <c r="D799" s="107">
        <v>5.5</v>
      </c>
      <c r="E799" s="107" t="s">
        <v>188</v>
      </c>
      <c r="F799" s="107" t="s">
        <v>461</v>
      </c>
      <c r="G799" s="107">
        <v>33</v>
      </c>
      <c r="H799" s="107">
        <v>0</v>
      </c>
      <c r="I799" s="107">
        <v>0</v>
      </c>
      <c r="J799" s="107">
        <v>6</v>
      </c>
      <c r="K799" s="107">
        <v>4011</v>
      </c>
      <c r="L799" s="107">
        <v>1814</v>
      </c>
      <c r="M799" s="107">
        <v>600</v>
      </c>
      <c r="N799" s="107" t="s">
        <v>294</v>
      </c>
      <c r="O799" s="107"/>
    </row>
    <row r="800" spans="1:15" x14ac:dyDescent="0.15">
      <c r="A800" s="107">
        <v>1681</v>
      </c>
      <c r="B800" s="107" t="s">
        <v>197</v>
      </c>
      <c r="C800" s="107" t="s">
        <v>271</v>
      </c>
      <c r="D800" s="107">
        <v>2</v>
      </c>
      <c r="E800" s="107" t="s">
        <v>188</v>
      </c>
      <c r="F800" s="107" t="s">
        <v>461</v>
      </c>
      <c r="G800" s="107">
        <v>12</v>
      </c>
      <c r="H800" s="107">
        <v>0</v>
      </c>
      <c r="I800" s="107">
        <v>0</v>
      </c>
      <c r="J800" s="107">
        <v>6</v>
      </c>
      <c r="K800" s="107">
        <v>4017</v>
      </c>
      <c r="L800" s="107">
        <v>1819</v>
      </c>
      <c r="M800" s="107">
        <v>428</v>
      </c>
      <c r="N800" s="107"/>
      <c r="O800" s="107"/>
    </row>
    <row r="801" spans="1:15" x14ac:dyDescent="0.15">
      <c r="A801" s="107">
        <v>1682</v>
      </c>
      <c r="B801" s="107" t="s">
        <v>200</v>
      </c>
      <c r="C801" s="107" t="s">
        <v>271</v>
      </c>
      <c r="D801" s="107">
        <v>4</v>
      </c>
      <c r="E801" s="107" t="s">
        <v>188</v>
      </c>
      <c r="F801" s="107" t="s">
        <v>461</v>
      </c>
      <c r="G801" s="107">
        <v>12</v>
      </c>
      <c r="H801" s="107">
        <v>0</v>
      </c>
      <c r="I801" s="107">
        <v>0</v>
      </c>
      <c r="J801" s="107">
        <v>3</v>
      </c>
      <c r="K801" s="107">
        <v>4018</v>
      </c>
      <c r="L801" s="107">
        <v>1820</v>
      </c>
      <c r="M801" s="107">
        <v>821</v>
      </c>
      <c r="N801" s="107" t="s">
        <v>273</v>
      </c>
      <c r="O801" s="107"/>
    </row>
    <row r="802" spans="1:15" x14ac:dyDescent="0.15">
      <c r="A802" s="107">
        <v>1683</v>
      </c>
      <c r="B802" s="107" t="s">
        <v>197</v>
      </c>
      <c r="C802" s="107" t="s">
        <v>271</v>
      </c>
      <c r="D802" s="107">
        <v>4</v>
      </c>
      <c r="E802" s="107" t="s">
        <v>188</v>
      </c>
      <c r="F802" s="107" t="s">
        <v>461</v>
      </c>
      <c r="G802" s="107">
        <v>24</v>
      </c>
      <c r="H802" s="107">
        <v>0</v>
      </c>
      <c r="I802" s="107">
        <v>0</v>
      </c>
      <c r="J802" s="107">
        <v>6</v>
      </c>
      <c r="K802" s="107">
        <v>4019</v>
      </c>
      <c r="L802" s="107">
        <v>1822</v>
      </c>
      <c r="M802" s="107">
        <v>600</v>
      </c>
      <c r="N802" s="107"/>
      <c r="O802" s="107"/>
    </row>
    <row r="803" spans="1:15" x14ac:dyDescent="0.15">
      <c r="A803" s="107">
        <v>1689</v>
      </c>
      <c r="B803" s="107" t="s">
        <v>253</v>
      </c>
      <c r="C803" s="107" t="s">
        <v>271</v>
      </c>
      <c r="D803" s="107">
        <v>4</v>
      </c>
      <c r="E803" s="107" t="s">
        <v>188</v>
      </c>
      <c r="F803" s="107" t="s">
        <v>461</v>
      </c>
      <c r="G803" s="107">
        <v>20</v>
      </c>
      <c r="H803" s="107">
        <v>0</v>
      </c>
      <c r="I803" s="107">
        <v>0</v>
      </c>
      <c r="J803" s="107">
        <v>5</v>
      </c>
      <c r="K803" s="107">
        <v>4027</v>
      </c>
      <c r="L803" s="107">
        <v>1832</v>
      </c>
      <c r="M803" s="107">
        <v>497</v>
      </c>
      <c r="N803" s="107"/>
      <c r="O803" s="107"/>
    </row>
    <row r="804" spans="1:15" x14ac:dyDescent="0.15">
      <c r="A804" s="107">
        <v>1693</v>
      </c>
      <c r="B804" s="107" t="s">
        <v>253</v>
      </c>
      <c r="C804" s="107" t="s">
        <v>271</v>
      </c>
      <c r="D804" s="107">
        <v>4</v>
      </c>
      <c r="E804" s="107" t="s">
        <v>188</v>
      </c>
      <c r="F804" s="107" t="s">
        <v>461</v>
      </c>
      <c r="G804" s="107">
        <v>16</v>
      </c>
      <c r="H804" s="107">
        <v>0</v>
      </c>
      <c r="I804" s="107">
        <v>0</v>
      </c>
      <c r="J804" s="107">
        <v>4</v>
      </c>
      <c r="K804" s="107">
        <v>4030</v>
      </c>
      <c r="L804" s="107">
        <v>1836</v>
      </c>
      <c r="M804" s="107">
        <v>236</v>
      </c>
      <c r="N804" s="107"/>
      <c r="O804" s="107"/>
    </row>
    <row r="805" spans="1:15" x14ac:dyDescent="0.15">
      <c r="A805" s="107">
        <v>1697</v>
      </c>
      <c r="B805" s="107" t="s">
        <v>247</v>
      </c>
      <c r="C805" s="107" t="s">
        <v>271</v>
      </c>
      <c r="D805" s="107">
        <v>14.5</v>
      </c>
      <c r="E805" s="107" t="s">
        <v>188</v>
      </c>
      <c r="F805" s="107" t="s">
        <v>461</v>
      </c>
      <c r="G805" s="107">
        <v>58</v>
      </c>
      <c r="H805" s="107">
        <v>0</v>
      </c>
      <c r="I805" s="107">
        <v>0</v>
      </c>
      <c r="J805" s="107">
        <v>4</v>
      </c>
      <c r="K805" s="107">
        <v>4038</v>
      </c>
      <c r="L805" s="107">
        <v>1846</v>
      </c>
      <c r="M805" s="107">
        <v>757</v>
      </c>
      <c r="N805" s="107" t="s">
        <v>273</v>
      </c>
      <c r="O805" s="107"/>
    </row>
    <row r="806" spans="1:15" x14ac:dyDescent="0.15">
      <c r="A806" s="107">
        <v>1655</v>
      </c>
      <c r="B806" s="107" t="s">
        <v>236</v>
      </c>
      <c r="C806" s="107" t="s">
        <v>274</v>
      </c>
      <c r="D806" s="107">
        <v>116</v>
      </c>
      <c r="E806" s="107"/>
      <c r="F806" s="107" t="s">
        <v>462</v>
      </c>
      <c r="G806" s="107">
        <v>45</v>
      </c>
      <c r="H806" s="107">
        <v>0</v>
      </c>
      <c r="I806" s="107">
        <v>0</v>
      </c>
      <c r="J806" s="107">
        <v>0.38793103448275862</v>
      </c>
      <c r="K806" s="107">
        <v>3990</v>
      </c>
      <c r="L806" s="107">
        <v>1788</v>
      </c>
      <c r="M806" s="107">
        <v>204</v>
      </c>
      <c r="N806" s="107" t="s">
        <v>349</v>
      </c>
      <c r="O806" s="107"/>
    </row>
    <row r="807" spans="1:15" x14ac:dyDescent="0.15">
      <c r="A807" s="107">
        <v>1656</v>
      </c>
      <c r="B807" s="107" t="s">
        <v>253</v>
      </c>
      <c r="C807" s="107" t="s">
        <v>274</v>
      </c>
      <c r="D807" s="107">
        <v>36</v>
      </c>
      <c r="E807" s="107" t="s">
        <v>204</v>
      </c>
      <c r="F807" s="107" t="s">
        <v>463</v>
      </c>
      <c r="G807" s="107">
        <v>5</v>
      </c>
      <c r="H807" s="107">
        <v>8</v>
      </c>
      <c r="I807" s="107">
        <v>0</v>
      </c>
      <c r="J807" s="107">
        <v>0.15000000000000002</v>
      </c>
      <c r="K807" s="107">
        <v>3991</v>
      </c>
      <c r="L807" s="107">
        <v>1788</v>
      </c>
      <c r="M807" s="107">
        <v>152</v>
      </c>
      <c r="N807" s="107" t="s">
        <v>383</v>
      </c>
      <c r="O807" s="107"/>
    </row>
    <row r="808" spans="1:15" x14ac:dyDescent="0.15">
      <c r="A808" s="107">
        <v>1656</v>
      </c>
      <c r="B808" s="107" t="s">
        <v>283</v>
      </c>
      <c r="C808" s="107" t="s">
        <v>274</v>
      </c>
      <c r="D808" s="107">
        <v>2</v>
      </c>
      <c r="E808" s="107"/>
      <c r="F808" s="107" t="s">
        <v>464</v>
      </c>
      <c r="G808" s="107">
        <v>10</v>
      </c>
      <c r="H808" s="107">
        <v>0</v>
      </c>
      <c r="I808" s="107">
        <v>0</v>
      </c>
      <c r="J808" s="107">
        <v>5</v>
      </c>
      <c r="K808" s="107">
        <v>3991</v>
      </c>
      <c r="L808" s="107">
        <v>1788</v>
      </c>
      <c r="M808" s="107">
        <v>149</v>
      </c>
      <c r="N808" s="107" t="s">
        <v>284</v>
      </c>
      <c r="O808" s="107"/>
    </row>
    <row r="809" spans="1:15" x14ac:dyDescent="0.15">
      <c r="A809" s="107">
        <v>1656</v>
      </c>
      <c r="B809" s="107" t="s">
        <v>283</v>
      </c>
      <c r="C809" s="107" t="s">
        <v>274</v>
      </c>
      <c r="D809" s="107">
        <v>11</v>
      </c>
      <c r="E809" s="107" t="s">
        <v>204</v>
      </c>
      <c r="F809" s="107" t="s">
        <v>465</v>
      </c>
      <c r="G809" s="107">
        <v>35</v>
      </c>
      <c r="H809" s="107">
        <v>11</v>
      </c>
      <c r="I809" s="107">
        <v>8</v>
      </c>
      <c r="J809" s="107">
        <v>3.2340909090909089</v>
      </c>
      <c r="K809" s="107">
        <v>3991</v>
      </c>
      <c r="L809" s="107">
        <v>1788</v>
      </c>
      <c r="M809" s="107">
        <v>149</v>
      </c>
      <c r="N809" s="107" t="s">
        <v>284</v>
      </c>
      <c r="O809" s="107"/>
    </row>
    <row r="810" spans="1:15" x14ac:dyDescent="0.15">
      <c r="A810" s="107">
        <v>1655</v>
      </c>
      <c r="B810" s="107" t="s">
        <v>197</v>
      </c>
      <c r="C810" s="107" t="s">
        <v>274</v>
      </c>
      <c r="D810" s="107">
        <v>3</v>
      </c>
      <c r="E810" s="107" t="s">
        <v>204</v>
      </c>
      <c r="F810" s="107" t="s">
        <v>466</v>
      </c>
      <c r="G810" s="107">
        <v>9</v>
      </c>
      <c r="H810" s="107">
        <v>13</v>
      </c>
      <c r="I810" s="107">
        <v>14</v>
      </c>
      <c r="J810" s="107">
        <v>3.2312499999999997</v>
      </c>
      <c r="K810" s="107">
        <v>3990</v>
      </c>
      <c r="L810" s="107">
        <v>1788</v>
      </c>
      <c r="M810" s="107">
        <v>203</v>
      </c>
      <c r="N810" s="107"/>
      <c r="O810" s="107"/>
    </row>
    <row r="811" spans="1:15" x14ac:dyDescent="0.15">
      <c r="A811" s="107">
        <v>1655</v>
      </c>
      <c r="B811" s="107" t="s">
        <v>260</v>
      </c>
      <c r="C811" s="107" t="s">
        <v>274</v>
      </c>
      <c r="D811" s="107">
        <v>25</v>
      </c>
      <c r="E811" s="107" t="s">
        <v>204</v>
      </c>
      <c r="F811" s="107" t="s">
        <v>466</v>
      </c>
      <c r="G811" s="107">
        <v>150</v>
      </c>
      <c r="H811" s="107">
        <v>0</v>
      </c>
      <c r="I811" s="107">
        <v>0</v>
      </c>
      <c r="J811" s="107">
        <v>6</v>
      </c>
      <c r="K811" s="107">
        <v>3990</v>
      </c>
      <c r="L811" s="107">
        <v>1788</v>
      </c>
      <c r="M811" s="107">
        <v>207</v>
      </c>
      <c r="N811" s="107" t="s">
        <v>467</v>
      </c>
      <c r="O811" s="107" t="s">
        <v>277</v>
      </c>
    </row>
    <row r="812" spans="1:15" x14ac:dyDescent="0.15">
      <c r="A812" s="107">
        <v>1655</v>
      </c>
      <c r="B812" s="107" t="s">
        <v>247</v>
      </c>
      <c r="C812" s="107" t="s">
        <v>274</v>
      </c>
      <c r="D812" s="107">
        <v>2</v>
      </c>
      <c r="E812" s="107"/>
      <c r="F812" s="107" t="s">
        <v>466</v>
      </c>
      <c r="G812" s="107">
        <v>12</v>
      </c>
      <c r="H812" s="107">
        <v>15</v>
      </c>
      <c r="I812" s="107">
        <v>0</v>
      </c>
      <c r="J812" s="107">
        <v>6.375</v>
      </c>
      <c r="K812" s="107">
        <v>3990</v>
      </c>
      <c r="L812" s="107">
        <v>1788</v>
      </c>
      <c r="M812" s="107">
        <v>207</v>
      </c>
      <c r="N812" s="107" t="s">
        <v>302</v>
      </c>
      <c r="O812" s="107" t="s">
        <v>277</v>
      </c>
    </row>
    <row r="813" spans="1:15" x14ac:dyDescent="0.15">
      <c r="A813" s="107">
        <v>1701</v>
      </c>
      <c r="B813" s="107" t="s">
        <v>196</v>
      </c>
      <c r="C813" s="107" t="s">
        <v>271</v>
      </c>
      <c r="D813" s="107">
        <v>16.5</v>
      </c>
      <c r="E813" s="107" t="s">
        <v>204</v>
      </c>
      <c r="F813" s="107" t="s">
        <v>466</v>
      </c>
      <c r="G813" s="107">
        <v>60</v>
      </c>
      <c r="H813" s="107">
        <v>0</v>
      </c>
      <c r="I813" s="107">
        <v>0</v>
      </c>
      <c r="J813" s="107">
        <v>3.6363636363636362</v>
      </c>
      <c r="K813" s="107">
        <v>4047</v>
      </c>
      <c r="L813" s="107">
        <v>1855</v>
      </c>
      <c r="M813" s="107">
        <v>564</v>
      </c>
      <c r="N813" s="107" t="s">
        <v>273</v>
      </c>
      <c r="O813" s="107"/>
    </row>
    <row r="814" spans="1:15" x14ac:dyDescent="0.15">
      <c r="A814" s="107">
        <v>1655</v>
      </c>
      <c r="B814" s="107" t="s">
        <v>247</v>
      </c>
      <c r="C814" s="107" t="s">
        <v>274</v>
      </c>
      <c r="D814" s="107">
        <v>1</v>
      </c>
      <c r="E814" s="107" t="s">
        <v>204</v>
      </c>
      <c r="F814" s="107" t="s">
        <v>468</v>
      </c>
      <c r="G814" s="107">
        <v>6</v>
      </c>
      <c r="H814" s="107">
        <v>7</v>
      </c>
      <c r="I814" s="107">
        <v>8</v>
      </c>
      <c r="J814" s="107">
        <v>6.375</v>
      </c>
      <c r="K814" s="107">
        <v>3990</v>
      </c>
      <c r="L814" s="107">
        <v>1788</v>
      </c>
      <c r="M814" s="107">
        <v>207</v>
      </c>
      <c r="N814" s="107" t="s">
        <v>302</v>
      </c>
      <c r="O814" s="107" t="s">
        <v>277</v>
      </c>
    </row>
    <row r="815" spans="1:15" x14ac:dyDescent="0.15">
      <c r="A815" s="107">
        <v>1655</v>
      </c>
      <c r="B815" s="107" t="s">
        <v>247</v>
      </c>
      <c r="C815" s="107" t="s">
        <v>274</v>
      </c>
      <c r="D815" s="107">
        <v>1</v>
      </c>
      <c r="E815" s="107"/>
      <c r="F815" s="107" t="s">
        <v>468</v>
      </c>
      <c r="G815" s="107">
        <v>6</v>
      </c>
      <c r="H815" s="107">
        <v>7</v>
      </c>
      <c r="I815" s="107">
        <v>8</v>
      </c>
      <c r="J815" s="107">
        <v>6.375</v>
      </c>
      <c r="K815" s="107">
        <v>3990</v>
      </c>
      <c r="L815" s="107">
        <v>1788</v>
      </c>
      <c r="M815" s="107">
        <v>207</v>
      </c>
      <c r="N815" s="107" t="s">
        <v>302</v>
      </c>
      <c r="O815" s="107" t="s">
        <v>277</v>
      </c>
    </row>
    <row r="816" spans="1:15" x14ac:dyDescent="0.15">
      <c r="A816" s="107">
        <v>1721</v>
      </c>
      <c r="B816" s="107" t="s">
        <v>192</v>
      </c>
      <c r="C816" s="107" t="s">
        <v>268</v>
      </c>
      <c r="D816" s="25">
        <v>16</v>
      </c>
      <c r="E816" s="107" t="s">
        <v>188</v>
      </c>
      <c r="F816" s="107" t="s">
        <v>469</v>
      </c>
      <c r="G816" s="107">
        <v>193</v>
      </c>
      <c r="H816" s="107">
        <v>12</v>
      </c>
      <c r="I816" s="107">
        <v>0</v>
      </c>
      <c r="J816" s="107">
        <f t="shared" ref="J816:J879" si="13">(G816+H816/20+I816/320)/D816</f>
        <v>12.1</v>
      </c>
      <c r="K816" s="107">
        <v>5753</v>
      </c>
      <c r="L816" s="107"/>
      <c r="M816" s="107"/>
      <c r="N816" s="107"/>
      <c r="O816" s="107"/>
    </row>
    <row r="817" spans="1:15" x14ac:dyDescent="0.15">
      <c r="A817" s="107">
        <v>1741</v>
      </c>
      <c r="B817" s="107" t="s">
        <v>196</v>
      </c>
      <c r="C817" s="107" t="s">
        <v>268</v>
      </c>
      <c r="D817" s="25">
        <v>14</v>
      </c>
      <c r="E817" s="107" t="s">
        <v>188</v>
      </c>
      <c r="F817" s="107" t="s">
        <v>469</v>
      </c>
      <c r="G817" s="107">
        <v>112</v>
      </c>
      <c r="H817" s="107">
        <v>0</v>
      </c>
      <c r="I817" s="107">
        <v>0</v>
      </c>
      <c r="J817" s="107">
        <f t="shared" si="13"/>
        <v>8</v>
      </c>
      <c r="K817" s="107">
        <v>6115</v>
      </c>
      <c r="L817" s="107"/>
      <c r="M817" s="107"/>
      <c r="N817" s="107"/>
      <c r="O817" s="107"/>
    </row>
    <row r="818" spans="1:15" x14ac:dyDescent="0.15">
      <c r="A818" s="107">
        <v>1760</v>
      </c>
      <c r="B818" s="107" t="s">
        <v>244</v>
      </c>
      <c r="C818" s="107" t="s">
        <v>268</v>
      </c>
      <c r="D818" s="25">
        <v>2</v>
      </c>
      <c r="E818" s="107" t="s">
        <v>188</v>
      </c>
      <c r="F818" s="107" t="s">
        <v>469</v>
      </c>
      <c r="G818" s="107">
        <v>12</v>
      </c>
      <c r="H818" s="107">
        <v>16</v>
      </c>
      <c r="I818" s="107">
        <v>0</v>
      </c>
      <c r="J818" s="107">
        <f t="shared" si="13"/>
        <v>6.4</v>
      </c>
      <c r="K818" s="107">
        <v>6374</v>
      </c>
      <c r="L818" s="107"/>
      <c r="M818" s="107"/>
      <c r="N818" s="107"/>
      <c r="O818" s="107"/>
    </row>
    <row r="819" spans="1:15" x14ac:dyDescent="0.15">
      <c r="A819" s="107">
        <v>1761</v>
      </c>
      <c r="B819" s="107" t="s">
        <v>260</v>
      </c>
      <c r="C819" s="107" t="s">
        <v>268</v>
      </c>
      <c r="D819" s="25">
        <v>2</v>
      </c>
      <c r="E819" s="107" t="s">
        <v>188</v>
      </c>
      <c r="F819" s="107" t="s">
        <v>469</v>
      </c>
      <c r="G819" s="107">
        <v>12</v>
      </c>
      <c r="H819" s="107">
        <v>16</v>
      </c>
      <c r="I819" s="107">
        <v>0</v>
      </c>
      <c r="J819" s="107">
        <f t="shared" si="13"/>
        <v>6.4</v>
      </c>
      <c r="K819" s="107">
        <v>6388</v>
      </c>
      <c r="L819" s="107"/>
      <c r="M819" s="107"/>
      <c r="N819" s="107"/>
      <c r="O819" s="107"/>
    </row>
    <row r="820" spans="1:15" x14ac:dyDescent="0.15">
      <c r="A820" s="107">
        <v>1761</v>
      </c>
      <c r="B820" s="107" t="s">
        <v>261</v>
      </c>
      <c r="C820" s="107" t="s">
        <v>268</v>
      </c>
      <c r="D820" s="25">
        <v>20</v>
      </c>
      <c r="E820" s="107" t="s">
        <v>193</v>
      </c>
      <c r="F820" s="107" t="s">
        <v>469</v>
      </c>
      <c r="G820" s="107">
        <v>12</v>
      </c>
      <c r="H820" s="107">
        <v>16</v>
      </c>
      <c r="I820" s="107">
        <v>0</v>
      </c>
      <c r="J820" s="107">
        <f t="shared" si="13"/>
        <v>0.64</v>
      </c>
      <c r="K820" s="107">
        <v>6387</v>
      </c>
      <c r="L820" s="107"/>
      <c r="M820" s="107"/>
      <c r="N820" s="107"/>
      <c r="O820" s="107"/>
    </row>
    <row r="821" spans="1:15" x14ac:dyDescent="0.15">
      <c r="A821" s="107">
        <v>1762</v>
      </c>
      <c r="B821" s="107" t="s">
        <v>261</v>
      </c>
      <c r="C821" s="107" t="s">
        <v>268</v>
      </c>
      <c r="D821" s="25">
        <v>2</v>
      </c>
      <c r="E821" s="107" t="s">
        <v>188</v>
      </c>
      <c r="F821" s="107" t="s">
        <v>469</v>
      </c>
      <c r="G821" s="107">
        <v>12</v>
      </c>
      <c r="H821" s="107">
        <v>16</v>
      </c>
      <c r="I821" s="107">
        <v>0</v>
      </c>
      <c r="J821" s="107">
        <f t="shared" si="13"/>
        <v>6.4</v>
      </c>
      <c r="K821" s="107">
        <v>6394</v>
      </c>
      <c r="L821" s="107"/>
      <c r="M821" s="107"/>
      <c r="N821" s="107"/>
      <c r="O821" s="107"/>
    </row>
    <row r="822" spans="1:15" x14ac:dyDescent="0.15">
      <c r="A822" s="107">
        <v>1763</v>
      </c>
      <c r="B822" s="107" t="s">
        <v>244</v>
      </c>
      <c r="C822" s="107" t="s">
        <v>268</v>
      </c>
      <c r="D822" s="25">
        <v>2</v>
      </c>
      <c r="E822" s="107" t="s">
        <v>188</v>
      </c>
      <c r="F822" s="107" t="s">
        <v>469</v>
      </c>
      <c r="G822" s="107">
        <v>12</v>
      </c>
      <c r="H822" s="107">
        <v>16</v>
      </c>
      <c r="I822" s="107">
        <v>0</v>
      </c>
      <c r="J822" s="107">
        <f t="shared" si="13"/>
        <v>6.4</v>
      </c>
      <c r="K822" s="107">
        <v>6413</v>
      </c>
      <c r="L822" s="107"/>
      <c r="M822" s="107"/>
      <c r="N822" s="107"/>
      <c r="O822" s="107"/>
    </row>
    <row r="823" spans="1:15" x14ac:dyDescent="0.15">
      <c r="A823" s="107">
        <v>1764</v>
      </c>
      <c r="B823" s="107" t="s">
        <v>244</v>
      </c>
      <c r="C823" s="107" t="s">
        <v>268</v>
      </c>
      <c r="D823" s="25">
        <v>2</v>
      </c>
      <c r="E823" s="107" t="s">
        <v>188</v>
      </c>
      <c r="F823" s="107" t="s">
        <v>469</v>
      </c>
      <c r="G823" s="107">
        <v>12</v>
      </c>
      <c r="H823" s="107">
        <v>16</v>
      </c>
      <c r="I823" s="107">
        <v>0</v>
      </c>
      <c r="J823" s="107">
        <f t="shared" si="13"/>
        <v>6.4</v>
      </c>
      <c r="K823" s="107">
        <v>6419</v>
      </c>
      <c r="L823" s="107"/>
      <c r="M823" s="107"/>
      <c r="N823" s="107"/>
      <c r="O823" s="107"/>
    </row>
    <row r="824" spans="1:15" x14ac:dyDescent="0.15">
      <c r="A824" s="107">
        <v>1764</v>
      </c>
      <c r="B824" s="107" t="s">
        <v>261</v>
      </c>
      <c r="C824" s="107" t="s">
        <v>268</v>
      </c>
      <c r="D824" s="25">
        <v>2</v>
      </c>
      <c r="E824" s="107" t="s">
        <v>193</v>
      </c>
      <c r="F824" s="107" t="s">
        <v>469</v>
      </c>
      <c r="G824" s="107">
        <v>12</v>
      </c>
      <c r="H824" s="107">
        <v>16</v>
      </c>
      <c r="I824" s="107">
        <v>0</v>
      </c>
      <c r="J824" s="107">
        <f t="shared" si="13"/>
        <v>6.4</v>
      </c>
      <c r="K824" s="107">
        <v>6423</v>
      </c>
      <c r="L824" s="107"/>
      <c r="M824" s="107"/>
      <c r="N824" s="107"/>
      <c r="O824" s="107"/>
    </row>
    <row r="825" spans="1:15" x14ac:dyDescent="0.15">
      <c r="A825" s="107">
        <v>1793</v>
      </c>
      <c r="B825" s="107" t="s">
        <v>247</v>
      </c>
      <c r="C825" s="107" t="s">
        <v>270</v>
      </c>
      <c r="D825" s="25">
        <v>9.75</v>
      </c>
      <c r="E825" s="107" t="s">
        <v>188</v>
      </c>
      <c r="F825" s="107" t="s">
        <v>469</v>
      </c>
      <c r="G825" s="107">
        <v>57</v>
      </c>
      <c r="H825" s="107">
        <v>4</v>
      </c>
      <c r="I825" s="107">
        <v>0</v>
      </c>
      <c r="J825" s="107">
        <f t="shared" si="13"/>
        <v>5.8666666666666671</v>
      </c>
      <c r="K825" s="107">
        <v>6826</v>
      </c>
      <c r="L825" s="107"/>
      <c r="M825" s="107"/>
      <c r="N825" s="107"/>
      <c r="O825" s="107"/>
    </row>
    <row r="826" spans="1:15" x14ac:dyDescent="0.15">
      <c r="A826" s="107">
        <v>1655</v>
      </c>
      <c r="B826" s="107" t="s">
        <v>226</v>
      </c>
      <c r="C826" s="107" t="s">
        <v>274</v>
      </c>
      <c r="D826" s="107">
        <v>1</v>
      </c>
      <c r="E826" s="107" t="s">
        <v>324</v>
      </c>
      <c r="F826" s="107" t="s">
        <v>470</v>
      </c>
      <c r="G826" s="107">
        <v>29</v>
      </c>
      <c r="H826" s="107">
        <v>0</v>
      </c>
      <c r="I826" s="107">
        <v>0</v>
      </c>
      <c r="J826" s="107">
        <f t="shared" si="13"/>
        <v>29</v>
      </c>
      <c r="K826" s="107">
        <v>3990</v>
      </c>
      <c r="L826" s="107">
        <v>1788</v>
      </c>
      <c r="M826" s="107">
        <v>207</v>
      </c>
      <c r="N826" s="107" t="s">
        <v>276</v>
      </c>
      <c r="O826" s="107" t="s">
        <v>277</v>
      </c>
    </row>
    <row r="827" spans="1:15" x14ac:dyDescent="0.15">
      <c r="A827" s="107">
        <v>1655</v>
      </c>
      <c r="B827" s="107" t="s">
        <v>197</v>
      </c>
      <c r="C827" s="107" t="s">
        <v>274</v>
      </c>
      <c r="D827" s="107">
        <v>1</v>
      </c>
      <c r="E827" s="107" t="s">
        <v>324</v>
      </c>
      <c r="F827" s="107" t="s">
        <v>470</v>
      </c>
      <c r="G827" s="107">
        <v>29</v>
      </c>
      <c r="H827" s="107">
        <v>0</v>
      </c>
      <c r="I827" s="107">
        <v>0</v>
      </c>
      <c r="J827" s="107">
        <f t="shared" si="13"/>
        <v>29</v>
      </c>
      <c r="K827" s="107">
        <v>3990</v>
      </c>
      <c r="L827" s="107">
        <v>1788</v>
      </c>
      <c r="M827" s="107">
        <v>209</v>
      </c>
      <c r="N827" s="107" t="s">
        <v>281</v>
      </c>
      <c r="O827" s="107" t="s">
        <v>282</v>
      </c>
    </row>
    <row r="828" spans="1:15" x14ac:dyDescent="0.15">
      <c r="A828" s="107">
        <v>1671</v>
      </c>
      <c r="B828" s="107" t="s">
        <v>197</v>
      </c>
      <c r="C828" s="107" t="s">
        <v>274</v>
      </c>
      <c r="D828" s="107">
        <v>30</v>
      </c>
      <c r="E828" s="107" t="s">
        <v>193</v>
      </c>
      <c r="F828" s="107" t="s">
        <v>470</v>
      </c>
      <c r="G828" s="107">
        <v>1</v>
      </c>
      <c r="H828" s="107">
        <v>10</v>
      </c>
      <c r="I828" s="107">
        <v>0</v>
      </c>
      <c r="J828" s="107">
        <f t="shared" si="13"/>
        <v>0.05</v>
      </c>
      <c r="K828" s="107">
        <v>4008</v>
      </c>
      <c r="L828" s="107">
        <v>1810</v>
      </c>
      <c r="M828" s="107">
        <v>410</v>
      </c>
      <c r="N828" s="107"/>
      <c r="O828" s="107"/>
    </row>
    <row r="829" spans="1:15" x14ac:dyDescent="0.15">
      <c r="A829" s="107">
        <v>1674</v>
      </c>
      <c r="B829" s="107" t="s">
        <v>196</v>
      </c>
      <c r="C829" s="107" t="s">
        <v>274</v>
      </c>
      <c r="D829" s="107">
        <v>87</v>
      </c>
      <c r="E829" s="107" t="s">
        <v>193</v>
      </c>
      <c r="F829" s="107" t="s">
        <v>470</v>
      </c>
      <c r="G829" s="107">
        <v>4</v>
      </c>
      <c r="H829" s="107">
        <v>7</v>
      </c>
      <c r="I829" s="107">
        <v>0</v>
      </c>
      <c r="J829" s="107">
        <f t="shared" si="13"/>
        <v>4.9999999999999996E-2</v>
      </c>
      <c r="K829" s="107">
        <v>4011</v>
      </c>
      <c r="L829" s="107">
        <v>1814</v>
      </c>
      <c r="M829" s="107">
        <v>603</v>
      </c>
      <c r="N829" s="107" t="s">
        <v>380</v>
      </c>
      <c r="O829" s="107"/>
    </row>
    <row r="830" spans="1:15" x14ac:dyDescent="0.15">
      <c r="A830" s="107">
        <v>1676</v>
      </c>
      <c r="B830" s="107" t="s">
        <v>197</v>
      </c>
      <c r="C830" s="107" t="s">
        <v>274</v>
      </c>
      <c r="D830" s="107">
        <v>2375</v>
      </c>
      <c r="E830" s="107" t="s">
        <v>188</v>
      </c>
      <c r="F830" s="107" t="s">
        <v>470</v>
      </c>
      <c r="G830" s="107">
        <v>148</v>
      </c>
      <c r="H830" s="107">
        <v>8</v>
      </c>
      <c r="I830" s="107">
        <v>12</v>
      </c>
      <c r="J830" s="107">
        <f t="shared" si="13"/>
        <v>6.25E-2</v>
      </c>
      <c r="K830" s="107">
        <v>4012</v>
      </c>
      <c r="L830" s="107">
        <v>1814</v>
      </c>
      <c r="M830" s="107">
        <v>426</v>
      </c>
      <c r="N830" s="107"/>
      <c r="O830" s="107"/>
    </row>
    <row r="831" spans="1:15" x14ac:dyDescent="0.15">
      <c r="A831" s="107">
        <v>1653</v>
      </c>
      <c r="B831" s="107" t="s">
        <v>197</v>
      </c>
      <c r="C831" s="107" t="s">
        <v>274</v>
      </c>
      <c r="D831" s="107">
        <v>2</v>
      </c>
      <c r="E831" s="107" t="s">
        <v>340</v>
      </c>
      <c r="F831" s="107" t="s">
        <v>471</v>
      </c>
      <c r="G831" s="107">
        <v>229</v>
      </c>
      <c r="H831" s="107">
        <v>10</v>
      </c>
      <c r="I831" s="107">
        <v>0</v>
      </c>
      <c r="J831" s="107">
        <f t="shared" si="13"/>
        <v>114.75</v>
      </c>
      <c r="K831" s="107">
        <v>3989</v>
      </c>
      <c r="L831" s="107">
        <v>1784</v>
      </c>
      <c r="M831" s="107">
        <v>147</v>
      </c>
      <c r="N831" s="107"/>
      <c r="O831" s="107"/>
    </row>
    <row r="832" spans="1:15" x14ac:dyDescent="0.15">
      <c r="A832" s="107">
        <v>1793</v>
      </c>
      <c r="B832" s="107" t="s">
        <v>192</v>
      </c>
      <c r="C832" s="107" t="s">
        <v>268</v>
      </c>
      <c r="D832" s="25">
        <v>28</v>
      </c>
      <c r="E832" s="107" t="s">
        <v>472</v>
      </c>
      <c r="F832" s="107" t="s">
        <v>473</v>
      </c>
      <c r="G832" s="107">
        <v>0</v>
      </c>
      <c r="H832" s="107">
        <v>56</v>
      </c>
      <c r="I832" s="107">
        <v>0</v>
      </c>
      <c r="J832" s="107">
        <f t="shared" si="13"/>
        <v>9.9999999999999992E-2</v>
      </c>
      <c r="K832" s="107">
        <v>6826</v>
      </c>
      <c r="L832" s="107"/>
      <c r="M832" s="107"/>
      <c r="N832" s="107"/>
      <c r="O832" s="107"/>
    </row>
    <row r="833" spans="1:14" x14ac:dyDescent="0.15">
      <c r="A833" s="107">
        <v>1794</v>
      </c>
      <c r="B833" s="107" t="s">
        <v>260</v>
      </c>
      <c r="C833" s="107" t="s">
        <v>270</v>
      </c>
      <c r="D833" s="25">
        <v>32</v>
      </c>
      <c r="E833" s="107" t="s">
        <v>472</v>
      </c>
      <c r="F833" s="107" t="s">
        <v>473</v>
      </c>
      <c r="G833" s="107">
        <v>0</v>
      </c>
      <c r="H833" s="107">
        <v>64</v>
      </c>
      <c r="I833" s="107">
        <v>0</v>
      </c>
      <c r="J833" s="107">
        <f t="shared" si="13"/>
        <v>0.1</v>
      </c>
      <c r="K833" s="107">
        <v>6840</v>
      </c>
      <c r="L833" s="107"/>
      <c r="M833" s="107"/>
      <c r="N833" s="107"/>
    </row>
    <row r="834" spans="1:14" x14ac:dyDescent="0.15">
      <c r="A834" s="107">
        <v>1794</v>
      </c>
      <c r="B834" s="107" t="s">
        <v>261</v>
      </c>
      <c r="C834" s="107" t="s">
        <v>268</v>
      </c>
      <c r="D834" s="25">
        <v>784</v>
      </c>
      <c r="E834" s="107" t="s">
        <v>472</v>
      </c>
      <c r="F834" s="107" t="s">
        <v>473</v>
      </c>
      <c r="G834" s="107">
        <v>21</v>
      </c>
      <c r="H834" s="107">
        <v>56</v>
      </c>
      <c r="I834" s="107">
        <v>0</v>
      </c>
      <c r="J834" s="107">
        <f t="shared" si="13"/>
        <v>3.0357142857142857E-2</v>
      </c>
      <c r="K834" s="107">
        <v>6839</v>
      </c>
      <c r="L834" s="107"/>
      <c r="M834" s="107"/>
      <c r="N834" s="107"/>
    </row>
    <row r="835" spans="1:14" x14ac:dyDescent="0.15">
      <c r="A835" s="107">
        <v>1656</v>
      </c>
      <c r="B835" s="107" t="s">
        <v>261</v>
      </c>
      <c r="C835" s="107" t="s">
        <v>274</v>
      </c>
      <c r="D835" s="107">
        <v>0.25</v>
      </c>
      <c r="E835" s="107" t="s">
        <v>204</v>
      </c>
      <c r="F835" s="107" t="s">
        <v>474</v>
      </c>
      <c r="G835" s="107">
        <v>3</v>
      </c>
      <c r="H835" s="107">
        <v>3</v>
      </c>
      <c r="I835" s="107">
        <v>12</v>
      </c>
      <c r="J835" s="107">
        <f t="shared" si="13"/>
        <v>12.75</v>
      </c>
      <c r="K835" s="107">
        <v>3991</v>
      </c>
      <c r="L835" s="107">
        <v>1788</v>
      </c>
      <c r="M835" s="107">
        <v>230</v>
      </c>
      <c r="N835" s="107"/>
    </row>
    <row r="836" spans="1:14" x14ac:dyDescent="0.15">
      <c r="A836" s="107">
        <v>1661</v>
      </c>
      <c r="B836" s="107" t="s">
        <v>197</v>
      </c>
      <c r="C836" s="107" t="s">
        <v>274</v>
      </c>
      <c r="D836" s="107">
        <v>1</v>
      </c>
      <c r="E836" s="107" t="s">
        <v>204</v>
      </c>
      <c r="F836" s="107" t="s">
        <v>474</v>
      </c>
      <c r="G836" s="107">
        <v>12</v>
      </c>
      <c r="H836" s="107">
        <v>0</v>
      </c>
      <c r="I836" s="107">
        <v>0</v>
      </c>
      <c r="J836" s="107">
        <f t="shared" si="13"/>
        <v>12</v>
      </c>
      <c r="K836" s="107">
        <v>3996</v>
      </c>
      <c r="L836" s="107">
        <v>1794</v>
      </c>
      <c r="M836" s="107" t="s">
        <v>290</v>
      </c>
      <c r="N836" s="107"/>
    </row>
    <row r="837" spans="1:14" x14ac:dyDescent="0.15">
      <c r="A837" s="107">
        <v>1662</v>
      </c>
      <c r="B837" s="107" t="s">
        <v>197</v>
      </c>
      <c r="C837" s="107" t="s">
        <v>274</v>
      </c>
      <c r="D837" s="107">
        <v>97.25</v>
      </c>
      <c r="E837" s="107" t="s">
        <v>204</v>
      </c>
      <c r="F837" s="107" t="s">
        <v>474</v>
      </c>
      <c r="G837" s="107">
        <v>649</v>
      </c>
      <c r="H837" s="107">
        <v>2</v>
      </c>
      <c r="I837" s="107">
        <v>6</v>
      </c>
      <c r="J837" s="107">
        <f t="shared" si="13"/>
        <v>6.6747429305912593</v>
      </c>
      <c r="K837" s="107">
        <v>3997</v>
      </c>
      <c r="L837" s="107">
        <v>1795</v>
      </c>
      <c r="M837" s="107">
        <v>304</v>
      </c>
      <c r="N837" s="107"/>
    </row>
    <row r="838" spans="1:14" x14ac:dyDescent="0.15">
      <c r="A838" s="107">
        <v>1663</v>
      </c>
      <c r="B838" s="107" t="s">
        <v>197</v>
      </c>
      <c r="C838" s="107" t="s">
        <v>274</v>
      </c>
      <c r="D838" s="107">
        <v>169</v>
      </c>
      <c r="E838" s="107" t="s">
        <v>204</v>
      </c>
      <c r="F838" s="107" t="s">
        <v>474</v>
      </c>
      <c r="G838" s="107">
        <v>1099</v>
      </c>
      <c r="H838" s="107">
        <v>5</v>
      </c>
      <c r="I838" s="107">
        <v>8</v>
      </c>
      <c r="J838" s="107">
        <f t="shared" si="13"/>
        <v>6.504585798816569</v>
      </c>
      <c r="K838" s="107">
        <v>3998</v>
      </c>
      <c r="L838" s="107">
        <v>1797</v>
      </c>
      <c r="M838" s="107" t="s">
        <v>290</v>
      </c>
      <c r="N838" s="107"/>
    </row>
    <row r="839" spans="1:14" x14ac:dyDescent="0.15">
      <c r="A839" s="107">
        <v>1666</v>
      </c>
      <c r="B839" s="107" t="s">
        <v>186</v>
      </c>
      <c r="C839" s="107" t="s">
        <v>274</v>
      </c>
      <c r="D839" s="107">
        <v>54</v>
      </c>
      <c r="E839" s="107" t="s">
        <v>204</v>
      </c>
      <c r="F839" s="107" t="s">
        <v>474</v>
      </c>
      <c r="G839" s="107">
        <v>648</v>
      </c>
      <c r="H839" s="107">
        <v>0</v>
      </c>
      <c r="I839" s="107">
        <v>0</v>
      </c>
      <c r="J839" s="107">
        <f t="shared" si="13"/>
        <v>12</v>
      </c>
      <c r="K839" s="107">
        <v>4001</v>
      </c>
      <c r="L839" s="107">
        <v>1800</v>
      </c>
      <c r="M839" s="107">
        <v>98</v>
      </c>
      <c r="N839" s="107"/>
    </row>
    <row r="840" spans="1:14" x14ac:dyDescent="0.15">
      <c r="A840" s="107">
        <v>1669</v>
      </c>
      <c r="B840" s="107" t="s">
        <v>197</v>
      </c>
      <c r="C840" s="107" t="s">
        <v>274</v>
      </c>
      <c r="D840" s="107">
        <v>189</v>
      </c>
      <c r="E840" s="107" t="s">
        <v>204</v>
      </c>
      <c r="F840" s="107" t="s">
        <v>474</v>
      </c>
      <c r="G840" s="107">
        <v>1288</v>
      </c>
      <c r="H840" s="107">
        <v>0</v>
      </c>
      <c r="I840" s="107">
        <v>0</v>
      </c>
      <c r="J840" s="107">
        <f t="shared" si="13"/>
        <v>6.8148148148148149</v>
      </c>
      <c r="K840" s="107">
        <v>4004</v>
      </c>
      <c r="L840" s="107">
        <v>1805</v>
      </c>
      <c r="M840" s="107">
        <v>558</v>
      </c>
      <c r="N840" s="107"/>
    </row>
    <row r="841" spans="1:14" x14ac:dyDescent="0.15">
      <c r="A841" s="107">
        <v>1670</v>
      </c>
      <c r="B841" s="107" t="s">
        <v>260</v>
      </c>
      <c r="C841" s="107" t="s">
        <v>274</v>
      </c>
      <c r="D841" s="107">
        <v>21</v>
      </c>
      <c r="E841" s="107" t="s">
        <v>204</v>
      </c>
      <c r="F841" s="107" t="s">
        <v>474</v>
      </c>
      <c r="G841" s="107">
        <v>165</v>
      </c>
      <c r="H841" s="107">
        <v>0</v>
      </c>
      <c r="I841" s="107">
        <v>0</v>
      </c>
      <c r="J841" s="107">
        <f t="shared" si="13"/>
        <v>7.8571428571428568</v>
      </c>
      <c r="K841" s="107">
        <v>4006</v>
      </c>
      <c r="L841" s="107">
        <v>1808</v>
      </c>
      <c r="M841" s="107">
        <v>792</v>
      </c>
      <c r="N841" s="107"/>
    </row>
    <row r="842" spans="1:14" x14ac:dyDescent="0.15">
      <c r="A842" s="107">
        <v>1672</v>
      </c>
      <c r="B842" s="107" t="s">
        <v>197</v>
      </c>
      <c r="C842" s="107" t="s">
        <v>274</v>
      </c>
      <c r="D842" s="107">
        <v>10.5</v>
      </c>
      <c r="E842" s="107" t="s">
        <v>204</v>
      </c>
      <c r="F842" s="107" t="s">
        <v>474</v>
      </c>
      <c r="G842" s="107">
        <v>126</v>
      </c>
      <c r="H842" s="107">
        <v>0</v>
      </c>
      <c r="I842" s="107">
        <v>0</v>
      </c>
      <c r="J842" s="107">
        <f t="shared" si="13"/>
        <v>12</v>
      </c>
      <c r="K842" s="107">
        <v>4008</v>
      </c>
      <c r="L842" s="107">
        <v>1810</v>
      </c>
      <c r="M842" s="107">
        <v>586</v>
      </c>
      <c r="N842" s="107"/>
    </row>
    <row r="843" spans="1:14" x14ac:dyDescent="0.15">
      <c r="A843" s="107">
        <v>1678</v>
      </c>
      <c r="B843" s="107" t="s">
        <v>253</v>
      </c>
      <c r="C843" s="107" t="s">
        <v>295</v>
      </c>
      <c r="D843" s="107">
        <v>2.5</v>
      </c>
      <c r="E843" s="107" t="s">
        <v>204</v>
      </c>
      <c r="F843" s="107" t="s">
        <v>474</v>
      </c>
      <c r="G843" s="107">
        <v>19</v>
      </c>
      <c r="H843" s="107">
        <v>11</v>
      </c>
      <c r="I843" s="107">
        <v>1</v>
      </c>
      <c r="J843" s="107">
        <f t="shared" si="13"/>
        <v>7.8212500000000009</v>
      </c>
      <c r="K843" s="107">
        <v>4014</v>
      </c>
      <c r="L843" s="107">
        <v>4903</v>
      </c>
      <c r="M843" s="107">
        <v>669</v>
      </c>
      <c r="N843" s="107"/>
    </row>
    <row r="844" spans="1:14" x14ac:dyDescent="0.15">
      <c r="A844" s="107">
        <v>1674</v>
      </c>
      <c r="B844" s="107" t="s">
        <v>475</v>
      </c>
      <c r="C844" s="107" t="s">
        <v>274</v>
      </c>
      <c r="D844" s="107">
        <v>1</v>
      </c>
      <c r="E844" s="107" t="s">
        <v>204</v>
      </c>
      <c r="F844" s="107" t="s">
        <v>476</v>
      </c>
      <c r="G844" s="107">
        <v>7</v>
      </c>
      <c r="H844" s="107">
        <v>15</v>
      </c>
      <c r="I844" s="107">
        <v>0</v>
      </c>
      <c r="J844" s="107">
        <f t="shared" si="13"/>
        <v>7.75</v>
      </c>
      <c r="K844" s="107">
        <v>4011</v>
      </c>
      <c r="L844" s="107">
        <v>1814</v>
      </c>
      <c r="M844" s="107">
        <v>608</v>
      </c>
      <c r="N844" s="107" t="s">
        <v>294</v>
      </c>
    </row>
    <row r="845" spans="1:14" x14ac:dyDescent="0.15">
      <c r="A845" s="107">
        <v>1682</v>
      </c>
      <c r="B845" s="107" t="s">
        <v>197</v>
      </c>
      <c r="C845" s="107" t="s">
        <v>271</v>
      </c>
      <c r="D845" s="107">
        <v>1</v>
      </c>
      <c r="E845" s="107" t="s">
        <v>204</v>
      </c>
      <c r="F845" s="107" t="s">
        <v>476</v>
      </c>
      <c r="G845" s="107">
        <v>7</v>
      </c>
      <c r="H845" s="107">
        <v>4</v>
      </c>
      <c r="I845" s="107">
        <v>4</v>
      </c>
      <c r="J845" s="107">
        <f t="shared" si="13"/>
        <v>7.2125000000000004</v>
      </c>
      <c r="K845" s="107">
        <v>4018</v>
      </c>
      <c r="L845" s="107">
        <v>1820</v>
      </c>
      <c r="M845" s="107">
        <v>761</v>
      </c>
      <c r="N845" s="107" t="s">
        <v>273</v>
      </c>
    </row>
    <row r="846" spans="1:14" x14ac:dyDescent="0.15">
      <c r="A846" s="107">
        <v>1700</v>
      </c>
      <c r="B846" s="107" t="s">
        <v>236</v>
      </c>
      <c r="C846" s="107" t="s">
        <v>271</v>
      </c>
      <c r="D846" s="107">
        <v>1.5</v>
      </c>
      <c r="E846" s="107" t="s">
        <v>204</v>
      </c>
      <c r="F846" s="107" t="s">
        <v>476</v>
      </c>
      <c r="G846" s="107">
        <v>15</v>
      </c>
      <c r="H846" s="107">
        <v>15</v>
      </c>
      <c r="I846" s="107">
        <v>0</v>
      </c>
      <c r="J846" s="107">
        <f t="shared" si="13"/>
        <v>10.5</v>
      </c>
      <c r="K846" s="107">
        <v>4047</v>
      </c>
      <c r="L846" s="107">
        <v>1855</v>
      </c>
      <c r="M846" s="107">
        <v>553</v>
      </c>
      <c r="N846" s="107" t="s">
        <v>273</v>
      </c>
    </row>
    <row r="847" spans="1:14" x14ac:dyDescent="0.15">
      <c r="A847" s="107">
        <v>1701</v>
      </c>
      <c r="B847" s="107" t="s">
        <v>197</v>
      </c>
      <c r="C847" s="107" t="s">
        <v>271</v>
      </c>
      <c r="D847" s="107">
        <v>1</v>
      </c>
      <c r="E847" s="107" t="s">
        <v>204</v>
      </c>
      <c r="F847" s="107" t="s">
        <v>476</v>
      </c>
      <c r="G847" s="107">
        <v>10</v>
      </c>
      <c r="H847" s="107">
        <v>10</v>
      </c>
      <c r="I847" s="107">
        <v>0</v>
      </c>
      <c r="J847" s="107">
        <f t="shared" si="13"/>
        <v>10.5</v>
      </c>
      <c r="K847" s="107">
        <v>4047</v>
      </c>
      <c r="L847" s="107">
        <v>1855</v>
      </c>
      <c r="M847" s="107">
        <v>556</v>
      </c>
      <c r="N847" s="107" t="s">
        <v>273</v>
      </c>
    </row>
    <row r="848" spans="1:14" x14ac:dyDescent="0.15">
      <c r="A848" s="107">
        <v>1720</v>
      </c>
      <c r="B848" s="107" t="s">
        <v>253</v>
      </c>
      <c r="C848" s="107" t="s">
        <v>268</v>
      </c>
      <c r="D848" s="25">
        <v>1</v>
      </c>
      <c r="E848" s="107" t="s">
        <v>204</v>
      </c>
      <c r="F848" s="107" t="s">
        <v>477</v>
      </c>
      <c r="G848" s="107">
        <v>11</v>
      </c>
      <c r="H848" s="107">
        <v>8</v>
      </c>
      <c r="I848" s="107">
        <v>0</v>
      </c>
      <c r="J848" s="107">
        <f t="shared" si="13"/>
        <v>11.4</v>
      </c>
      <c r="K848" s="107">
        <v>5731</v>
      </c>
      <c r="L848" s="107"/>
      <c r="M848" s="107"/>
      <c r="N848" s="107"/>
    </row>
    <row r="849" spans="1:15" x14ac:dyDescent="0.15">
      <c r="A849" s="107">
        <v>1753</v>
      </c>
      <c r="B849" s="107" t="s">
        <v>196</v>
      </c>
      <c r="C849" s="107" t="s">
        <v>268</v>
      </c>
      <c r="D849" s="25">
        <v>0.5</v>
      </c>
      <c r="E849" s="107" t="s">
        <v>204</v>
      </c>
      <c r="F849" s="107" t="s">
        <v>478</v>
      </c>
      <c r="G849" s="107">
        <v>5</v>
      </c>
      <c r="H849" s="107">
        <v>8</v>
      </c>
      <c r="I849" s="107">
        <v>8</v>
      </c>
      <c r="J849" s="107">
        <f t="shared" si="13"/>
        <v>10.850000000000001</v>
      </c>
      <c r="K849" s="107">
        <v>6303</v>
      </c>
      <c r="L849" s="107"/>
      <c r="M849" s="107"/>
      <c r="N849" s="107"/>
      <c r="O849" s="107"/>
    </row>
    <row r="850" spans="1:15" x14ac:dyDescent="0.15">
      <c r="A850" s="107">
        <v>1770</v>
      </c>
      <c r="B850" s="107" t="s">
        <v>200</v>
      </c>
      <c r="C850" s="107" t="s">
        <v>268</v>
      </c>
      <c r="D850" s="25">
        <v>0.5</v>
      </c>
      <c r="E850" s="107" t="s">
        <v>204</v>
      </c>
      <c r="F850" s="107" t="s">
        <v>478</v>
      </c>
      <c r="G850" s="107">
        <v>4</v>
      </c>
      <c r="H850" s="107">
        <v>16</v>
      </c>
      <c r="I850" s="107">
        <v>8</v>
      </c>
      <c r="J850" s="107">
        <f t="shared" si="13"/>
        <v>9.65</v>
      </c>
      <c r="K850" s="107">
        <v>6535</v>
      </c>
      <c r="L850" s="107"/>
      <c r="M850" s="107"/>
      <c r="N850" s="107"/>
      <c r="O850" s="107"/>
    </row>
    <row r="851" spans="1:15" x14ac:dyDescent="0.15">
      <c r="A851" s="107">
        <v>1772</v>
      </c>
      <c r="B851" s="107" t="s">
        <v>197</v>
      </c>
      <c r="C851" s="107" t="s">
        <v>268</v>
      </c>
      <c r="D851" s="25">
        <v>2</v>
      </c>
      <c r="E851" s="107" t="s">
        <v>204</v>
      </c>
      <c r="F851" s="107" t="s">
        <v>478</v>
      </c>
      <c r="G851" s="107">
        <v>19</v>
      </c>
      <c r="H851" s="107">
        <v>17</v>
      </c>
      <c r="I851" s="107">
        <v>8</v>
      </c>
      <c r="J851" s="107">
        <f t="shared" si="13"/>
        <v>9.9375</v>
      </c>
      <c r="K851" s="107">
        <v>6551</v>
      </c>
      <c r="L851" s="107"/>
      <c r="M851" s="107"/>
      <c r="N851" s="107"/>
      <c r="O851" s="107"/>
    </row>
    <row r="852" spans="1:15" x14ac:dyDescent="0.15">
      <c r="A852" s="107">
        <v>1775</v>
      </c>
      <c r="B852" s="107" t="s">
        <v>196</v>
      </c>
      <c r="C852" s="107" t="s">
        <v>268</v>
      </c>
      <c r="D852" s="25">
        <v>0.5</v>
      </c>
      <c r="E852" s="107" t="s">
        <v>204</v>
      </c>
      <c r="F852" s="107" t="s">
        <v>478</v>
      </c>
      <c r="G852" s="107">
        <v>4</v>
      </c>
      <c r="H852" s="107">
        <v>15</v>
      </c>
      <c r="I852" s="107">
        <v>0</v>
      </c>
      <c r="J852" s="107">
        <f t="shared" si="13"/>
        <v>9.5</v>
      </c>
      <c r="K852" s="107">
        <v>6611</v>
      </c>
      <c r="L852" s="107"/>
      <c r="M852" s="107"/>
      <c r="N852" s="107"/>
      <c r="O852" s="107"/>
    </row>
    <row r="853" spans="1:15" x14ac:dyDescent="0.15">
      <c r="A853" s="107">
        <v>1776</v>
      </c>
      <c r="B853" s="107" t="s">
        <v>253</v>
      </c>
      <c r="C853" s="107" t="s">
        <v>268</v>
      </c>
      <c r="D853" s="25">
        <v>0.5</v>
      </c>
      <c r="E853" s="107" t="s">
        <v>204</v>
      </c>
      <c r="F853" s="107" t="s">
        <v>478</v>
      </c>
      <c r="G853" s="107">
        <v>4</v>
      </c>
      <c r="H853" s="107">
        <v>15</v>
      </c>
      <c r="I853" s="107">
        <v>0</v>
      </c>
      <c r="J853" s="107">
        <f t="shared" si="13"/>
        <v>9.5</v>
      </c>
      <c r="K853" s="107">
        <v>6627</v>
      </c>
      <c r="L853" s="107"/>
      <c r="M853" s="107"/>
      <c r="N853" s="107"/>
      <c r="O853" s="107"/>
    </row>
    <row r="854" spans="1:15" x14ac:dyDescent="0.15">
      <c r="A854" s="107">
        <v>1777</v>
      </c>
      <c r="B854" s="107" t="s">
        <v>253</v>
      </c>
      <c r="C854" s="107" t="s">
        <v>268</v>
      </c>
      <c r="D854" s="25">
        <v>0.5</v>
      </c>
      <c r="E854" s="107" t="s">
        <v>204</v>
      </c>
      <c r="F854" s="107" t="s">
        <v>478</v>
      </c>
      <c r="G854" s="107">
        <v>4</v>
      </c>
      <c r="H854" s="107">
        <v>15</v>
      </c>
      <c r="I854" s="107">
        <v>8</v>
      </c>
      <c r="J854" s="107">
        <f t="shared" si="13"/>
        <v>9.5500000000000007</v>
      </c>
      <c r="K854" s="107">
        <v>6643</v>
      </c>
      <c r="L854" s="107"/>
      <c r="M854" s="107"/>
      <c r="N854" s="107"/>
      <c r="O854" s="107"/>
    </row>
    <row r="855" spans="1:15" x14ac:dyDescent="0.15">
      <c r="A855" s="107">
        <v>1655</v>
      </c>
      <c r="B855" s="107" t="s">
        <v>197</v>
      </c>
      <c r="C855" s="107" t="s">
        <v>274</v>
      </c>
      <c r="D855" s="107">
        <v>1.75</v>
      </c>
      <c r="E855" s="107"/>
      <c r="F855" s="107" t="s">
        <v>479</v>
      </c>
      <c r="G855" s="107">
        <v>11</v>
      </c>
      <c r="H855" s="107">
        <v>2</v>
      </c>
      <c r="I855" s="107">
        <v>4</v>
      </c>
      <c r="J855" s="107">
        <f t="shared" si="13"/>
        <v>6.35</v>
      </c>
      <c r="K855" s="107">
        <v>3990</v>
      </c>
      <c r="L855" s="107">
        <v>1788</v>
      </c>
      <c r="M855" s="107">
        <v>203</v>
      </c>
      <c r="N855" s="107" t="s">
        <v>480</v>
      </c>
      <c r="O855" s="107"/>
    </row>
    <row r="856" spans="1:15" x14ac:dyDescent="0.15">
      <c r="A856" s="107">
        <v>1655</v>
      </c>
      <c r="B856" s="107" t="s">
        <v>261</v>
      </c>
      <c r="C856" s="107" t="s">
        <v>274</v>
      </c>
      <c r="D856" s="107">
        <v>3</v>
      </c>
      <c r="E856" s="107" t="s">
        <v>204</v>
      </c>
      <c r="F856" s="107" t="s">
        <v>479</v>
      </c>
      <c r="G856" s="107">
        <v>19</v>
      </c>
      <c r="H856" s="107">
        <v>1</v>
      </c>
      <c r="I856" s="107">
        <v>0</v>
      </c>
      <c r="J856" s="107">
        <f t="shared" si="13"/>
        <v>6.3500000000000005</v>
      </c>
      <c r="K856" s="107">
        <v>3990</v>
      </c>
      <c r="L856" s="107">
        <v>1788</v>
      </c>
      <c r="M856" s="107">
        <v>203</v>
      </c>
      <c r="N856" s="107" t="s">
        <v>481</v>
      </c>
      <c r="O856" s="107"/>
    </row>
    <row r="857" spans="1:15" x14ac:dyDescent="0.15">
      <c r="A857" s="107">
        <v>1655</v>
      </c>
      <c r="B857" s="107" t="s">
        <v>186</v>
      </c>
      <c r="C857" s="107" t="s">
        <v>274</v>
      </c>
      <c r="D857" s="107">
        <v>0.75</v>
      </c>
      <c r="E857" s="107" t="s">
        <v>204</v>
      </c>
      <c r="F857" s="107" t="s">
        <v>479</v>
      </c>
      <c r="G857" s="107">
        <v>4</v>
      </c>
      <c r="H857" s="107">
        <v>15</v>
      </c>
      <c r="I857" s="107">
        <v>4</v>
      </c>
      <c r="J857" s="107">
        <f t="shared" si="13"/>
        <v>6.3500000000000005</v>
      </c>
      <c r="K857" s="107">
        <v>3990</v>
      </c>
      <c r="L857" s="107">
        <v>1788</v>
      </c>
      <c r="M857" s="107">
        <v>203</v>
      </c>
      <c r="N857" s="107" t="s">
        <v>482</v>
      </c>
      <c r="O857" s="107"/>
    </row>
    <row r="858" spans="1:15" x14ac:dyDescent="0.15">
      <c r="A858" s="107">
        <v>1655</v>
      </c>
      <c r="B858" s="107" t="s">
        <v>196</v>
      </c>
      <c r="C858" s="107" t="s">
        <v>274</v>
      </c>
      <c r="D858" s="107">
        <v>0.25</v>
      </c>
      <c r="E858" s="107" t="s">
        <v>204</v>
      </c>
      <c r="F858" s="107" t="s">
        <v>479</v>
      </c>
      <c r="G858" s="107">
        <v>3</v>
      </c>
      <c r="H858" s="107">
        <v>3</v>
      </c>
      <c r="I858" s="107">
        <v>12</v>
      </c>
      <c r="J858" s="107">
        <f t="shared" si="13"/>
        <v>12.75</v>
      </c>
      <c r="K858" s="107">
        <v>3990</v>
      </c>
      <c r="L858" s="107">
        <v>1788</v>
      </c>
      <c r="M858" s="107">
        <v>206</v>
      </c>
      <c r="N858" s="107" t="s">
        <v>406</v>
      </c>
      <c r="O858" s="107" t="s">
        <v>277</v>
      </c>
    </row>
    <row r="859" spans="1:15" x14ac:dyDescent="0.15">
      <c r="A859" s="107">
        <v>1655</v>
      </c>
      <c r="B859" s="107" t="s">
        <v>260</v>
      </c>
      <c r="C859" s="107" t="s">
        <v>274</v>
      </c>
      <c r="D859" s="107">
        <v>6</v>
      </c>
      <c r="E859" s="107" t="s">
        <v>204</v>
      </c>
      <c r="F859" s="107" t="s">
        <v>479</v>
      </c>
      <c r="G859" s="107">
        <v>76</v>
      </c>
      <c r="H859" s="107">
        <v>10</v>
      </c>
      <c r="I859" s="107">
        <v>0</v>
      </c>
      <c r="J859" s="107">
        <f t="shared" si="13"/>
        <v>12.75</v>
      </c>
      <c r="K859" s="107">
        <v>3990</v>
      </c>
      <c r="L859" s="107">
        <v>1788</v>
      </c>
      <c r="M859" s="107">
        <v>207</v>
      </c>
      <c r="N859" s="107" t="s">
        <v>467</v>
      </c>
      <c r="O859" s="107" t="s">
        <v>277</v>
      </c>
    </row>
    <row r="860" spans="1:15" x14ac:dyDescent="0.15">
      <c r="A860" s="107">
        <v>1655</v>
      </c>
      <c r="B860" s="107" t="s">
        <v>247</v>
      </c>
      <c r="C860" s="107" t="s">
        <v>274</v>
      </c>
      <c r="D860" s="107">
        <v>3</v>
      </c>
      <c r="E860" s="107" t="s">
        <v>204</v>
      </c>
      <c r="F860" s="107" t="s">
        <v>479</v>
      </c>
      <c r="G860" s="107">
        <v>38</v>
      </c>
      <c r="H860" s="107">
        <v>5</v>
      </c>
      <c r="I860" s="107">
        <v>0</v>
      </c>
      <c r="J860" s="107">
        <f t="shared" si="13"/>
        <v>12.75</v>
      </c>
      <c r="K860" s="107">
        <v>3990</v>
      </c>
      <c r="L860" s="107">
        <v>1788</v>
      </c>
      <c r="M860" s="107">
        <v>207</v>
      </c>
      <c r="N860" s="107" t="s">
        <v>302</v>
      </c>
      <c r="O860" s="107" t="s">
        <v>277</v>
      </c>
    </row>
    <row r="861" spans="1:15" x14ac:dyDescent="0.15">
      <c r="A861" s="107">
        <v>1655</v>
      </c>
      <c r="B861" s="107" t="s">
        <v>247</v>
      </c>
      <c r="C861" s="107" t="s">
        <v>274</v>
      </c>
      <c r="D861" s="107">
        <v>0.25</v>
      </c>
      <c r="E861" s="107" t="s">
        <v>204</v>
      </c>
      <c r="F861" s="107" t="s">
        <v>479</v>
      </c>
      <c r="G861" s="107">
        <v>3</v>
      </c>
      <c r="H861" s="107">
        <v>3</v>
      </c>
      <c r="I861" s="107">
        <v>12</v>
      </c>
      <c r="J861" s="107">
        <f t="shared" si="13"/>
        <v>12.75</v>
      </c>
      <c r="K861" s="107">
        <v>3990</v>
      </c>
      <c r="L861" s="107">
        <v>1788</v>
      </c>
      <c r="M861" s="107">
        <v>207</v>
      </c>
      <c r="N861" s="107" t="s">
        <v>302</v>
      </c>
      <c r="O861" s="107" t="s">
        <v>277</v>
      </c>
    </row>
    <row r="862" spans="1:15" x14ac:dyDescent="0.15">
      <c r="A862" s="107">
        <v>1656</v>
      </c>
      <c r="B862" s="107" t="s">
        <v>283</v>
      </c>
      <c r="C862" s="107" t="s">
        <v>274</v>
      </c>
      <c r="D862" s="107">
        <v>2</v>
      </c>
      <c r="E862" s="107"/>
      <c r="F862" s="107" t="s">
        <v>483</v>
      </c>
      <c r="G862" s="107">
        <v>2</v>
      </c>
      <c r="H862" s="107">
        <v>10</v>
      </c>
      <c r="I862" s="107">
        <v>0</v>
      </c>
      <c r="J862" s="107">
        <f t="shared" si="13"/>
        <v>1.25</v>
      </c>
      <c r="K862" s="107">
        <v>3991</v>
      </c>
      <c r="L862" s="107">
        <v>1788</v>
      </c>
      <c r="M862" s="107">
        <v>150</v>
      </c>
      <c r="N862" s="107" t="s">
        <v>284</v>
      </c>
      <c r="O862" s="107"/>
    </row>
    <row r="863" spans="1:15" x14ac:dyDescent="0.15">
      <c r="A863" s="107">
        <v>1656</v>
      </c>
      <c r="B863" s="107" t="s">
        <v>283</v>
      </c>
      <c r="C863" s="107" t="s">
        <v>274</v>
      </c>
      <c r="D863" s="107">
        <v>4</v>
      </c>
      <c r="E863" s="107"/>
      <c r="F863" s="107" t="s">
        <v>484</v>
      </c>
      <c r="G863" s="107">
        <v>20</v>
      </c>
      <c r="H863" s="107">
        <v>0</v>
      </c>
      <c r="I863" s="107">
        <v>0</v>
      </c>
      <c r="J863" s="107">
        <f t="shared" si="13"/>
        <v>5</v>
      </c>
      <c r="K863" s="107">
        <v>3991</v>
      </c>
      <c r="L863" s="107">
        <v>1788</v>
      </c>
      <c r="M863" s="107">
        <v>150</v>
      </c>
      <c r="N863" s="107" t="s">
        <v>284</v>
      </c>
      <c r="O863" s="107"/>
    </row>
    <row r="864" spans="1:15" x14ac:dyDescent="0.15">
      <c r="A864" s="107">
        <v>1665</v>
      </c>
      <c r="B864" s="107" t="s">
        <v>244</v>
      </c>
      <c r="C864" s="107" t="s">
        <v>274</v>
      </c>
      <c r="D864" s="107">
        <v>4280</v>
      </c>
      <c r="E864" s="107" t="s">
        <v>193</v>
      </c>
      <c r="F864" s="107" t="s">
        <v>485</v>
      </c>
      <c r="G864" s="107">
        <v>385</v>
      </c>
      <c r="H864" s="107">
        <v>4</v>
      </c>
      <c r="I864" s="107">
        <v>0</v>
      </c>
      <c r="J864" s="107">
        <f t="shared" si="13"/>
        <v>0.09</v>
      </c>
      <c r="K864" s="107">
        <v>4000</v>
      </c>
      <c r="L864" s="107">
        <v>1798</v>
      </c>
      <c r="M864" s="107">
        <v>103</v>
      </c>
      <c r="N864" s="107"/>
      <c r="O864" s="107"/>
    </row>
    <row r="865" spans="1:14" x14ac:dyDescent="0.15">
      <c r="A865" s="107">
        <v>1666</v>
      </c>
      <c r="B865" s="107" t="s">
        <v>197</v>
      </c>
      <c r="C865" s="107" t="s">
        <v>274</v>
      </c>
      <c r="D865" s="107">
        <v>35878</v>
      </c>
      <c r="E865" s="107" t="s">
        <v>193</v>
      </c>
      <c r="F865" s="107" t="s">
        <v>485</v>
      </c>
      <c r="G865" s="107">
        <v>712</v>
      </c>
      <c r="H865" s="107">
        <v>8</v>
      </c>
      <c r="I865" s="107">
        <v>0</v>
      </c>
      <c r="J865" s="107">
        <f t="shared" si="13"/>
        <v>1.9856179274207034E-2</v>
      </c>
      <c r="K865" s="107">
        <v>4001</v>
      </c>
      <c r="L865" s="107">
        <v>1800</v>
      </c>
      <c r="M865" s="107">
        <v>40</v>
      </c>
      <c r="N865" s="107"/>
    </row>
    <row r="866" spans="1:14" x14ac:dyDescent="0.15">
      <c r="A866" s="107">
        <v>1667</v>
      </c>
      <c r="B866" s="107" t="s">
        <v>197</v>
      </c>
      <c r="C866" s="107" t="s">
        <v>274</v>
      </c>
      <c r="D866" s="107">
        <v>21155</v>
      </c>
      <c r="E866" s="107" t="s">
        <v>193</v>
      </c>
      <c r="F866" s="107" t="s">
        <v>485</v>
      </c>
      <c r="G866" s="107">
        <v>506</v>
      </c>
      <c r="H866" s="107">
        <v>7</v>
      </c>
      <c r="I866" s="107">
        <v>0</v>
      </c>
      <c r="J866" s="107">
        <f t="shared" si="13"/>
        <v>2.3935239896005673E-2</v>
      </c>
      <c r="K866" s="107">
        <v>4002</v>
      </c>
      <c r="L866" s="107">
        <v>1802</v>
      </c>
      <c r="M866" s="107">
        <v>761</v>
      </c>
      <c r="N866" s="107"/>
    </row>
    <row r="867" spans="1:14" x14ac:dyDescent="0.15">
      <c r="A867" s="107">
        <v>1669</v>
      </c>
      <c r="B867" s="107" t="s">
        <v>197</v>
      </c>
      <c r="C867" s="107" t="s">
        <v>274</v>
      </c>
      <c r="D867" s="107">
        <v>4000</v>
      </c>
      <c r="E867" s="107" t="s">
        <v>193</v>
      </c>
      <c r="F867" s="107" t="s">
        <v>485</v>
      </c>
      <c r="G867" s="107">
        <v>371</v>
      </c>
      <c r="H867" s="107">
        <v>15</v>
      </c>
      <c r="I867" s="107">
        <v>9</v>
      </c>
      <c r="J867" s="107">
        <f t="shared" si="13"/>
        <v>9.2944531250000004E-2</v>
      </c>
      <c r="K867" s="107">
        <v>4004</v>
      </c>
      <c r="L867" s="107">
        <v>1805</v>
      </c>
      <c r="M867" s="107">
        <v>558</v>
      </c>
      <c r="N867" s="107"/>
    </row>
    <row r="868" spans="1:14" x14ac:dyDescent="0.15">
      <c r="A868" s="107">
        <v>1670</v>
      </c>
      <c r="B868" s="107" t="s">
        <v>197</v>
      </c>
      <c r="C868" s="107" t="s">
        <v>274</v>
      </c>
      <c r="D868" s="107">
        <v>2031</v>
      </c>
      <c r="E868" s="107" t="s">
        <v>193</v>
      </c>
      <c r="F868" s="107" t="s">
        <v>485</v>
      </c>
      <c r="G868" s="107">
        <v>101</v>
      </c>
      <c r="H868" s="107">
        <v>11</v>
      </c>
      <c r="I868" s="107">
        <v>0</v>
      </c>
      <c r="J868" s="107">
        <f t="shared" si="13"/>
        <v>4.9999999999999996E-2</v>
      </c>
      <c r="K868" s="107">
        <v>4006</v>
      </c>
      <c r="L868" s="107">
        <v>1808</v>
      </c>
      <c r="M868" s="107">
        <v>635</v>
      </c>
      <c r="N868" s="107"/>
    </row>
    <row r="869" spans="1:14" x14ac:dyDescent="0.15">
      <c r="A869" s="107">
        <v>1677</v>
      </c>
      <c r="B869" s="107" t="s">
        <v>197</v>
      </c>
      <c r="C869" s="107" t="s">
        <v>274</v>
      </c>
      <c r="D869" s="107">
        <v>400</v>
      </c>
      <c r="E869" s="107" t="s">
        <v>193</v>
      </c>
      <c r="F869" s="107" t="s">
        <v>485</v>
      </c>
      <c r="G869" s="107">
        <v>28</v>
      </c>
      <c r="H869" s="107">
        <v>0</v>
      </c>
      <c r="I869" s="107">
        <v>0</v>
      </c>
      <c r="J869" s="107">
        <f t="shared" si="13"/>
        <v>7.0000000000000007E-2</v>
      </c>
      <c r="K869" s="107">
        <v>4013</v>
      </c>
      <c r="L869" s="107">
        <v>1816</v>
      </c>
      <c r="M869" s="107">
        <v>742</v>
      </c>
      <c r="N869" s="107"/>
    </row>
    <row r="870" spans="1:14" x14ac:dyDescent="0.15">
      <c r="A870" s="107">
        <v>1678</v>
      </c>
      <c r="B870" s="107" t="s">
        <v>196</v>
      </c>
      <c r="C870" s="107" t="s">
        <v>295</v>
      </c>
      <c r="D870" s="107">
        <v>585</v>
      </c>
      <c r="E870" s="107" t="s">
        <v>193</v>
      </c>
      <c r="F870" s="107" t="s">
        <v>485</v>
      </c>
      <c r="G870" s="107">
        <v>63</v>
      </c>
      <c r="H870" s="107">
        <v>3</v>
      </c>
      <c r="I870" s="107">
        <v>8</v>
      </c>
      <c r="J870" s="107">
        <f t="shared" si="13"/>
        <v>0.10799145299145299</v>
      </c>
      <c r="K870" s="107">
        <v>4014</v>
      </c>
      <c r="L870" s="107">
        <v>4903</v>
      </c>
      <c r="M870" s="107">
        <v>668</v>
      </c>
      <c r="N870" s="107"/>
    </row>
    <row r="871" spans="1:14" x14ac:dyDescent="0.15">
      <c r="A871" s="107">
        <v>1708</v>
      </c>
      <c r="B871" s="107" t="s">
        <v>253</v>
      </c>
      <c r="C871" s="107" t="s">
        <v>268</v>
      </c>
      <c r="D871" s="25">
        <v>1395</v>
      </c>
      <c r="E871" s="107" t="s">
        <v>193</v>
      </c>
      <c r="F871" s="107" t="s">
        <v>485</v>
      </c>
      <c r="G871" s="107">
        <v>87</v>
      </c>
      <c r="H871" s="107">
        <v>3</v>
      </c>
      <c r="I871" s="107">
        <v>8</v>
      </c>
      <c r="J871" s="107">
        <f t="shared" si="13"/>
        <v>6.2491039426523308E-2</v>
      </c>
      <c r="K871" s="107">
        <v>5571</v>
      </c>
      <c r="L871" s="107"/>
      <c r="M871" s="107"/>
      <c r="N871" s="107"/>
    </row>
    <row r="872" spans="1:14" x14ac:dyDescent="0.15">
      <c r="A872" s="107">
        <v>1716</v>
      </c>
      <c r="B872" s="107" t="s">
        <v>197</v>
      </c>
      <c r="C872" s="107" t="s">
        <v>268</v>
      </c>
      <c r="D872" s="25">
        <v>2200</v>
      </c>
      <c r="E872" s="107" t="s">
        <v>193</v>
      </c>
      <c r="F872" s="107" t="s">
        <v>485</v>
      </c>
      <c r="G872" s="107">
        <v>136</v>
      </c>
      <c r="H872" s="107">
        <v>8</v>
      </c>
      <c r="I872" s="107">
        <v>0</v>
      </c>
      <c r="J872" s="107">
        <f t="shared" si="13"/>
        <v>6.2E-2</v>
      </c>
      <c r="K872" s="107">
        <v>5670</v>
      </c>
      <c r="L872" s="107"/>
      <c r="M872" s="107"/>
      <c r="N872" s="107" t="s">
        <v>486</v>
      </c>
    </row>
    <row r="873" spans="1:14" x14ac:dyDescent="0.15">
      <c r="A873" s="107">
        <v>1717</v>
      </c>
      <c r="B873" s="107" t="s">
        <v>192</v>
      </c>
      <c r="C873" s="107" t="s">
        <v>268</v>
      </c>
      <c r="D873" s="25">
        <v>3030</v>
      </c>
      <c r="E873" s="107" t="s">
        <v>193</v>
      </c>
      <c r="F873" s="107" t="s">
        <v>485</v>
      </c>
      <c r="G873" s="107">
        <v>187</v>
      </c>
      <c r="H873" s="107">
        <v>17</v>
      </c>
      <c r="I873" s="107">
        <v>0</v>
      </c>
      <c r="J873" s="107">
        <f t="shared" si="13"/>
        <v>6.1996699669966994E-2</v>
      </c>
      <c r="K873" s="107">
        <v>5683</v>
      </c>
      <c r="L873" s="107"/>
      <c r="M873" s="107"/>
      <c r="N873" s="107" t="s">
        <v>486</v>
      </c>
    </row>
    <row r="874" spans="1:14" x14ac:dyDescent="0.15">
      <c r="A874" s="107">
        <v>1748</v>
      </c>
      <c r="B874" s="107" t="s">
        <v>260</v>
      </c>
      <c r="C874" s="107" t="s">
        <v>268</v>
      </c>
      <c r="D874" s="25">
        <v>1000</v>
      </c>
      <c r="E874" s="107" t="s">
        <v>193</v>
      </c>
      <c r="F874" s="107" t="s">
        <v>485</v>
      </c>
      <c r="G874" s="107">
        <v>48</v>
      </c>
      <c r="H874" s="107">
        <v>5</v>
      </c>
      <c r="I874" s="107">
        <v>8</v>
      </c>
      <c r="J874" s="107">
        <f t="shared" si="13"/>
        <v>4.8274999999999998E-2</v>
      </c>
      <c r="K874" s="107">
        <v>6218</v>
      </c>
      <c r="L874" s="107"/>
      <c r="M874" s="107"/>
      <c r="N874" s="107"/>
    </row>
    <row r="875" spans="1:14" x14ac:dyDescent="0.15">
      <c r="A875" s="107">
        <v>1759</v>
      </c>
      <c r="B875" s="107" t="s">
        <v>261</v>
      </c>
      <c r="C875" s="107" t="s">
        <v>268</v>
      </c>
      <c r="D875" s="25">
        <v>2000</v>
      </c>
      <c r="E875" s="107" t="s">
        <v>193</v>
      </c>
      <c r="F875" s="107" t="s">
        <v>485</v>
      </c>
      <c r="G875" s="107">
        <v>97</v>
      </c>
      <c r="H875" s="107">
        <v>11</v>
      </c>
      <c r="I875" s="107">
        <v>0</v>
      </c>
      <c r="J875" s="107">
        <f t="shared" si="13"/>
        <v>4.8774999999999999E-2</v>
      </c>
      <c r="K875" s="107">
        <v>6364</v>
      </c>
      <c r="L875" s="107"/>
      <c r="M875" s="107"/>
      <c r="N875" s="107"/>
    </row>
    <row r="876" spans="1:14" x14ac:dyDescent="0.15">
      <c r="A876" s="107">
        <v>1760</v>
      </c>
      <c r="B876" s="107" t="s">
        <v>244</v>
      </c>
      <c r="C876" s="107" t="s">
        <v>268</v>
      </c>
      <c r="D876" s="25">
        <v>1400</v>
      </c>
      <c r="E876" s="107" t="s">
        <v>193</v>
      </c>
      <c r="F876" s="107" t="s">
        <v>485</v>
      </c>
      <c r="G876" s="107">
        <v>68</v>
      </c>
      <c r="H876" s="107">
        <v>11</v>
      </c>
      <c r="I876" s="107">
        <v>0</v>
      </c>
      <c r="J876" s="107">
        <f t="shared" si="13"/>
        <v>4.896428571428571E-2</v>
      </c>
      <c r="K876" s="107">
        <v>6374</v>
      </c>
      <c r="L876" s="107"/>
      <c r="M876" s="107"/>
      <c r="N876" s="107"/>
    </row>
    <row r="877" spans="1:14" x14ac:dyDescent="0.15">
      <c r="A877" s="107">
        <v>1761</v>
      </c>
      <c r="B877" s="107" t="s">
        <v>260</v>
      </c>
      <c r="C877" s="107" t="s">
        <v>268</v>
      </c>
      <c r="D877" s="25">
        <v>1400</v>
      </c>
      <c r="E877" s="107" t="s">
        <v>193</v>
      </c>
      <c r="F877" s="107" t="s">
        <v>485</v>
      </c>
      <c r="G877" s="107">
        <v>68</v>
      </c>
      <c r="H877" s="107">
        <v>6</v>
      </c>
      <c r="I877" s="107">
        <v>0</v>
      </c>
      <c r="J877" s="107">
        <f t="shared" si="13"/>
        <v>4.8785714285714286E-2</v>
      </c>
      <c r="K877" s="107">
        <v>6388</v>
      </c>
      <c r="L877" s="107"/>
      <c r="M877" s="107"/>
      <c r="N877" s="107"/>
    </row>
    <row r="878" spans="1:14" x14ac:dyDescent="0.15">
      <c r="A878" s="107">
        <v>1761</v>
      </c>
      <c r="B878" s="107" t="s">
        <v>261</v>
      </c>
      <c r="C878" s="107" t="s">
        <v>268</v>
      </c>
      <c r="D878" s="25">
        <v>1400</v>
      </c>
      <c r="E878" s="107" t="s">
        <v>193</v>
      </c>
      <c r="F878" s="107" t="s">
        <v>485</v>
      </c>
      <c r="G878" s="107">
        <v>68</v>
      </c>
      <c r="H878" s="107">
        <v>6</v>
      </c>
      <c r="I878" s="107">
        <v>0</v>
      </c>
      <c r="J878" s="107">
        <f t="shared" si="13"/>
        <v>4.8785714285714286E-2</v>
      </c>
      <c r="K878" s="107">
        <v>6387</v>
      </c>
      <c r="L878" s="107"/>
      <c r="M878" s="107"/>
      <c r="N878" s="107"/>
    </row>
    <row r="879" spans="1:14" x14ac:dyDescent="0.15">
      <c r="A879" s="107">
        <v>1762</v>
      </c>
      <c r="B879" s="107" t="s">
        <v>261</v>
      </c>
      <c r="C879" s="107" t="s">
        <v>268</v>
      </c>
      <c r="D879" s="25">
        <v>1400</v>
      </c>
      <c r="E879" s="107" t="s">
        <v>193</v>
      </c>
      <c r="F879" s="107" t="s">
        <v>485</v>
      </c>
      <c r="G879" s="107">
        <v>68</v>
      </c>
      <c r="H879" s="107">
        <v>6</v>
      </c>
      <c r="I879" s="107">
        <v>0</v>
      </c>
      <c r="J879" s="107">
        <f t="shared" si="13"/>
        <v>4.8785714285714286E-2</v>
      </c>
      <c r="K879" s="107">
        <v>6394</v>
      </c>
      <c r="L879" s="107"/>
      <c r="M879" s="107"/>
      <c r="N879" s="107"/>
    </row>
    <row r="880" spans="1:14" x14ac:dyDescent="0.15">
      <c r="A880" s="107">
        <v>1763</v>
      </c>
      <c r="B880" s="107" t="s">
        <v>244</v>
      </c>
      <c r="C880" s="107" t="s">
        <v>268</v>
      </c>
      <c r="D880" s="25">
        <v>1400</v>
      </c>
      <c r="E880" s="107" t="s">
        <v>193</v>
      </c>
      <c r="F880" s="107" t="s">
        <v>485</v>
      </c>
      <c r="G880" s="107">
        <v>68</v>
      </c>
      <c r="H880" s="107">
        <v>6</v>
      </c>
      <c r="I880" s="107">
        <v>0</v>
      </c>
      <c r="J880" s="107">
        <f t="shared" ref="J880:J943" si="14">(G880+H880/20+I880/320)/D880</f>
        <v>4.8785714285714286E-2</v>
      </c>
      <c r="K880" s="107">
        <v>6413</v>
      </c>
      <c r="L880" s="107"/>
      <c r="M880" s="107"/>
      <c r="N880" s="107"/>
    </row>
    <row r="881" spans="1:14" x14ac:dyDescent="0.15">
      <c r="A881" s="107">
        <v>1764</v>
      </c>
      <c r="B881" s="107" t="s">
        <v>244</v>
      </c>
      <c r="C881" s="107" t="s">
        <v>268</v>
      </c>
      <c r="D881" s="25">
        <v>1400</v>
      </c>
      <c r="E881" s="107" t="s">
        <v>193</v>
      </c>
      <c r="F881" s="107" t="s">
        <v>485</v>
      </c>
      <c r="G881" s="107">
        <v>68</v>
      </c>
      <c r="H881" s="107">
        <v>6</v>
      </c>
      <c r="I881" s="107">
        <v>0</v>
      </c>
      <c r="J881" s="107">
        <f t="shared" si="14"/>
        <v>4.8785714285714286E-2</v>
      </c>
      <c r="K881" s="107">
        <v>6419</v>
      </c>
      <c r="L881" s="107"/>
      <c r="M881" s="107"/>
      <c r="N881" s="107"/>
    </row>
    <row r="882" spans="1:14" x14ac:dyDescent="0.15">
      <c r="A882" s="107">
        <v>1764</v>
      </c>
      <c r="B882" s="107" t="s">
        <v>261</v>
      </c>
      <c r="C882" s="107" t="s">
        <v>268</v>
      </c>
      <c r="D882" s="25">
        <v>1750</v>
      </c>
      <c r="E882" s="107" t="s">
        <v>193</v>
      </c>
      <c r="F882" s="107" t="s">
        <v>485</v>
      </c>
      <c r="G882" s="107">
        <v>85</v>
      </c>
      <c r="H882" s="107">
        <v>7</v>
      </c>
      <c r="I882" s="107">
        <v>8</v>
      </c>
      <c r="J882" s="107">
        <f t="shared" si="14"/>
        <v>4.8785714285714286E-2</v>
      </c>
      <c r="K882" s="107">
        <v>6423</v>
      </c>
      <c r="L882" s="107"/>
      <c r="M882" s="107"/>
      <c r="N882" s="107"/>
    </row>
    <row r="883" spans="1:14" x14ac:dyDescent="0.15">
      <c r="A883" s="107">
        <v>1773</v>
      </c>
      <c r="B883" s="107" t="s">
        <v>260</v>
      </c>
      <c r="C883" s="107" t="s">
        <v>268</v>
      </c>
      <c r="D883" s="25">
        <v>5000</v>
      </c>
      <c r="E883" s="107" t="s">
        <v>193</v>
      </c>
      <c r="F883" s="107" t="s">
        <v>485</v>
      </c>
      <c r="G883" s="107">
        <v>223</v>
      </c>
      <c r="H883" s="107">
        <v>12</v>
      </c>
      <c r="I883" s="107">
        <v>0</v>
      </c>
      <c r="J883" s="107">
        <f t="shared" si="14"/>
        <v>4.4719999999999996E-2</v>
      </c>
      <c r="K883" s="107">
        <v>6566</v>
      </c>
      <c r="L883" s="107"/>
      <c r="M883" s="107"/>
      <c r="N883" s="33" t="s">
        <v>487</v>
      </c>
    </row>
    <row r="884" spans="1:14" x14ac:dyDescent="0.15">
      <c r="A884" s="107">
        <v>1778</v>
      </c>
      <c r="B884" s="107" t="s">
        <v>192</v>
      </c>
      <c r="C884" s="107" t="s">
        <v>268</v>
      </c>
      <c r="D884" s="25">
        <v>5000</v>
      </c>
      <c r="E884" s="107" t="s">
        <v>193</v>
      </c>
      <c r="F884" s="107" t="s">
        <v>485</v>
      </c>
      <c r="G884" s="107">
        <v>223</v>
      </c>
      <c r="H884" s="107">
        <v>12</v>
      </c>
      <c r="I884" s="107">
        <v>0</v>
      </c>
      <c r="J884" s="107">
        <f t="shared" si="14"/>
        <v>4.4719999999999996E-2</v>
      </c>
      <c r="K884" s="107">
        <v>6663</v>
      </c>
      <c r="L884" s="107"/>
      <c r="M884" s="107"/>
      <c r="N884" s="107" t="s">
        <v>488</v>
      </c>
    </row>
    <row r="885" spans="1:14" x14ac:dyDescent="0.15">
      <c r="A885" s="107">
        <v>1780</v>
      </c>
      <c r="B885" s="107" t="s">
        <v>196</v>
      </c>
      <c r="C885" s="107" t="s">
        <v>268</v>
      </c>
      <c r="D885" s="25">
        <v>2500</v>
      </c>
      <c r="E885" s="107" t="s">
        <v>193</v>
      </c>
      <c r="F885" s="107" t="s">
        <v>485</v>
      </c>
      <c r="G885" s="107">
        <v>111</v>
      </c>
      <c r="H885" s="107">
        <v>16</v>
      </c>
      <c r="I885" s="107">
        <v>0</v>
      </c>
      <c r="J885" s="107">
        <f t="shared" si="14"/>
        <v>4.4719999999999996E-2</v>
      </c>
      <c r="K885" s="107">
        <v>6679</v>
      </c>
      <c r="L885" s="107"/>
      <c r="M885" s="107"/>
      <c r="N885" s="107"/>
    </row>
    <row r="886" spans="1:14" x14ac:dyDescent="0.15">
      <c r="A886" s="107">
        <v>1783</v>
      </c>
      <c r="B886" s="107" t="s">
        <v>261</v>
      </c>
      <c r="C886" s="107" t="s">
        <v>268</v>
      </c>
      <c r="D886" s="25">
        <v>5000</v>
      </c>
      <c r="E886" s="107" t="s">
        <v>193</v>
      </c>
      <c r="F886" s="107" t="s">
        <v>485</v>
      </c>
      <c r="G886" s="107">
        <v>223</v>
      </c>
      <c r="H886" s="107">
        <v>18</v>
      </c>
      <c r="I886" s="107">
        <v>0</v>
      </c>
      <c r="J886" s="107">
        <f t="shared" si="14"/>
        <v>4.478E-2</v>
      </c>
      <c r="K886" s="107">
        <v>6701</v>
      </c>
      <c r="L886" s="107"/>
      <c r="M886" s="107"/>
      <c r="N886" s="107"/>
    </row>
    <row r="887" spans="1:14" x14ac:dyDescent="0.15">
      <c r="A887" s="107">
        <v>1784</v>
      </c>
      <c r="B887" s="107" t="s">
        <v>261</v>
      </c>
      <c r="C887" s="107" t="s">
        <v>268</v>
      </c>
      <c r="D887" s="25">
        <v>1400</v>
      </c>
      <c r="E887" s="107" t="s">
        <v>193</v>
      </c>
      <c r="F887" s="107" t="s">
        <v>485</v>
      </c>
      <c r="G887" s="107">
        <v>62</v>
      </c>
      <c r="H887" s="107">
        <v>7</v>
      </c>
      <c r="I887" s="107">
        <v>0</v>
      </c>
      <c r="J887" s="107">
        <f t="shared" si="14"/>
        <v>4.453571428571429E-2</v>
      </c>
      <c r="K887" s="25">
        <v>6705</v>
      </c>
      <c r="L887" s="107"/>
      <c r="M887" s="107"/>
      <c r="N887" s="107"/>
    </row>
    <row r="888" spans="1:14" x14ac:dyDescent="0.15">
      <c r="A888" s="107">
        <v>1786</v>
      </c>
      <c r="B888" s="107" t="s">
        <v>261</v>
      </c>
      <c r="C888" s="107" t="s">
        <v>268</v>
      </c>
      <c r="D888" s="25">
        <v>2900</v>
      </c>
      <c r="E888" s="107" t="s">
        <v>193</v>
      </c>
      <c r="F888" s="107" t="s">
        <v>485</v>
      </c>
      <c r="G888" s="107">
        <v>129</v>
      </c>
      <c r="H888" s="107">
        <v>13</v>
      </c>
      <c r="I888" s="107">
        <v>8</v>
      </c>
      <c r="J888" s="107">
        <f t="shared" si="14"/>
        <v>4.4715517241379316E-2</v>
      </c>
      <c r="K888" s="107">
        <v>6746</v>
      </c>
      <c r="L888" s="107"/>
      <c r="M888" s="107"/>
      <c r="N888" s="107"/>
    </row>
    <row r="889" spans="1:14" x14ac:dyDescent="0.15">
      <c r="A889" s="107">
        <v>1788</v>
      </c>
      <c r="B889" s="107" t="s">
        <v>236</v>
      </c>
      <c r="C889" s="107" t="s">
        <v>268</v>
      </c>
      <c r="D889" s="25">
        <v>300</v>
      </c>
      <c r="E889" s="107" t="s">
        <v>193</v>
      </c>
      <c r="F889" s="107" t="s">
        <v>485</v>
      </c>
      <c r="G889" s="107">
        <v>13</v>
      </c>
      <c r="H889" s="107">
        <v>8</v>
      </c>
      <c r="I889" s="107">
        <v>8</v>
      </c>
      <c r="J889" s="107">
        <f t="shared" si="14"/>
        <v>4.4750000000000005E-2</v>
      </c>
      <c r="K889" s="25">
        <v>6786</v>
      </c>
      <c r="L889" s="107"/>
      <c r="M889" s="107"/>
      <c r="N889" s="107"/>
    </row>
    <row r="890" spans="1:14" x14ac:dyDescent="0.15">
      <c r="A890" s="107">
        <v>1789</v>
      </c>
      <c r="B890" s="107" t="s">
        <v>226</v>
      </c>
      <c r="C890" s="107" t="s">
        <v>268</v>
      </c>
      <c r="D890" s="25">
        <v>500</v>
      </c>
      <c r="E890" s="107" t="s">
        <v>193</v>
      </c>
      <c r="F890" s="107" t="s">
        <v>485</v>
      </c>
      <c r="G890" s="107">
        <v>44</v>
      </c>
      <c r="H890" s="107">
        <v>0</v>
      </c>
      <c r="I890" s="107">
        <v>0</v>
      </c>
      <c r="J890" s="107">
        <f t="shared" si="14"/>
        <v>8.7999999999999995E-2</v>
      </c>
      <c r="K890" s="25">
        <v>6785</v>
      </c>
      <c r="L890" s="107"/>
      <c r="M890" s="107"/>
      <c r="N890" s="107"/>
    </row>
    <row r="891" spans="1:14" x14ac:dyDescent="0.15">
      <c r="A891" s="107">
        <v>1790</v>
      </c>
      <c r="B891" s="107" t="s">
        <v>226</v>
      </c>
      <c r="C891" s="107" t="s">
        <v>268</v>
      </c>
      <c r="D891" s="25">
        <v>406</v>
      </c>
      <c r="E891" s="107" t="s">
        <v>193</v>
      </c>
      <c r="F891" s="107" t="s">
        <v>485</v>
      </c>
      <c r="G891" s="107">
        <v>17</v>
      </c>
      <c r="H891" s="107">
        <v>18</v>
      </c>
      <c r="I891" s="107">
        <v>0</v>
      </c>
      <c r="J891" s="107">
        <f t="shared" si="14"/>
        <v>4.4088669950738915E-2</v>
      </c>
      <c r="K891" s="25">
        <v>6790</v>
      </c>
      <c r="L891" s="107"/>
      <c r="M891" s="107"/>
      <c r="N891" s="107"/>
    </row>
    <row r="892" spans="1:14" x14ac:dyDescent="0.15">
      <c r="A892" s="107">
        <v>1791</v>
      </c>
      <c r="B892" s="107" t="s">
        <v>196</v>
      </c>
      <c r="C892" s="107" t="s">
        <v>268</v>
      </c>
      <c r="D892" s="25">
        <v>400</v>
      </c>
      <c r="E892" s="107" t="s">
        <v>193</v>
      </c>
      <c r="F892" s="107" t="s">
        <v>485</v>
      </c>
      <c r="G892" s="107">
        <v>17</v>
      </c>
      <c r="H892" s="107">
        <v>18</v>
      </c>
      <c r="I892" s="107">
        <v>0</v>
      </c>
      <c r="J892" s="107">
        <f t="shared" si="14"/>
        <v>4.4749999999999998E-2</v>
      </c>
      <c r="K892" s="107">
        <v>6805</v>
      </c>
      <c r="L892" s="107"/>
      <c r="M892" s="107"/>
      <c r="N892" s="107"/>
    </row>
    <row r="893" spans="1:14" x14ac:dyDescent="0.15">
      <c r="A893" s="107">
        <v>1791</v>
      </c>
      <c r="B893" s="107" t="s">
        <v>197</v>
      </c>
      <c r="C893" s="107" t="s">
        <v>268</v>
      </c>
      <c r="D893" s="25">
        <v>400</v>
      </c>
      <c r="E893" s="107" t="s">
        <v>193</v>
      </c>
      <c r="F893" s="107" t="s">
        <v>485</v>
      </c>
      <c r="G893" s="107">
        <v>17</v>
      </c>
      <c r="H893" s="107">
        <v>18</v>
      </c>
      <c r="I893" s="107">
        <v>0</v>
      </c>
      <c r="J893" s="107">
        <f t="shared" si="14"/>
        <v>4.4749999999999998E-2</v>
      </c>
      <c r="K893" s="107">
        <v>6804</v>
      </c>
      <c r="L893" s="107"/>
      <c r="M893" s="107"/>
      <c r="N893" s="107"/>
    </row>
    <row r="894" spans="1:14" x14ac:dyDescent="0.15">
      <c r="A894" s="107">
        <v>1792</v>
      </c>
      <c r="B894" s="107" t="s">
        <v>196</v>
      </c>
      <c r="C894" s="107" t="s">
        <v>268</v>
      </c>
      <c r="D894" s="25">
        <v>400</v>
      </c>
      <c r="E894" s="107" t="s">
        <v>193</v>
      </c>
      <c r="F894" s="107" t="s">
        <v>485</v>
      </c>
      <c r="G894" s="107">
        <v>17</v>
      </c>
      <c r="H894" s="107">
        <v>18</v>
      </c>
      <c r="I894" s="107">
        <v>0</v>
      </c>
      <c r="J894" s="107">
        <f t="shared" si="14"/>
        <v>4.4749999999999998E-2</v>
      </c>
      <c r="K894" s="107">
        <v>6811</v>
      </c>
      <c r="L894" s="107"/>
      <c r="M894" s="107"/>
      <c r="N894" s="107"/>
    </row>
    <row r="895" spans="1:14" x14ac:dyDescent="0.15">
      <c r="A895" s="107">
        <v>1793</v>
      </c>
      <c r="B895" s="107" t="s">
        <v>192</v>
      </c>
      <c r="C895" s="107" t="s">
        <v>268</v>
      </c>
      <c r="D895" s="25">
        <v>364</v>
      </c>
      <c r="E895" s="107" t="s">
        <v>193</v>
      </c>
      <c r="F895" s="107" t="s">
        <v>485</v>
      </c>
      <c r="G895" s="107">
        <v>15</v>
      </c>
      <c r="H895" s="107">
        <v>3</v>
      </c>
      <c r="I895" s="107">
        <v>8</v>
      </c>
      <c r="J895" s="107">
        <f t="shared" si="14"/>
        <v>4.1689560439560444E-2</v>
      </c>
      <c r="K895" s="107">
        <v>6826</v>
      </c>
      <c r="L895" s="107"/>
      <c r="M895" s="107"/>
      <c r="N895" s="107"/>
    </row>
    <row r="896" spans="1:14" x14ac:dyDescent="0.15">
      <c r="A896" s="107">
        <v>1793</v>
      </c>
      <c r="B896" s="107" t="s">
        <v>247</v>
      </c>
      <c r="C896" s="107" t="s">
        <v>270</v>
      </c>
      <c r="D896" s="25">
        <v>350</v>
      </c>
      <c r="E896" s="107" t="s">
        <v>193</v>
      </c>
      <c r="F896" s="107" t="s">
        <v>485</v>
      </c>
      <c r="G896" s="107">
        <v>14</v>
      </c>
      <c r="H896" s="107">
        <v>12</v>
      </c>
      <c r="I896" s="107">
        <v>0</v>
      </c>
      <c r="J896" s="107">
        <f t="shared" si="14"/>
        <v>4.1714285714285711E-2</v>
      </c>
      <c r="K896" s="107">
        <v>6826</v>
      </c>
      <c r="L896" s="107"/>
      <c r="M896" s="107"/>
      <c r="N896" s="107"/>
    </row>
    <row r="897" spans="1:15" x14ac:dyDescent="0.15">
      <c r="A897" s="107">
        <v>1794</v>
      </c>
      <c r="B897" s="107" t="s">
        <v>260</v>
      </c>
      <c r="C897" s="107" t="s">
        <v>270</v>
      </c>
      <c r="D897" s="25">
        <v>600</v>
      </c>
      <c r="E897" s="107" t="s">
        <v>193</v>
      </c>
      <c r="F897" s="107" t="s">
        <v>485</v>
      </c>
      <c r="G897" s="107">
        <v>25</v>
      </c>
      <c r="H897" s="107">
        <v>0</v>
      </c>
      <c r="I897" s="107">
        <v>8</v>
      </c>
      <c r="J897" s="107">
        <f t="shared" si="14"/>
        <v>4.1708333333333333E-2</v>
      </c>
      <c r="K897" s="107">
        <v>6840</v>
      </c>
      <c r="L897" s="107"/>
      <c r="M897" s="107"/>
      <c r="N897" s="107" t="s">
        <v>489</v>
      </c>
      <c r="O897" s="107"/>
    </row>
    <row r="898" spans="1:15" x14ac:dyDescent="0.15">
      <c r="A898" s="107">
        <v>1655</v>
      </c>
      <c r="B898" s="107" t="s">
        <v>196</v>
      </c>
      <c r="C898" s="107" t="s">
        <v>274</v>
      </c>
      <c r="D898" s="107">
        <v>1</v>
      </c>
      <c r="E898" s="107" t="s">
        <v>414</v>
      </c>
      <c r="F898" s="107" t="s">
        <v>490</v>
      </c>
      <c r="G898" s="107">
        <v>1</v>
      </c>
      <c r="H898" s="107">
        <v>4</v>
      </c>
      <c r="I898" s="107">
        <v>0</v>
      </c>
      <c r="J898" s="107">
        <f t="shared" si="14"/>
        <v>1.2</v>
      </c>
      <c r="K898" s="107">
        <v>3990</v>
      </c>
      <c r="L898" s="107">
        <v>1788</v>
      </c>
      <c r="M898" s="107">
        <v>206</v>
      </c>
      <c r="N898" s="107" t="s">
        <v>406</v>
      </c>
      <c r="O898" s="107" t="s">
        <v>277</v>
      </c>
    </row>
    <row r="899" spans="1:15" x14ac:dyDescent="0.15">
      <c r="A899" s="107">
        <v>1655</v>
      </c>
      <c r="B899" s="107" t="s">
        <v>196</v>
      </c>
      <c r="C899" s="107" t="s">
        <v>274</v>
      </c>
      <c r="D899" s="107">
        <v>6</v>
      </c>
      <c r="E899" s="107" t="s">
        <v>407</v>
      </c>
      <c r="F899" s="107" t="s">
        <v>490</v>
      </c>
      <c r="G899" s="107">
        <v>0</v>
      </c>
      <c r="H899" s="107">
        <v>12</v>
      </c>
      <c r="I899" s="107">
        <v>0</v>
      </c>
      <c r="J899" s="107">
        <f t="shared" si="14"/>
        <v>9.9999999999999992E-2</v>
      </c>
      <c r="K899" s="107">
        <v>3990</v>
      </c>
      <c r="L899" s="107">
        <v>1788</v>
      </c>
      <c r="M899" s="107">
        <v>206</v>
      </c>
      <c r="N899" s="107" t="s">
        <v>406</v>
      </c>
      <c r="O899" s="107" t="s">
        <v>277</v>
      </c>
    </row>
    <row r="900" spans="1:15" x14ac:dyDescent="0.15">
      <c r="A900" s="107">
        <v>1659</v>
      </c>
      <c r="B900" s="107" t="s">
        <v>197</v>
      </c>
      <c r="C900" s="107" t="s">
        <v>274</v>
      </c>
      <c r="D900" s="107">
        <v>60</v>
      </c>
      <c r="E900" s="107" t="s">
        <v>204</v>
      </c>
      <c r="F900" s="107" t="s">
        <v>491</v>
      </c>
      <c r="G900" s="107">
        <v>13</v>
      </c>
      <c r="H900" s="107">
        <v>17</v>
      </c>
      <c r="I900" s="107">
        <v>0</v>
      </c>
      <c r="J900" s="107">
        <f t="shared" si="14"/>
        <v>0.23083333333333333</v>
      </c>
      <c r="K900" s="107">
        <v>3993</v>
      </c>
      <c r="L900" s="107">
        <v>1792</v>
      </c>
      <c r="M900" s="107">
        <v>167</v>
      </c>
      <c r="N900" s="107" t="s">
        <v>317</v>
      </c>
      <c r="O900" s="107"/>
    </row>
    <row r="901" spans="1:15" x14ac:dyDescent="0.15">
      <c r="A901" s="107">
        <v>1700</v>
      </c>
      <c r="B901" s="107" t="s">
        <v>200</v>
      </c>
      <c r="C901" s="107" t="s">
        <v>271</v>
      </c>
      <c r="D901" s="107">
        <v>460</v>
      </c>
      <c r="E901" s="107" t="s">
        <v>193</v>
      </c>
      <c r="F901" s="107" t="s">
        <v>492</v>
      </c>
      <c r="G901" s="107">
        <v>34</v>
      </c>
      <c r="H901" s="107">
        <v>10</v>
      </c>
      <c r="I901" s="107">
        <v>0</v>
      </c>
      <c r="J901" s="107">
        <f t="shared" si="14"/>
        <v>7.4999999999999997E-2</v>
      </c>
      <c r="K901" s="107">
        <v>4047</v>
      </c>
      <c r="L901" s="107">
        <v>1855</v>
      </c>
      <c r="M901" s="107">
        <v>530</v>
      </c>
      <c r="N901" s="107" t="s">
        <v>272</v>
      </c>
      <c r="O901" s="107"/>
    </row>
    <row r="902" spans="1:15" x14ac:dyDescent="0.15">
      <c r="A902" s="107">
        <v>1658</v>
      </c>
      <c r="B902" s="107" t="s">
        <v>197</v>
      </c>
      <c r="C902" s="107" t="s">
        <v>274</v>
      </c>
      <c r="D902" s="107">
        <v>4</v>
      </c>
      <c r="E902" s="107" t="s">
        <v>333</v>
      </c>
      <c r="F902" s="107" t="s">
        <v>493</v>
      </c>
      <c r="G902" s="107">
        <v>192</v>
      </c>
      <c r="H902" s="107">
        <v>0</v>
      </c>
      <c r="I902" s="107">
        <v>0</v>
      </c>
      <c r="J902" s="107">
        <f t="shared" si="14"/>
        <v>48</v>
      </c>
      <c r="K902" s="107">
        <v>3993</v>
      </c>
      <c r="L902" s="107">
        <v>1791</v>
      </c>
      <c r="M902" s="107">
        <v>273</v>
      </c>
      <c r="N902" s="107"/>
      <c r="O902" s="107"/>
    </row>
    <row r="903" spans="1:15" x14ac:dyDescent="0.15">
      <c r="A903" s="107">
        <v>1659</v>
      </c>
      <c r="B903" s="107" t="s">
        <v>197</v>
      </c>
      <c r="C903" s="107" t="s">
        <v>274</v>
      </c>
      <c r="D903" s="107">
        <v>2</v>
      </c>
      <c r="E903" s="107" t="s">
        <v>188</v>
      </c>
      <c r="F903" s="107" t="s">
        <v>493</v>
      </c>
      <c r="G903" s="107">
        <v>8</v>
      </c>
      <c r="H903" s="107">
        <v>10</v>
      </c>
      <c r="I903" s="107">
        <v>0</v>
      </c>
      <c r="J903" s="107">
        <f t="shared" si="14"/>
        <v>4.25</v>
      </c>
      <c r="K903" s="107">
        <v>3994</v>
      </c>
      <c r="L903" s="107">
        <v>1792</v>
      </c>
      <c r="M903" s="107">
        <v>324</v>
      </c>
      <c r="N903" s="107"/>
      <c r="O903" s="107"/>
    </row>
    <row r="904" spans="1:15" x14ac:dyDescent="0.15">
      <c r="A904" s="107">
        <v>1660</v>
      </c>
      <c r="B904" s="107" t="s">
        <v>197</v>
      </c>
      <c r="C904" s="107" t="s">
        <v>274</v>
      </c>
      <c r="D904" s="107">
        <v>32.75</v>
      </c>
      <c r="E904" s="107" t="s">
        <v>188</v>
      </c>
      <c r="F904" s="107" t="s">
        <v>493</v>
      </c>
      <c r="G904" s="107">
        <v>131</v>
      </c>
      <c r="H904" s="107">
        <v>0</v>
      </c>
      <c r="I904" s="107">
        <v>0</v>
      </c>
      <c r="J904" s="107">
        <f t="shared" si="14"/>
        <v>4</v>
      </c>
      <c r="K904" s="107">
        <v>3995</v>
      </c>
      <c r="L904" s="107">
        <v>1793</v>
      </c>
      <c r="M904" s="107">
        <v>196</v>
      </c>
      <c r="N904" s="107"/>
      <c r="O904" s="107"/>
    </row>
    <row r="905" spans="1:15" x14ac:dyDescent="0.15">
      <c r="A905" s="107">
        <v>1661</v>
      </c>
      <c r="B905" s="107" t="s">
        <v>197</v>
      </c>
      <c r="C905" s="107" t="s">
        <v>274</v>
      </c>
      <c r="D905" s="107">
        <v>7.8125</v>
      </c>
      <c r="E905" s="107" t="s">
        <v>188</v>
      </c>
      <c r="F905" s="107" t="s">
        <v>493</v>
      </c>
      <c r="G905" s="107">
        <v>27</v>
      </c>
      <c r="H905" s="107">
        <v>6</v>
      </c>
      <c r="I905" s="107">
        <v>14</v>
      </c>
      <c r="J905" s="107">
        <f t="shared" si="14"/>
        <v>3.5</v>
      </c>
      <c r="K905" s="107">
        <v>3996</v>
      </c>
      <c r="L905" s="107">
        <v>1794</v>
      </c>
      <c r="M905" s="107" t="s">
        <v>290</v>
      </c>
      <c r="N905" s="107"/>
      <c r="O905" s="107"/>
    </row>
    <row r="906" spans="1:15" x14ac:dyDescent="0.15">
      <c r="A906" s="107">
        <v>1662</v>
      </c>
      <c r="B906" s="107" t="s">
        <v>197</v>
      </c>
      <c r="C906" s="107" t="s">
        <v>274</v>
      </c>
      <c r="D906" s="107">
        <v>17.5</v>
      </c>
      <c r="E906" s="107" t="s">
        <v>188</v>
      </c>
      <c r="F906" s="107" t="s">
        <v>493</v>
      </c>
      <c r="G906" s="107">
        <v>61</v>
      </c>
      <c r="H906" s="107">
        <v>5</v>
      </c>
      <c r="I906" s="107">
        <v>0</v>
      </c>
      <c r="J906" s="107">
        <f t="shared" si="14"/>
        <v>3.5</v>
      </c>
      <c r="K906" s="107">
        <v>3997</v>
      </c>
      <c r="L906" s="107">
        <v>1795</v>
      </c>
      <c r="M906" s="107">
        <v>303</v>
      </c>
      <c r="N906" s="107"/>
      <c r="O906" s="107"/>
    </row>
    <row r="907" spans="1:15" x14ac:dyDescent="0.15">
      <c r="A907" s="107">
        <v>1663</v>
      </c>
      <c r="B907" s="107" t="s">
        <v>197</v>
      </c>
      <c r="C907" s="107" t="s">
        <v>274</v>
      </c>
      <c r="D907" s="107">
        <v>1.5</v>
      </c>
      <c r="E907" s="107" t="s">
        <v>188</v>
      </c>
      <c r="F907" s="107" t="s">
        <v>493</v>
      </c>
      <c r="G907" s="107">
        <v>5</v>
      </c>
      <c r="H907" s="107">
        <v>5</v>
      </c>
      <c r="I907" s="107">
        <v>0</v>
      </c>
      <c r="J907" s="107">
        <f t="shared" si="14"/>
        <v>3.5</v>
      </c>
      <c r="K907" s="107">
        <v>3998</v>
      </c>
      <c r="L907" s="107">
        <v>1797</v>
      </c>
      <c r="M907" s="107" t="s">
        <v>290</v>
      </c>
      <c r="N907" s="107"/>
      <c r="O907" s="107"/>
    </row>
    <row r="908" spans="1:15" x14ac:dyDescent="0.15">
      <c r="A908" s="107">
        <v>1672</v>
      </c>
      <c r="B908" s="107" t="s">
        <v>196</v>
      </c>
      <c r="C908" s="107" t="s">
        <v>274</v>
      </c>
      <c r="D908" s="107">
        <v>0.5</v>
      </c>
      <c r="E908" s="107" t="s">
        <v>188</v>
      </c>
      <c r="F908" s="107" t="s">
        <v>493</v>
      </c>
      <c r="G908" s="107">
        <v>3</v>
      </c>
      <c r="H908" s="107">
        <v>10</v>
      </c>
      <c r="I908" s="107">
        <v>0</v>
      </c>
      <c r="J908" s="107">
        <f t="shared" si="14"/>
        <v>7</v>
      </c>
      <c r="K908" s="107">
        <v>4008</v>
      </c>
      <c r="L908" s="107">
        <v>1810</v>
      </c>
      <c r="M908" s="107">
        <v>511</v>
      </c>
      <c r="N908" s="107"/>
      <c r="O908" s="107"/>
    </row>
    <row r="909" spans="1:15" x14ac:dyDescent="0.15">
      <c r="A909" s="107">
        <v>1674</v>
      </c>
      <c r="B909" s="107" t="s">
        <v>197</v>
      </c>
      <c r="C909" s="107" t="s">
        <v>274</v>
      </c>
      <c r="D909" s="107">
        <v>4</v>
      </c>
      <c r="E909" s="107" t="s">
        <v>188</v>
      </c>
      <c r="F909" s="107" t="s">
        <v>493</v>
      </c>
      <c r="G909" s="107">
        <v>28</v>
      </c>
      <c r="H909" s="107">
        <v>0</v>
      </c>
      <c r="I909" s="107">
        <v>0</v>
      </c>
      <c r="J909" s="107">
        <f t="shared" si="14"/>
        <v>7</v>
      </c>
      <c r="K909" s="107">
        <v>4011</v>
      </c>
      <c r="L909" s="107">
        <v>1814</v>
      </c>
      <c r="M909" s="107">
        <v>597</v>
      </c>
      <c r="N909" s="107" t="s">
        <v>294</v>
      </c>
      <c r="O909" s="107"/>
    </row>
    <row r="910" spans="1:15" x14ac:dyDescent="0.15">
      <c r="A910" s="107">
        <v>1682</v>
      </c>
      <c r="B910" s="107" t="s">
        <v>200</v>
      </c>
      <c r="C910" s="107" t="s">
        <v>271</v>
      </c>
      <c r="D910" s="107">
        <v>7</v>
      </c>
      <c r="E910" s="107" t="s">
        <v>336</v>
      </c>
      <c r="F910" s="107" t="s">
        <v>493</v>
      </c>
      <c r="G910" s="107">
        <v>21</v>
      </c>
      <c r="H910" s="107">
        <v>0</v>
      </c>
      <c r="I910" s="107">
        <v>0</v>
      </c>
      <c r="J910" s="107">
        <f t="shared" si="14"/>
        <v>3</v>
      </c>
      <c r="K910" s="107">
        <v>4018</v>
      </c>
      <c r="L910" s="107">
        <v>1820</v>
      </c>
      <c r="M910" s="107">
        <v>821</v>
      </c>
      <c r="N910" s="107" t="s">
        <v>273</v>
      </c>
      <c r="O910" s="107"/>
    </row>
    <row r="911" spans="1:15" x14ac:dyDescent="0.15">
      <c r="A911" s="107">
        <v>1683</v>
      </c>
      <c r="B911" s="107" t="s">
        <v>197</v>
      </c>
      <c r="C911" s="107" t="s">
        <v>271</v>
      </c>
      <c r="D911" s="107">
        <v>4</v>
      </c>
      <c r="E911" s="107" t="s">
        <v>188</v>
      </c>
      <c r="F911" s="107" t="s">
        <v>493</v>
      </c>
      <c r="G911" s="107">
        <v>16</v>
      </c>
      <c r="H911" s="107">
        <v>0</v>
      </c>
      <c r="I911" s="107">
        <v>0</v>
      </c>
      <c r="J911" s="107">
        <f t="shared" si="14"/>
        <v>4</v>
      </c>
      <c r="K911" s="107">
        <v>4019</v>
      </c>
      <c r="L911" s="107">
        <v>1822</v>
      </c>
      <c r="M911" s="107">
        <v>600</v>
      </c>
      <c r="N911" s="107"/>
      <c r="O911" s="107"/>
    </row>
    <row r="912" spans="1:15" x14ac:dyDescent="0.15">
      <c r="A912" s="107">
        <v>1659</v>
      </c>
      <c r="B912" s="107" t="s">
        <v>197</v>
      </c>
      <c r="C912" s="107" t="s">
        <v>274</v>
      </c>
      <c r="D912" s="107">
        <v>2.4</v>
      </c>
      <c r="E912" s="107" t="s">
        <v>204</v>
      </c>
      <c r="F912" s="107" t="s">
        <v>494</v>
      </c>
      <c r="G912" s="107">
        <v>111</v>
      </c>
      <c r="H912" s="107">
        <v>0</v>
      </c>
      <c r="I912" s="107">
        <v>0</v>
      </c>
      <c r="J912" s="107">
        <f t="shared" si="14"/>
        <v>46.25</v>
      </c>
      <c r="K912" s="107">
        <v>3993</v>
      </c>
      <c r="L912" s="107">
        <v>1792</v>
      </c>
      <c r="M912" s="107">
        <v>167</v>
      </c>
      <c r="N912" s="107" t="s">
        <v>317</v>
      </c>
      <c r="O912" s="107"/>
    </row>
    <row r="913" spans="1:15" x14ac:dyDescent="0.15">
      <c r="A913" s="107">
        <v>1655</v>
      </c>
      <c r="B913" s="107" t="s">
        <v>197</v>
      </c>
      <c r="C913" s="107" t="s">
        <v>274</v>
      </c>
      <c r="D913" s="107">
        <v>6</v>
      </c>
      <c r="E913" s="107" t="s">
        <v>204</v>
      </c>
      <c r="F913" s="107" t="s">
        <v>495</v>
      </c>
      <c r="G913" s="107">
        <v>3</v>
      </c>
      <c r="H913" s="107">
        <v>10</v>
      </c>
      <c r="I913" s="107">
        <v>2</v>
      </c>
      <c r="J913" s="107">
        <f t="shared" si="14"/>
        <v>0.58437499999999998</v>
      </c>
      <c r="K913" s="107">
        <v>3990</v>
      </c>
      <c r="L913" s="107">
        <v>1788</v>
      </c>
      <c r="M913" s="107">
        <v>203</v>
      </c>
      <c r="N913" s="107"/>
      <c r="O913" s="107"/>
    </row>
    <row r="914" spans="1:15" x14ac:dyDescent="0.15">
      <c r="A914" s="107">
        <v>1655</v>
      </c>
      <c r="B914" s="107" t="s">
        <v>260</v>
      </c>
      <c r="C914" s="107" t="s">
        <v>274</v>
      </c>
      <c r="D914" s="107">
        <v>50</v>
      </c>
      <c r="E914" s="107" t="s">
        <v>204</v>
      </c>
      <c r="F914" s="107" t="s">
        <v>495</v>
      </c>
      <c r="G914" s="107">
        <v>63</v>
      </c>
      <c r="H914" s="107">
        <v>15</v>
      </c>
      <c r="I914" s="107">
        <v>0</v>
      </c>
      <c r="J914" s="107">
        <f t="shared" si="14"/>
        <v>1.2749999999999999</v>
      </c>
      <c r="K914" s="107">
        <v>3990</v>
      </c>
      <c r="L914" s="107">
        <v>1788</v>
      </c>
      <c r="M914" s="107">
        <v>207</v>
      </c>
      <c r="N914" s="107" t="s">
        <v>467</v>
      </c>
      <c r="O914" s="107" t="s">
        <v>277</v>
      </c>
    </row>
    <row r="915" spans="1:15" x14ac:dyDescent="0.15">
      <c r="A915" s="107">
        <v>1655</v>
      </c>
      <c r="B915" s="107" t="s">
        <v>247</v>
      </c>
      <c r="C915" s="107" t="s">
        <v>274</v>
      </c>
      <c r="D915" s="107">
        <v>2</v>
      </c>
      <c r="E915" s="107"/>
      <c r="F915" s="107" t="s">
        <v>495</v>
      </c>
      <c r="G915" s="107">
        <v>2</v>
      </c>
      <c r="H915" s="107">
        <v>11</v>
      </c>
      <c r="I915" s="107">
        <v>0</v>
      </c>
      <c r="J915" s="107">
        <f t="shared" si="14"/>
        <v>1.2749999999999999</v>
      </c>
      <c r="K915" s="107">
        <v>3990</v>
      </c>
      <c r="L915" s="107">
        <v>1788</v>
      </c>
      <c r="M915" s="107">
        <v>207</v>
      </c>
      <c r="N915" s="107" t="s">
        <v>302</v>
      </c>
      <c r="O915" s="107" t="s">
        <v>277</v>
      </c>
    </row>
    <row r="916" spans="1:15" x14ac:dyDescent="0.15">
      <c r="A916" s="107">
        <v>1655</v>
      </c>
      <c r="B916" s="107" t="s">
        <v>226</v>
      </c>
      <c r="C916" s="107" t="s">
        <v>274</v>
      </c>
      <c r="D916" s="107">
        <v>150</v>
      </c>
      <c r="E916" s="107" t="s">
        <v>204</v>
      </c>
      <c r="F916" s="107" t="s">
        <v>495</v>
      </c>
      <c r="G916" s="107">
        <v>180</v>
      </c>
      <c r="H916" s="107">
        <v>0</v>
      </c>
      <c r="I916" s="107">
        <v>0</v>
      </c>
      <c r="J916" s="107">
        <f t="shared" si="14"/>
        <v>1.2</v>
      </c>
      <c r="K916" s="107">
        <v>3990</v>
      </c>
      <c r="L916" s="107">
        <v>1788</v>
      </c>
      <c r="M916" s="107">
        <v>208</v>
      </c>
      <c r="N916" s="107" t="s">
        <v>276</v>
      </c>
      <c r="O916" s="107" t="s">
        <v>277</v>
      </c>
    </row>
    <row r="917" spans="1:15" x14ac:dyDescent="0.15">
      <c r="A917" s="107">
        <v>1655</v>
      </c>
      <c r="B917" s="107" t="s">
        <v>186</v>
      </c>
      <c r="C917" s="107" t="s">
        <v>274</v>
      </c>
      <c r="D917" s="107">
        <v>2</v>
      </c>
      <c r="E917" s="107"/>
      <c r="F917" s="107" t="s">
        <v>495</v>
      </c>
      <c r="G917" s="107">
        <v>2</v>
      </c>
      <c r="H917" s="107">
        <v>8</v>
      </c>
      <c r="I917" s="107">
        <v>0</v>
      </c>
      <c r="J917" s="107">
        <f t="shared" si="14"/>
        <v>1.2</v>
      </c>
      <c r="K917" s="107">
        <v>3990</v>
      </c>
      <c r="L917" s="107">
        <v>1788</v>
      </c>
      <c r="M917" s="107">
        <v>228</v>
      </c>
      <c r="N917" s="107" t="s">
        <v>287</v>
      </c>
      <c r="O917" s="107" t="s">
        <v>397</v>
      </c>
    </row>
    <row r="918" spans="1:15" x14ac:dyDescent="0.15">
      <c r="A918" s="107">
        <v>1656</v>
      </c>
      <c r="B918" s="107" t="s">
        <v>283</v>
      </c>
      <c r="C918" s="107" t="s">
        <v>274</v>
      </c>
      <c r="D918" s="107">
        <v>308</v>
      </c>
      <c r="E918" s="107" t="s">
        <v>204</v>
      </c>
      <c r="F918" s="107" t="s">
        <v>495</v>
      </c>
      <c r="G918" s="107">
        <v>369</v>
      </c>
      <c r="H918" s="107">
        <v>12</v>
      </c>
      <c r="I918" s="107">
        <v>0</v>
      </c>
      <c r="J918" s="107">
        <f t="shared" si="14"/>
        <v>1.2000000000000002</v>
      </c>
      <c r="K918" s="107">
        <v>3991</v>
      </c>
      <c r="L918" s="107">
        <v>1788</v>
      </c>
      <c r="M918" s="107">
        <v>149</v>
      </c>
      <c r="N918" s="107" t="s">
        <v>284</v>
      </c>
      <c r="O918" s="107"/>
    </row>
    <row r="919" spans="1:15" x14ac:dyDescent="0.15">
      <c r="A919" s="107">
        <v>1656</v>
      </c>
      <c r="B919" s="107" t="s">
        <v>197</v>
      </c>
      <c r="C919" s="107" t="s">
        <v>274</v>
      </c>
      <c r="D919" s="107">
        <v>308</v>
      </c>
      <c r="E919" s="107" t="s">
        <v>204</v>
      </c>
      <c r="F919" s="107" t="s">
        <v>495</v>
      </c>
      <c r="G919" s="107">
        <v>369</v>
      </c>
      <c r="H919" s="107">
        <v>12</v>
      </c>
      <c r="I919" s="107">
        <v>0</v>
      </c>
      <c r="J919" s="107">
        <f t="shared" si="14"/>
        <v>1.2000000000000002</v>
      </c>
      <c r="K919" s="107">
        <v>3991</v>
      </c>
      <c r="L919" s="107">
        <v>1788</v>
      </c>
      <c r="M919" s="107">
        <v>149</v>
      </c>
      <c r="N919" s="107"/>
      <c r="O919" s="107"/>
    </row>
    <row r="920" spans="1:15" x14ac:dyDescent="0.15">
      <c r="A920" s="107">
        <v>1655</v>
      </c>
      <c r="B920" s="107" t="s">
        <v>197</v>
      </c>
      <c r="C920" s="107" t="s">
        <v>274</v>
      </c>
      <c r="D920" s="107">
        <v>2</v>
      </c>
      <c r="E920" s="107"/>
      <c r="F920" s="107" t="s">
        <v>496</v>
      </c>
      <c r="G920" s="107">
        <v>7</v>
      </c>
      <c r="H920" s="107">
        <v>0</v>
      </c>
      <c r="I920" s="107">
        <v>0</v>
      </c>
      <c r="J920" s="107">
        <f t="shared" si="14"/>
        <v>3.5</v>
      </c>
      <c r="K920" s="107">
        <v>3990</v>
      </c>
      <c r="L920" s="107">
        <v>1788</v>
      </c>
      <c r="M920" s="107">
        <v>203</v>
      </c>
      <c r="N920" s="107"/>
      <c r="O920" s="107"/>
    </row>
    <row r="921" spans="1:15" x14ac:dyDescent="0.15">
      <c r="A921" s="107">
        <v>1655</v>
      </c>
      <c r="B921" s="107" t="s">
        <v>236</v>
      </c>
      <c r="C921" s="107" t="s">
        <v>274</v>
      </c>
      <c r="D921" s="107">
        <v>3</v>
      </c>
      <c r="E921" s="107"/>
      <c r="F921" s="107" t="s">
        <v>496</v>
      </c>
      <c r="G921" s="107">
        <v>10</v>
      </c>
      <c r="H921" s="107">
        <v>10</v>
      </c>
      <c r="I921" s="107">
        <v>0</v>
      </c>
      <c r="J921" s="107">
        <f t="shared" si="14"/>
        <v>3.5</v>
      </c>
      <c r="K921" s="107">
        <v>3990</v>
      </c>
      <c r="L921" s="107">
        <v>1788</v>
      </c>
      <c r="M921" s="107">
        <v>203</v>
      </c>
      <c r="N921" s="107"/>
      <c r="O921" s="107"/>
    </row>
    <row r="922" spans="1:15" x14ac:dyDescent="0.15">
      <c r="A922" s="107">
        <v>1655</v>
      </c>
      <c r="B922" s="107" t="s">
        <v>197</v>
      </c>
      <c r="C922" s="107" t="s">
        <v>274</v>
      </c>
      <c r="D922" s="107">
        <v>2</v>
      </c>
      <c r="E922" s="107" t="s">
        <v>204</v>
      </c>
      <c r="F922" s="107" t="s">
        <v>496</v>
      </c>
      <c r="G922" s="107">
        <v>7</v>
      </c>
      <c r="H922" s="107">
        <v>0</v>
      </c>
      <c r="I922" s="107">
        <v>0</v>
      </c>
      <c r="J922" s="107">
        <f t="shared" si="14"/>
        <v>3.5</v>
      </c>
      <c r="K922" s="107">
        <v>3990</v>
      </c>
      <c r="L922" s="107">
        <v>1788</v>
      </c>
      <c r="M922" s="107">
        <v>211</v>
      </c>
      <c r="N922" s="107" t="s">
        <v>497</v>
      </c>
      <c r="O922" s="107" t="s">
        <v>498</v>
      </c>
    </row>
    <row r="923" spans="1:15" x14ac:dyDescent="0.15">
      <c r="A923" s="107">
        <v>1656</v>
      </c>
      <c r="B923" s="107" t="s">
        <v>283</v>
      </c>
      <c r="C923" s="107" t="s">
        <v>274</v>
      </c>
      <c r="D923" s="107">
        <v>10</v>
      </c>
      <c r="E923" s="107" t="s">
        <v>204</v>
      </c>
      <c r="F923" s="107" t="s">
        <v>496</v>
      </c>
      <c r="G923" s="107">
        <v>35</v>
      </c>
      <c r="H923" s="107">
        <v>0</v>
      </c>
      <c r="I923" s="107">
        <v>0</v>
      </c>
      <c r="J923" s="107">
        <f t="shared" si="14"/>
        <v>3.5</v>
      </c>
      <c r="K923" s="107">
        <v>3991</v>
      </c>
      <c r="L923" s="107">
        <v>1788</v>
      </c>
      <c r="M923" s="107">
        <v>149</v>
      </c>
      <c r="N923" s="107" t="s">
        <v>284</v>
      </c>
      <c r="O923" s="107"/>
    </row>
    <row r="924" spans="1:15" x14ac:dyDescent="0.15">
      <c r="A924" s="107">
        <v>1656</v>
      </c>
      <c r="B924" s="107" t="s">
        <v>253</v>
      </c>
      <c r="C924" s="107" t="s">
        <v>274</v>
      </c>
      <c r="D924" s="107">
        <v>36</v>
      </c>
      <c r="E924" s="107" t="s">
        <v>204</v>
      </c>
      <c r="F924" s="107" t="s">
        <v>496</v>
      </c>
      <c r="G924" s="107">
        <v>135</v>
      </c>
      <c r="H924" s="107">
        <v>0</v>
      </c>
      <c r="I924" s="107">
        <v>0</v>
      </c>
      <c r="J924" s="107">
        <f t="shared" si="14"/>
        <v>3.75</v>
      </c>
      <c r="K924" s="107">
        <v>3991</v>
      </c>
      <c r="L924" s="107">
        <v>1788</v>
      </c>
      <c r="M924" s="107">
        <v>151</v>
      </c>
      <c r="N924" s="107" t="s">
        <v>383</v>
      </c>
      <c r="O924" s="107"/>
    </row>
    <row r="925" spans="1:15" x14ac:dyDescent="0.15">
      <c r="A925" s="107">
        <v>1659</v>
      </c>
      <c r="B925" s="107" t="s">
        <v>197</v>
      </c>
      <c r="C925" s="107" t="s">
        <v>274</v>
      </c>
      <c r="D925" s="107">
        <v>133</v>
      </c>
      <c r="E925" s="107" t="s">
        <v>204</v>
      </c>
      <c r="F925" s="107" t="s">
        <v>496</v>
      </c>
      <c r="G925" s="107">
        <v>542</v>
      </c>
      <c r="H925" s="107">
        <v>19</v>
      </c>
      <c r="I925" s="107">
        <v>9</v>
      </c>
      <c r="J925" s="107">
        <f t="shared" si="14"/>
        <v>4.0825422932330833</v>
      </c>
      <c r="K925" s="107">
        <v>3993</v>
      </c>
      <c r="L925" s="107">
        <v>1792</v>
      </c>
      <c r="M925" s="107">
        <v>167</v>
      </c>
      <c r="N925" s="107" t="s">
        <v>317</v>
      </c>
      <c r="O925" s="107"/>
    </row>
    <row r="926" spans="1:15" x14ac:dyDescent="0.15">
      <c r="A926" s="107">
        <v>1656</v>
      </c>
      <c r="B926" s="107" t="s">
        <v>253</v>
      </c>
      <c r="C926" s="107" t="s">
        <v>274</v>
      </c>
      <c r="D926" s="107">
        <v>81</v>
      </c>
      <c r="E926" s="107" t="s">
        <v>204</v>
      </c>
      <c r="F926" s="107" t="s">
        <v>499</v>
      </c>
      <c r="G926" s="107">
        <v>299</v>
      </c>
      <c r="H926" s="107">
        <v>2</v>
      </c>
      <c r="I926" s="107">
        <v>0</v>
      </c>
      <c r="J926" s="107">
        <f t="shared" si="14"/>
        <v>3.6925925925925931</v>
      </c>
      <c r="K926" s="107">
        <v>3991</v>
      </c>
      <c r="L926" s="107">
        <v>1788</v>
      </c>
      <c r="M926" s="107">
        <v>151</v>
      </c>
      <c r="N926" s="107" t="s">
        <v>383</v>
      </c>
      <c r="O926" s="107"/>
    </row>
    <row r="927" spans="1:15" x14ac:dyDescent="0.15">
      <c r="A927" s="107">
        <v>1656</v>
      </c>
      <c r="B927" s="107" t="s">
        <v>283</v>
      </c>
      <c r="C927" s="107" t="s">
        <v>274</v>
      </c>
      <c r="D927" s="107">
        <v>12</v>
      </c>
      <c r="E927" s="107"/>
      <c r="F927" s="107" t="s">
        <v>500</v>
      </c>
      <c r="G927" s="107">
        <v>12</v>
      </c>
      <c r="H927" s="107">
        <v>0</v>
      </c>
      <c r="I927" s="107">
        <v>0</v>
      </c>
      <c r="J927" s="107">
        <f t="shared" si="14"/>
        <v>1</v>
      </c>
      <c r="K927" s="107">
        <v>3991</v>
      </c>
      <c r="L927" s="107">
        <v>1788</v>
      </c>
      <c r="M927" s="107">
        <v>150</v>
      </c>
      <c r="N927" s="107" t="s">
        <v>284</v>
      </c>
      <c r="O927" s="107"/>
    </row>
    <row r="928" spans="1:15" x14ac:dyDescent="0.15">
      <c r="A928" s="107">
        <v>1656</v>
      </c>
      <c r="B928" s="107" t="s">
        <v>283</v>
      </c>
      <c r="C928" s="107" t="s">
        <v>274</v>
      </c>
      <c r="D928" s="107">
        <v>2</v>
      </c>
      <c r="E928" s="107"/>
      <c r="F928" s="107" t="s">
        <v>501</v>
      </c>
      <c r="G928" s="107">
        <v>5</v>
      </c>
      <c r="H928" s="107">
        <v>0</v>
      </c>
      <c r="I928" s="107">
        <v>0</v>
      </c>
      <c r="J928" s="107">
        <f t="shared" si="14"/>
        <v>2.5</v>
      </c>
      <c r="K928" s="107">
        <v>3991</v>
      </c>
      <c r="L928" s="107">
        <v>1788</v>
      </c>
      <c r="M928" s="107">
        <v>150</v>
      </c>
      <c r="N928" s="107" t="s">
        <v>284</v>
      </c>
      <c r="O928" s="107"/>
    </row>
    <row r="929" spans="1:15" x14ac:dyDescent="0.15">
      <c r="A929" s="107">
        <v>1666</v>
      </c>
      <c r="B929" s="107" t="s">
        <v>196</v>
      </c>
      <c r="C929" s="107" t="s">
        <v>274</v>
      </c>
      <c r="D929" s="107">
        <v>50</v>
      </c>
      <c r="E929" s="107" t="s">
        <v>193</v>
      </c>
      <c r="F929" s="107" t="s">
        <v>502</v>
      </c>
      <c r="G929" s="107">
        <v>5</v>
      </c>
      <c r="H929" s="107">
        <v>12</v>
      </c>
      <c r="I929" s="107">
        <v>8</v>
      </c>
      <c r="J929" s="107">
        <f t="shared" si="14"/>
        <v>0.1125</v>
      </c>
      <c r="K929" s="107">
        <v>4001</v>
      </c>
      <c r="L929" s="107">
        <v>1800</v>
      </c>
      <c r="M929" s="107">
        <v>47</v>
      </c>
      <c r="N929" s="107"/>
      <c r="O929" s="107"/>
    </row>
    <row r="930" spans="1:15" x14ac:dyDescent="0.15">
      <c r="A930" s="107">
        <v>1661</v>
      </c>
      <c r="B930" s="107" t="s">
        <v>197</v>
      </c>
      <c r="C930" s="107" t="s">
        <v>274</v>
      </c>
      <c r="D930" s="107">
        <v>70.09375</v>
      </c>
      <c r="E930" s="107" t="s">
        <v>193</v>
      </c>
      <c r="F930" s="107" t="s">
        <v>503</v>
      </c>
      <c r="G930" s="107">
        <v>946</v>
      </c>
      <c r="H930" s="107">
        <v>5</v>
      </c>
      <c r="I930" s="107">
        <v>5</v>
      </c>
      <c r="J930" s="107">
        <f t="shared" si="14"/>
        <v>13.5</v>
      </c>
      <c r="K930" s="107">
        <v>3996</v>
      </c>
      <c r="L930" s="107">
        <v>1794</v>
      </c>
      <c r="M930" s="107" t="s">
        <v>290</v>
      </c>
      <c r="N930" s="107"/>
      <c r="O930" s="107"/>
    </row>
    <row r="931" spans="1:15" x14ac:dyDescent="0.15">
      <c r="A931" s="107">
        <v>1663</v>
      </c>
      <c r="B931" s="107" t="s">
        <v>197</v>
      </c>
      <c r="C931" s="107" t="s">
        <v>274</v>
      </c>
      <c r="D931" s="107">
        <v>28</v>
      </c>
      <c r="E931" s="107" t="s">
        <v>193</v>
      </c>
      <c r="F931" s="107" t="s">
        <v>503</v>
      </c>
      <c r="G931" s="107">
        <v>378</v>
      </c>
      <c r="H931" s="107">
        <v>0</v>
      </c>
      <c r="I931" s="107">
        <v>0</v>
      </c>
      <c r="J931" s="107">
        <f t="shared" si="14"/>
        <v>13.5</v>
      </c>
      <c r="K931" s="107">
        <v>3998</v>
      </c>
      <c r="L931" s="107">
        <v>1797</v>
      </c>
      <c r="M931" s="107" t="s">
        <v>290</v>
      </c>
      <c r="N931" s="107"/>
      <c r="O931" s="107"/>
    </row>
    <row r="932" spans="1:15" x14ac:dyDescent="0.15">
      <c r="A932" s="107">
        <v>1667</v>
      </c>
      <c r="B932" s="107" t="s">
        <v>197</v>
      </c>
      <c r="C932" s="107" t="s">
        <v>274</v>
      </c>
      <c r="D932" s="107">
        <v>77.5625</v>
      </c>
      <c r="E932" s="107" t="s">
        <v>193</v>
      </c>
      <c r="F932" s="107" t="s">
        <v>503</v>
      </c>
      <c r="G932" s="107">
        <v>837</v>
      </c>
      <c r="H932" s="107">
        <v>13</v>
      </c>
      <c r="I932" s="107">
        <v>8</v>
      </c>
      <c r="J932" s="107">
        <f t="shared" si="14"/>
        <v>10.799999999999999</v>
      </c>
      <c r="K932" s="107">
        <v>4002</v>
      </c>
      <c r="L932" s="107">
        <v>1802</v>
      </c>
      <c r="M932" s="107">
        <v>760</v>
      </c>
      <c r="N932" s="107"/>
      <c r="O932" s="107"/>
    </row>
    <row r="933" spans="1:15" x14ac:dyDescent="0.15">
      <c r="A933" s="107">
        <v>1691</v>
      </c>
      <c r="B933" s="107" t="s">
        <v>244</v>
      </c>
      <c r="C933" s="107" t="s">
        <v>271</v>
      </c>
      <c r="D933" s="107">
        <v>1</v>
      </c>
      <c r="E933" s="107" t="s">
        <v>324</v>
      </c>
      <c r="F933" s="107" t="s">
        <v>504</v>
      </c>
      <c r="G933" s="107">
        <v>26</v>
      </c>
      <c r="H933" s="107">
        <v>10</v>
      </c>
      <c r="I933" s="107">
        <v>0</v>
      </c>
      <c r="J933" s="107">
        <f t="shared" si="14"/>
        <v>26.5</v>
      </c>
      <c r="K933" s="107">
        <v>4028</v>
      </c>
      <c r="L933" s="107">
        <v>1834</v>
      </c>
      <c r="M933" s="107">
        <v>379</v>
      </c>
      <c r="N933" s="107"/>
      <c r="O933" s="107"/>
    </row>
    <row r="934" spans="1:15" x14ac:dyDescent="0.15">
      <c r="A934" s="107">
        <v>1655</v>
      </c>
      <c r="B934" s="107" t="s">
        <v>226</v>
      </c>
      <c r="C934" s="107" t="s">
        <v>274</v>
      </c>
      <c r="D934" s="107">
        <v>3</v>
      </c>
      <c r="E934" s="107" t="s">
        <v>505</v>
      </c>
      <c r="F934" s="107" t="s">
        <v>506</v>
      </c>
      <c r="G934" s="107">
        <v>150</v>
      </c>
      <c r="H934" s="107">
        <v>0</v>
      </c>
      <c r="I934" s="107">
        <v>0</v>
      </c>
      <c r="J934" s="107">
        <f t="shared" si="14"/>
        <v>50</v>
      </c>
      <c r="K934" s="107">
        <v>3990</v>
      </c>
      <c r="L934" s="107">
        <v>1788</v>
      </c>
      <c r="M934" s="107">
        <v>208</v>
      </c>
      <c r="N934" s="107" t="s">
        <v>276</v>
      </c>
      <c r="O934" s="107" t="s">
        <v>277</v>
      </c>
    </row>
    <row r="935" spans="1:15" x14ac:dyDescent="0.15">
      <c r="A935" s="107">
        <v>1655</v>
      </c>
      <c r="B935" s="107" t="s">
        <v>192</v>
      </c>
      <c r="C935" s="107" t="s">
        <v>274</v>
      </c>
      <c r="D935" s="107">
        <v>1</v>
      </c>
      <c r="E935" s="107" t="s">
        <v>505</v>
      </c>
      <c r="F935" s="107" t="s">
        <v>506</v>
      </c>
      <c r="G935" s="107">
        <v>50</v>
      </c>
      <c r="H935" s="107">
        <v>0</v>
      </c>
      <c r="I935" s="107">
        <v>0</v>
      </c>
      <c r="J935" s="107">
        <f t="shared" si="14"/>
        <v>50</v>
      </c>
      <c r="K935" s="107">
        <v>3990</v>
      </c>
      <c r="L935" s="107">
        <v>1788</v>
      </c>
      <c r="M935" s="107">
        <v>227</v>
      </c>
      <c r="N935" s="107" t="s">
        <v>287</v>
      </c>
      <c r="O935" s="107" t="s">
        <v>507</v>
      </c>
    </row>
    <row r="936" spans="1:15" x14ac:dyDescent="0.15">
      <c r="A936" s="107">
        <v>1669</v>
      </c>
      <c r="B936" s="107" t="s">
        <v>196</v>
      </c>
      <c r="C936" s="107" t="s">
        <v>274</v>
      </c>
      <c r="D936" s="107">
        <v>9</v>
      </c>
      <c r="E936" s="107" t="s">
        <v>193</v>
      </c>
      <c r="F936" s="107" t="s">
        <v>508</v>
      </c>
      <c r="G936" s="107">
        <v>9</v>
      </c>
      <c r="H936" s="107">
        <v>0</v>
      </c>
      <c r="I936" s="107">
        <v>0</v>
      </c>
      <c r="J936" s="107">
        <f t="shared" si="14"/>
        <v>1</v>
      </c>
      <c r="K936" s="107">
        <v>4004</v>
      </c>
      <c r="L936" s="107">
        <v>1805</v>
      </c>
      <c r="M936" s="107">
        <v>570</v>
      </c>
      <c r="N936" s="107"/>
      <c r="O936" s="107"/>
    </row>
    <row r="937" spans="1:15" x14ac:dyDescent="0.15">
      <c r="A937" s="107">
        <v>1681</v>
      </c>
      <c r="B937" s="107" t="s">
        <v>244</v>
      </c>
      <c r="C937" s="107" t="s">
        <v>271</v>
      </c>
      <c r="D937" s="107">
        <v>2</v>
      </c>
      <c r="E937" s="107" t="s">
        <v>193</v>
      </c>
      <c r="F937" s="107" t="s">
        <v>508</v>
      </c>
      <c r="G937" s="107">
        <v>0</v>
      </c>
      <c r="H937" s="107">
        <v>4</v>
      </c>
      <c r="I937" s="107">
        <v>12</v>
      </c>
      <c r="J937" s="107">
        <f t="shared" si="14"/>
        <v>0.11875000000000001</v>
      </c>
      <c r="K937" s="107">
        <v>4017</v>
      </c>
      <c r="L937" s="107">
        <v>1819</v>
      </c>
      <c r="M937" s="107">
        <v>471</v>
      </c>
      <c r="N937" s="107"/>
      <c r="O937" s="107"/>
    </row>
    <row r="938" spans="1:15" x14ac:dyDescent="0.15">
      <c r="A938" s="107">
        <v>1685</v>
      </c>
      <c r="B938" s="107" t="s">
        <v>197</v>
      </c>
      <c r="C938" s="107" t="s">
        <v>271</v>
      </c>
      <c r="D938" s="107">
        <v>52</v>
      </c>
      <c r="E938" s="107" t="s">
        <v>193</v>
      </c>
      <c r="F938" s="107" t="s">
        <v>508</v>
      </c>
      <c r="G938" s="107">
        <v>39</v>
      </c>
      <c r="H938" s="107">
        <v>0</v>
      </c>
      <c r="I938" s="107">
        <v>0</v>
      </c>
      <c r="J938" s="107">
        <f t="shared" si="14"/>
        <v>0.75</v>
      </c>
      <c r="K938" s="107">
        <v>4022</v>
      </c>
      <c r="L938" s="107">
        <v>1827</v>
      </c>
      <c r="M938" s="107">
        <v>609</v>
      </c>
      <c r="N938" s="107"/>
      <c r="O938" s="107"/>
    </row>
    <row r="939" spans="1:15" x14ac:dyDescent="0.15">
      <c r="A939" s="107">
        <v>1682</v>
      </c>
      <c r="B939" s="107" t="s">
        <v>197</v>
      </c>
      <c r="C939" s="107" t="s">
        <v>271</v>
      </c>
      <c r="D939" s="107">
        <v>2</v>
      </c>
      <c r="E939" s="107" t="s">
        <v>193</v>
      </c>
      <c r="F939" s="107" t="s">
        <v>509</v>
      </c>
      <c r="G939" s="107">
        <v>0</v>
      </c>
      <c r="H939" s="107">
        <v>5</v>
      </c>
      <c r="I939" s="107">
        <v>0</v>
      </c>
      <c r="J939" s="107">
        <f t="shared" si="14"/>
        <v>0.125</v>
      </c>
      <c r="K939" s="107">
        <v>4018</v>
      </c>
      <c r="L939" s="107">
        <v>1820</v>
      </c>
      <c r="M939" s="107">
        <v>763</v>
      </c>
      <c r="N939" s="107" t="s">
        <v>273</v>
      </c>
      <c r="O939" s="107"/>
    </row>
    <row r="940" spans="1:15" x14ac:dyDescent="0.15">
      <c r="A940" s="107">
        <v>1656</v>
      </c>
      <c r="B940" s="107" t="s">
        <v>283</v>
      </c>
      <c r="C940" s="107" t="s">
        <v>274</v>
      </c>
      <c r="D940" s="107">
        <v>25</v>
      </c>
      <c r="E940" s="107"/>
      <c r="F940" s="107" t="s">
        <v>510</v>
      </c>
      <c r="G940" s="107">
        <v>18</v>
      </c>
      <c r="H940" s="107">
        <v>15</v>
      </c>
      <c r="I940" s="107">
        <v>0</v>
      </c>
      <c r="J940" s="107">
        <f t="shared" si="14"/>
        <v>0.75</v>
      </c>
      <c r="K940" s="107">
        <v>3991</v>
      </c>
      <c r="L940" s="107">
        <v>1788</v>
      </c>
      <c r="M940" s="107">
        <v>150</v>
      </c>
      <c r="N940" s="107" t="s">
        <v>284</v>
      </c>
      <c r="O940" s="107"/>
    </row>
    <row r="941" spans="1:15" x14ac:dyDescent="0.15">
      <c r="A941" s="107">
        <v>1656</v>
      </c>
      <c r="B941" s="107" t="s">
        <v>283</v>
      </c>
      <c r="C941" s="107" t="s">
        <v>274</v>
      </c>
      <c r="D941" s="107">
        <v>6</v>
      </c>
      <c r="E941" s="107"/>
      <c r="F941" s="107" t="s">
        <v>511</v>
      </c>
      <c r="G941" s="107">
        <v>7</v>
      </c>
      <c r="H941" s="107">
        <v>4</v>
      </c>
      <c r="I941" s="107">
        <v>9</v>
      </c>
      <c r="J941" s="107">
        <f t="shared" si="14"/>
        <v>1.2046875000000001</v>
      </c>
      <c r="K941" s="107">
        <v>3991</v>
      </c>
      <c r="L941" s="107">
        <v>1788</v>
      </c>
      <c r="M941" s="107">
        <v>150</v>
      </c>
      <c r="N941" s="107" t="s">
        <v>284</v>
      </c>
      <c r="O941" s="107"/>
    </row>
    <row r="942" spans="1:15" x14ac:dyDescent="0.15">
      <c r="A942" s="107">
        <v>1656</v>
      </c>
      <c r="B942" s="107" t="s">
        <v>283</v>
      </c>
      <c r="C942" s="107" t="s">
        <v>274</v>
      </c>
      <c r="D942" s="107">
        <v>30</v>
      </c>
      <c r="E942" s="107"/>
      <c r="F942" s="107" t="s">
        <v>512</v>
      </c>
      <c r="G942" s="107">
        <v>27</v>
      </c>
      <c r="H942" s="107">
        <v>0</v>
      </c>
      <c r="I942" s="107">
        <v>0</v>
      </c>
      <c r="J942" s="107">
        <f t="shared" si="14"/>
        <v>0.9</v>
      </c>
      <c r="K942" s="107">
        <v>3991</v>
      </c>
      <c r="L942" s="107">
        <v>1788</v>
      </c>
      <c r="M942" s="107">
        <v>149</v>
      </c>
      <c r="N942" s="107" t="s">
        <v>284</v>
      </c>
      <c r="O942" s="107"/>
    </row>
    <row r="943" spans="1:15" x14ac:dyDescent="0.15">
      <c r="A943" s="107">
        <v>1655</v>
      </c>
      <c r="B943" s="107" t="s">
        <v>236</v>
      </c>
      <c r="C943" s="107" t="s">
        <v>274</v>
      </c>
      <c r="D943" s="107">
        <v>20</v>
      </c>
      <c r="E943" s="107"/>
      <c r="F943" s="107" t="s">
        <v>513</v>
      </c>
      <c r="G943" s="107">
        <v>18</v>
      </c>
      <c r="H943" s="107">
        <v>0</v>
      </c>
      <c r="I943" s="107">
        <v>0</v>
      </c>
      <c r="J943" s="107">
        <f t="shared" si="14"/>
        <v>0.9</v>
      </c>
      <c r="K943" s="107">
        <v>3990</v>
      </c>
      <c r="L943" s="107">
        <v>1788</v>
      </c>
      <c r="M943" s="107">
        <v>204</v>
      </c>
      <c r="N943" s="107" t="s">
        <v>349</v>
      </c>
      <c r="O943" s="107"/>
    </row>
    <row r="944" spans="1:15" x14ac:dyDescent="0.15">
      <c r="A944" s="107">
        <v>1657</v>
      </c>
      <c r="B944" s="107" t="s">
        <v>247</v>
      </c>
      <c r="C944" s="107" t="s">
        <v>274</v>
      </c>
      <c r="D944" s="107">
        <v>5157</v>
      </c>
      <c r="E944" s="107" t="s">
        <v>193</v>
      </c>
      <c r="F944" s="107" t="s">
        <v>514</v>
      </c>
      <c r="G944" s="107">
        <v>446</v>
      </c>
      <c r="H944" s="107">
        <v>7</v>
      </c>
      <c r="I944" s="107">
        <v>0</v>
      </c>
      <c r="J944" s="107">
        <f t="shared" ref="J944:J1007" si="15">(G944+H944/20+I944/320)/D944</f>
        <v>8.6552259065348081E-2</v>
      </c>
      <c r="K944" s="107">
        <v>3992</v>
      </c>
      <c r="L944" s="107">
        <v>1789</v>
      </c>
      <c r="M944" s="107">
        <v>248</v>
      </c>
      <c r="N944" s="107"/>
      <c r="O944" s="107"/>
    </row>
    <row r="945" spans="1:14" x14ac:dyDescent="0.15">
      <c r="A945" s="107">
        <v>1658</v>
      </c>
      <c r="B945" s="107" t="s">
        <v>197</v>
      </c>
      <c r="C945" s="107" t="s">
        <v>274</v>
      </c>
      <c r="D945" s="107">
        <v>1230</v>
      </c>
      <c r="E945" s="107" t="s">
        <v>193</v>
      </c>
      <c r="F945" s="107" t="s">
        <v>514</v>
      </c>
      <c r="G945" s="107">
        <v>153</v>
      </c>
      <c r="H945" s="107">
        <v>10</v>
      </c>
      <c r="I945" s="107">
        <v>0</v>
      </c>
      <c r="J945" s="107">
        <f t="shared" si="15"/>
        <v>0.12479674796747968</v>
      </c>
      <c r="K945" s="107">
        <v>3993</v>
      </c>
      <c r="L945" s="107">
        <v>1791</v>
      </c>
      <c r="M945" s="107">
        <v>273</v>
      </c>
      <c r="N945" s="107"/>
    </row>
    <row r="946" spans="1:14" x14ac:dyDescent="0.15">
      <c r="A946" s="107">
        <v>1659</v>
      </c>
      <c r="B946" s="107" t="s">
        <v>253</v>
      </c>
      <c r="C946" s="107" t="s">
        <v>274</v>
      </c>
      <c r="D946" s="107">
        <v>16</v>
      </c>
      <c r="E946" s="107" t="s">
        <v>193</v>
      </c>
      <c r="F946" s="107" t="s">
        <v>514</v>
      </c>
      <c r="G946" s="107">
        <v>2</v>
      </c>
      <c r="H946" s="107">
        <v>8</v>
      </c>
      <c r="I946" s="107">
        <v>0</v>
      </c>
      <c r="J946" s="107">
        <f t="shared" si="15"/>
        <v>0.15</v>
      </c>
      <c r="K946" s="107">
        <v>3994</v>
      </c>
      <c r="L946" s="107">
        <v>1792</v>
      </c>
      <c r="M946" s="107">
        <v>177</v>
      </c>
      <c r="N946" s="107"/>
    </row>
    <row r="947" spans="1:14" x14ac:dyDescent="0.15">
      <c r="A947" s="107">
        <v>1660</v>
      </c>
      <c r="B947" s="107" t="s">
        <v>253</v>
      </c>
      <c r="C947" s="107" t="s">
        <v>274</v>
      </c>
      <c r="D947" s="107">
        <v>80</v>
      </c>
      <c r="E947" s="107" t="s">
        <v>193</v>
      </c>
      <c r="F947" s="107" t="s">
        <v>514</v>
      </c>
      <c r="G947" s="107">
        <v>12</v>
      </c>
      <c r="H947" s="107">
        <v>0</v>
      </c>
      <c r="I947" s="107">
        <v>0</v>
      </c>
      <c r="J947" s="107">
        <f t="shared" si="15"/>
        <v>0.15</v>
      </c>
      <c r="K947" s="107">
        <v>3995</v>
      </c>
      <c r="L947" s="107">
        <v>1793</v>
      </c>
      <c r="M947" s="107">
        <v>202</v>
      </c>
      <c r="N947" s="107"/>
    </row>
    <row r="948" spans="1:14" x14ac:dyDescent="0.15">
      <c r="A948" s="107">
        <v>1661</v>
      </c>
      <c r="B948" s="107" t="s">
        <v>197</v>
      </c>
      <c r="C948" s="107" t="s">
        <v>274</v>
      </c>
      <c r="D948" s="107">
        <v>8</v>
      </c>
      <c r="E948" s="107" t="s">
        <v>193</v>
      </c>
      <c r="F948" s="107" t="s">
        <v>514</v>
      </c>
      <c r="G948" s="107">
        <v>1</v>
      </c>
      <c r="H948" s="107">
        <v>4</v>
      </c>
      <c r="I948" s="107">
        <v>0</v>
      </c>
      <c r="J948" s="107">
        <f t="shared" si="15"/>
        <v>0.15</v>
      </c>
      <c r="K948" s="107">
        <v>3996</v>
      </c>
      <c r="L948" s="107">
        <v>1794</v>
      </c>
      <c r="M948" s="107" t="s">
        <v>290</v>
      </c>
      <c r="N948" s="107"/>
    </row>
    <row r="949" spans="1:14" x14ac:dyDescent="0.15">
      <c r="A949" s="107">
        <v>1662</v>
      </c>
      <c r="B949" s="107" t="s">
        <v>197</v>
      </c>
      <c r="C949" s="107" t="s">
        <v>274</v>
      </c>
      <c r="D949" s="107">
        <v>6238</v>
      </c>
      <c r="E949" s="107" t="s">
        <v>193</v>
      </c>
      <c r="F949" s="107" t="s">
        <v>514</v>
      </c>
      <c r="G949" s="107">
        <v>499</v>
      </c>
      <c r="H949" s="107">
        <v>0</v>
      </c>
      <c r="I949" s="107">
        <v>0</v>
      </c>
      <c r="J949" s="107">
        <f t="shared" si="15"/>
        <v>7.999358768836165E-2</v>
      </c>
      <c r="K949" s="107">
        <v>3997</v>
      </c>
      <c r="L949" s="107">
        <v>1795</v>
      </c>
      <c r="M949" s="107">
        <v>303</v>
      </c>
      <c r="N949" s="107"/>
    </row>
    <row r="950" spans="1:14" x14ac:dyDescent="0.15">
      <c r="A950" s="107">
        <v>1663</v>
      </c>
      <c r="B950" s="107" t="s">
        <v>261</v>
      </c>
      <c r="C950" s="107" t="s">
        <v>274</v>
      </c>
      <c r="D950" s="107">
        <v>90</v>
      </c>
      <c r="E950" s="107" t="s">
        <v>193</v>
      </c>
      <c r="F950" s="107" t="s">
        <v>514</v>
      </c>
      <c r="G950" s="107">
        <v>13</v>
      </c>
      <c r="H950" s="107">
        <v>10</v>
      </c>
      <c r="I950" s="107">
        <v>0</v>
      </c>
      <c r="J950" s="107">
        <f t="shared" si="15"/>
        <v>0.15</v>
      </c>
      <c r="K950" s="107">
        <v>3998</v>
      </c>
      <c r="L950" s="107">
        <v>1797</v>
      </c>
      <c r="M950" s="107" t="s">
        <v>290</v>
      </c>
      <c r="N950" s="107"/>
    </row>
    <row r="951" spans="1:14" x14ac:dyDescent="0.15">
      <c r="A951" s="107">
        <v>1667</v>
      </c>
      <c r="B951" s="107" t="s">
        <v>197</v>
      </c>
      <c r="C951" s="107" t="s">
        <v>274</v>
      </c>
      <c r="D951" s="107">
        <v>6052</v>
      </c>
      <c r="E951" s="107" t="s">
        <v>193</v>
      </c>
      <c r="F951" s="107" t="s">
        <v>514</v>
      </c>
      <c r="G951" s="107">
        <v>453</v>
      </c>
      <c r="H951" s="107">
        <v>18</v>
      </c>
      <c r="I951" s="107">
        <v>0</v>
      </c>
      <c r="J951" s="107">
        <f t="shared" si="15"/>
        <v>7.4999999999999997E-2</v>
      </c>
      <c r="K951" s="107">
        <v>4002</v>
      </c>
      <c r="L951" s="107">
        <v>1802</v>
      </c>
      <c r="M951" s="107">
        <v>760</v>
      </c>
      <c r="N951" s="107"/>
    </row>
    <row r="952" spans="1:14" x14ac:dyDescent="0.15">
      <c r="A952" s="107">
        <v>1668</v>
      </c>
      <c r="B952" s="107" t="s">
        <v>197</v>
      </c>
      <c r="C952" s="107" t="s">
        <v>274</v>
      </c>
      <c r="D952" s="107">
        <v>20</v>
      </c>
      <c r="E952" s="107" t="s">
        <v>193</v>
      </c>
      <c r="F952" s="107" t="s">
        <v>514</v>
      </c>
      <c r="G952" s="107">
        <v>3</v>
      </c>
      <c r="H952" s="107">
        <v>0</v>
      </c>
      <c r="I952" s="107">
        <v>0</v>
      </c>
      <c r="J952" s="107">
        <f t="shared" si="15"/>
        <v>0.15</v>
      </c>
      <c r="K952" s="107">
        <v>4003</v>
      </c>
      <c r="L952" s="107">
        <v>1802</v>
      </c>
      <c r="M952" s="107">
        <v>36</v>
      </c>
      <c r="N952" s="107"/>
    </row>
    <row r="953" spans="1:14" x14ac:dyDescent="0.15">
      <c r="A953" s="107">
        <v>1669</v>
      </c>
      <c r="B953" s="107" t="s">
        <v>197</v>
      </c>
      <c r="C953" s="107" t="s">
        <v>274</v>
      </c>
      <c r="D953" s="107">
        <v>26</v>
      </c>
      <c r="E953" s="107" t="s">
        <v>193</v>
      </c>
      <c r="F953" s="107" t="s">
        <v>514</v>
      </c>
      <c r="G953" s="107">
        <v>3</v>
      </c>
      <c r="H953" s="107">
        <v>18</v>
      </c>
      <c r="I953" s="107">
        <v>0</v>
      </c>
      <c r="J953" s="107">
        <f t="shared" si="15"/>
        <v>0.15</v>
      </c>
      <c r="K953" s="107">
        <v>4004</v>
      </c>
      <c r="L953" s="107">
        <v>1805</v>
      </c>
      <c r="M953" s="107">
        <v>558</v>
      </c>
      <c r="N953" s="107"/>
    </row>
    <row r="954" spans="1:14" x14ac:dyDescent="0.15">
      <c r="A954" s="107">
        <v>1670</v>
      </c>
      <c r="B954" s="107" t="s">
        <v>197</v>
      </c>
      <c r="C954" s="107" t="s">
        <v>274</v>
      </c>
      <c r="D954" s="107">
        <v>20</v>
      </c>
      <c r="E954" s="107" t="s">
        <v>193</v>
      </c>
      <c r="F954" s="107" t="s">
        <v>514</v>
      </c>
      <c r="G954" s="107">
        <v>4</v>
      </c>
      <c r="H954" s="107">
        <v>4</v>
      </c>
      <c r="I954" s="107">
        <v>0</v>
      </c>
      <c r="J954" s="107">
        <f t="shared" si="15"/>
        <v>0.21000000000000002</v>
      </c>
      <c r="K954" s="107">
        <v>4006</v>
      </c>
      <c r="L954" s="107">
        <v>1808</v>
      </c>
      <c r="M954" s="107">
        <v>637</v>
      </c>
      <c r="N954" s="107"/>
    </row>
    <row r="955" spans="1:14" x14ac:dyDescent="0.15">
      <c r="A955" s="107">
        <v>1672</v>
      </c>
      <c r="B955" s="107" t="s">
        <v>253</v>
      </c>
      <c r="C955" s="107" t="s">
        <v>274</v>
      </c>
      <c r="D955" s="107">
        <v>200</v>
      </c>
      <c r="E955" s="107" t="s">
        <v>193</v>
      </c>
      <c r="F955" s="107" t="s">
        <v>514</v>
      </c>
      <c r="G955" s="107">
        <v>30</v>
      </c>
      <c r="H955" s="107">
        <v>0</v>
      </c>
      <c r="I955" s="107">
        <v>0</v>
      </c>
      <c r="J955" s="107">
        <f t="shared" si="15"/>
        <v>0.15</v>
      </c>
      <c r="K955" s="107">
        <v>4008</v>
      </c>
      <c r="L955" s="107">
        <v>1810</v>
      </c>
      <c r="M955" s="107">
        <v>537</v>
      </c>
      <c r="N955" s="107"/>
    </row>
    <row r="956" spans="1:14" x14ac:dyDescent="0.15">
      <c r="A956" s="107">
        <v>1673</v>
      </c>
      <c r="B956" s="107" t="s">
        <v>197</v>
      </c>
      <c r="C956" s="107" t="s">
        <v>274</v>
      </c>
      <c r="D956" s="107">
        <v>204</v>
      </c>
      <c r="E956" s="107" t="s">
        <v>193</v>
      </c>
      <c r="F956" s="107" t="s">
        <v>514</v>
      </c>
      <c r="G956" s="107">
        <v>17</v>
      </c>
      <c r="H956" s="107">
        <v>17</v>
      </c>
      <c r="I956" s="107">
        <v>0</v>
      </c>
      <c r="J956" s="107">
        <f t="shared" si="15"/>
        <v>8.7500000000000008E-2</v>
      </c>
      <c r="K956" s="107">
        <v>4010</v>
      </c>
      <c r="L956" s="107">
        <v>1812</v>
      </c>
      <c r="M956" s="107">
        <v>548</v>
      </c>
      <c r="N956" s="107"/>
    </row>
    <row r="957" spans="1:14" x14ac:dyDescent="0.15">
      <c r="A957" s="107">
        <v>1674</v>
      </c>
      <c r="B957" s="107" t="s">
        <v>247</v>
      </c>
      <c r="C957" s="107" t="s">
        <v>274</v>
      </c>
      <c r="D957" s="107">
        <v>170</v>
      </c>
      <c r="E957" s="107" t="s">
        <v>193</v>
      </c>
      <c r="F957" s="107" t="s">
        <v>514</v>
      </c>
      <c r="G957" s="107">
        <v>17</v>
      </c>
      <c r="H957" s="107">
        <v>0</v>
      </c>
      <c r="I957" s="107">
        <v>0</v>
      </c>
      <c r="J957" s="107">
        <f t="shared" si="15"/>
        <v>0.1</v>
      </c>
      <c r="K957" s="107">
        <v>4011</v>
      </c>
      <c r="L957" s="107">
        <v>1814</v>
      </c>
      <c r="M957" s="107">
        <v>621</v>
      </c>
      <c r="N957" s="107" t="s">
        <v>273</v>
      </c>
    </row>
    <row r="958" spans="1:14" x14ac:dyDescent="0.15">
      <c r="A958" s="107">
        <v>1676</v>
      </c>
      <c r="B958" s="107" t="s">
        <v>197</v>
      </c>
      <c r="C958" s="107" t="s">
        <v>274</v>
      </c>
      <c r="D958" s="107">
        <v>636</v>
      </c>
      <c r="E958" s="107" t="s">
        <v>193</v>
      </c>
      <c r="F958" s="107" t="s">
        <v>514</v>
      </c>
      <c r="G958" s="107">
        <v>63</v>
      </c>
      <c r="H958" s="107">
        <v>12</v>
      </c>
      <c r="I958" s="107">
        <v>0</v>
      </c>
      <c r="J958" s="107">
        <f t="shared" si="15"/>
        <v>0.1</v>
      </c>
      <c r="K958" s="107">
        <v>4012</v>
      </c>
      <c r="L958" s="107">
        <v>1814</v>
      </c>
      <c r="M958" s="107">
        <v>430</v>
      </c>
      <c r="N958" s="107"/>
    </row>
    <row r="959" spans="1:14" x14ac:dyDescent="0.15">
      <c r="A959" s="107">
        <v>1677</v>
      </c>
      <c r="B959" s="107" t="s">
        <v>197</v>
      </c>
      <c r="C959" s="107" t="s">
        <v>274</v>
      </c>
      <c r="D959" s="107">
        <v>34</v>
      </c>
      <c r="E959" s="107" t="s">
        <v>193</v>
      </c>
      <c r="F959" s="107" t="s">
        <v>514</v>
      </c>
      <c r="G959" s="107">
        <v>3</v>
      </c>
      <c r="H959" s="107">
        <v>8</v>
      </c>
      <c r="I959" s="107">
        <v>0</v>
      </c>
      <c r="J959" s="107">
        <f t="shared" si="15"/>
        <v>9.9999999999999992E-2</v>
      </c>
      <c r="K959" s="107">
        <v>4013</v>
      </c>
      <c r="L959" s="107">
        <v>1816</v>
      </c>
      <c r="M959" s="107">
        <v>742</v>
      </c>
      <c r="N959" s="107"/>
    </row>
    <row r="960" spans="1:14" x14ac:dyDescent="0.15">
      <c r="A960" s="107">
        <v>1678</v>
      </c>
      <c r="B960" s="107" t="s">
        <v>253</v>
      </c>
      <c r="C960" s="107" t="s">
        <v>295</v>
      </c>
      <c r="D960" s="107">
        <v>500</v>
      </c>
      <c r="E960" s="107" t="s">
        <v>193</v>
      </c>
      <c r="F960" s="107" t="s">
        <v>514</v>
      </c>
      <c r="G960" s="107">
        <v>52</v>
      </c>
      <c r="H960" s="107">
        <v>8</v>
      </c>
      <c r="I960" s="107">
        <v>0</v>
      </c>
      <c r="J960" s="107">
        <f t="shared" si="15"/>
        <v>0.10479999999999999</v>
      </c>
      <c r="K960" s="107">
        <v>4014</v>
      </c>
      <c r="L960" s="107">
        <v>4903</v>
      </c>
      <c r="M960" s="107">
        <v>669</v>
      </c>
      <c r="N960" s="107"/>
    </row>
    <row r="961" spans="1:14" x14ac:dyDescent="0.15">
      <c r="A961" s="107">
        <v>1681</v>
      </c>
      <c r="B961" s="107" t="s">
        <v>197</v>
      </c>
      <c r="C961" s="107" t="s">
        <v>271</v>
      </c>
      <c r="D961" s="107">
        <v>132</v>
      </c>
      <c r="E961" s="107" t="s">
        <v>193</v>
      </c>
      <c r="F961" s="107" t="s">
        <v>514</v>
      </c>
      <c r="G961" s="107">
        <v>11</v>
      </c>
      <c r="H961" s="107">
        <v>6</v>
      </c>
      <c r="I961" s="107">
        <v>0</v>
      </c>
      <c r="J961" s="107">
        <f t="shared" si="15"/>
        <v>8.5606060606060616E-2</v>
      </c>
      <c r="K961" s="107">
        <v>4017</v>
      </c>
      <c r="L961" s="107">
        <v>1819</v>
      </c>
      <c r="M961" s="107">
        <v>428</v>
      </c>
      <c r="N961" s="107"/>
    </row>
    <row r="962" spans="1:14" x14ac:dyDescent="0.15">
      <c r="A962" s="107">
        <v>1682</v>
      </c>
      <c r="B962" s="107" t="s">
        <v>197</v>
      </c>
      <c r="C962" s="107" t="s">
        <v>271</v>
      </c>
      <c r="D962" s="107">
        <v>655</v>
      </c>
      <c r="E962" s="107" t="s">
        <v>193</v>
      </c>
      <c r="F962" s="107" t="s">
        <v>514</v>
      </c>
      <c r="G962" s="107">
        <v>16</v>
      </c>
      <c r="H962" s="107">
        <v>3</v>
      </c>
      <c r="I962" s="107">
        <v>5</v>
      </c>
      <c r="J962" s="107">
        <f t="shared" si="15"/>
        <v>2.4680343511450379E-2</v>
      </c>
      <c r="K962" s="107">
        <v>4018</v>
      </c>
      <c r="L962" s="107">
        <v>1820</v>
      </c>
      <c r="M962" s="107">
        <v>759</v>
      </c>
      <c r="N962" s="107" t="s">
        <v>273</v>
      </c>
    </row>
    <row r="963" spans="1:14" x14ac:dyDescent="0.15">
      <c r="A963" s="107">
        <v>1683</v>
      </c>
      <c r="B963" s="107" t="s">
        <v>197</v>
      </c>
      <c r="C963" s="107" t="s">
        <v>271</v>
      </c>
      <c r="D963" s="107">
        <v>924</v>
      </c>
      <c r="E963" s="107" t="s">
        <v>193</v>
      </c>
      <c r="F963" s="107" t="s">
        <v>514</v>
      </c>
      <c r="G963" s="107">
        <v>79</v>
      </c>
      <c r="H963" s="107">
        <v>3</v>
      </c>
      <c r="I963" s="107">
        <v>8</v>
      </c>
      <c r="J963" s="107">
        <f t="shared" si="15"/>
        <v>8.5687229437229451E-2</v>
      </c>
      <c r="K963" s="107">
        <v>4019</v>
      </c>
      <c r="L963" s="107">
        <v>1822</v>
      </c>
      <c r="M963" s="107">
        <v>600</v>
      </c>
      <c r="N963" s="107"/>
    </row>
    <row r="964" spans="1:14" x14ac:dyDescent="0.15">
      <c r="A964" s="107">
        <v>1684</v>
      </c>
      <c r="B964" s="107" t="s">
        <v>197</v>
      </c>
      <c r="C964" s="107" t="s">
        <v>271</v>
      </c>
      <c r="D964" s="107">
        <v>845</v>
      </c>
      <c r="E964" s="107" t="s">
        <v>193</v>
      </c>
      <c r="F964" s="107" t="s">
        <v>514</v>
      </c>
      <c r="G964" s="107">
        <v>72</v>
      </c>
      <c r="H964" s="107">
        <v>7</v>
      </c>
      <c r="I964" s="107">
        <v>0</v>
      </c>
      <c r="J964" s="107">
        <f t="shared" si="15"/>
        <v>8.5621301775147929E-2</v>
      </c>
      <c r="K964" s="107">
        <v>4021</v>
      </c>
      <c r="L964" s="107">
        <v>1825</v>
      </c>
      <c r="M964" s="107">
        <v>669</v>
      </c>
      <c r="N964" s="107"/>
    </row>
    <row r="965" spans="1:14" x14ac:dyDescent="0.15">
      <c r="A965" s="107">
        <v>1685</v>
      </c>
      <c r="B965" s="107" t="s">
        <v>196</v>
      </c>
      <c r="C965" s="107" t="s">
        <v>271</v>
      </c>
      <c r="D965" s="107">
        <v>260</v>
      </c>
      <c r="E965" s="107" t="s">
        <v>193</v>
      </c>
      <c r="F965" s="107" t="s">
        <v>514</v>
      </c>
      <c r="G965" s="107">
        <v>23</v>
      </c>
      <c r="H965" s="107">
        <v>8</v>
      </c>
      <c r="I965" s="107">
        <v>0</v>
      </c>
      <c r="J965" s="107">
        <f t="shared" si="15"/>
        <v>0.09</v>
      </c>
      <c r="K965" s="107">
        <v>4022</v>
      </c>
      <c r="L965" s="107">
        <v>1827</v>
      </c>
      <c r="M965" s="107">
        <v>600</v>
      </c>
      <c r="N965" s="107"/>
    </row>
    <row r="966" spans="1:14" x14ac:dyDescent="0.15">
      <c r="A966" s="107">
        <v>1688</v>
      </c>
      <c r="B966" s="107" t="s">
        <v>260</v>
      </c>
      <c r="C966" s="107" t="s">
        <v>271</v>
      </c>
      <c r="D966" s="107">
        <v>200</v>
      </c>
      <c r="E966" s="107" t="s">
        <v>193</v>
      </c>
      <c r="F966" s="107" t="s">
        <v>514</v>
      </c>
      <c r="G966" s="107">
        <v>15</v>
      </c>
      <c r="H966" s="107">
        <v>0</v>
      </c>
      <c r="I966" s="107">
        <v>0</v>
      </c>
      <c r="J966" s="107">
        <f t="shared" si="15"/>
        <v>7.4999999999999997E-2</v>
      </c>
      <c r="K966" s="107">
        <v>4025</v>
      </c>
      <c r="L966" s="107">
        <v>1831</v>
      </c>
      <c r="M966" s="107">
        <v>573</v>
      </c>
      <c r="N966" s="107"/>
    </row>
    <row r="967" spans="1:14" x14ac:dyDescent="0.15">
      <c r="A967" s="107">
        <v>1689</v>
      </c>
      <c r="B967" s="107" t="s">
        <v>197</v>
      </c>
      <c r="C967" s="107" t="s">
        <v>271</v>
      </c>
      <c r="D967" s="107">
        <v>480</v>
      </c>
      <c r="E967" s="107" t="s">
        <v>193</v>
      </c>
      <c r="F967" s="107" t="s">
        <v>514</v>
      </c>
      <c r="G967" s="107">
        <v>36</v>
      </c>
      <c r="H967" s="107">
        <v>0</v>
      </c>
      <c r="I967" s="107">
        <v>0</v>
      </c>
      <c r="J967" s="107">
        <f t="shared" si="15"/>
        <v>7.4999999999999997E-2</v>
      </c>
      <c r="K967" s="107">
        <v>4027</v>
      </c>
      <c r="L967" s="107">
        <v>1832</v>
      </c>
      <c r="M967" s="107">
        <v>483</v>
      </c>
      <c r="N967" s="107"/>
    </row>
    <row r="968" spans="1:14" x14ac:dyDescent="0.15">
      <c r="A968" s="107">
        <v>1690</v>
      </c>
      <c r="B968" s="107" t="s">
        <v>192</v>
      </c>
      <c r="C968" s="107" t="s">
        <v>271</v>
      </c>
      <c r="D968" s="107">
        <v>430</v>
      </c>
      <c r="E968" s="107" t="s">
        <v>193</v>
      </c>
      <c r="F968" s="107" t="s">
        <v>514</v>
      </c>
      <c r="G968" s="107">
        <v>32</v>
      </c>
      <c r="H968" s="107">
        <v>5</v>
      </c>
      <c r="I968" s="107">
        <v>0</v>
      </c>
      <c r="J968" s="107">
        <f t="shared" si="15"/>
        <v>7.4999999999999997E-2</v>
      </c>
      <c r="K968" s="107">
        <v>4028</v>
      </c>
      <c r="L968" s="107">
        <v>1834</v>
      </c>
      <c r="M968" s="107">
        <v>396</v>
      </c>
      <c r="N968" s="107"/>
    </row>
    <row r="969" spans="1:14" x14ac:dyDescent="0.15">
      <c r="A969" s="107">
        <v>1691</v>
      </c>
      <c r="B969" s="107" t="s">
        <v>244</v>
      </c>
      <c r="C969" s="107" t="s">
        <v>271</v>
      </c>
      <c r="D969" s="107">
        <v>200</v>
      </c>
      <c r="E969" s="107" t="s">
        <v>193</v>
      </c>
      <c r="F969" s="107" t="s">
        <v>514</v>
      </c>
      <c r="G969" s="107">
        <v>9</v>
      </c>
      <c r="H969" s="107">
        <v>12</v>
      </c>
      <c r="I969" s="107">
        <v>0</v>
      </c>
      <c r="J969" s="107">
        <f t="shared" si="15"/>
        <v>4.8000000000000001E-2</v>
      </c>
      <c r="K969" s="107">
        <v>4028</v>
      </c>
      <c r="L969" s="107">
        <v>1834</v>
      </c>
      <c r="M969" s="107">
        <v>379</v>
      </c>
      <c r="N969" s="107"/>
    </row>
    <row r="970" spans="1:14" x14ac:dyDescent="0.15">
      <c r="A970" s="107">
        <v>1692</v>
      </c>
      <c r="B970" s="107" t="s">
        <v>247</v>
      </c>
      <c r="C970" s="107" t="s">
        <v>271</v>
      </c>
      <c r="D970" s="107">
        <v>125</v>
      </c>
      <c r="E970" s="107" t="s">
        <v>193</v>
      </c>
      <c r="F970" s="107" t="s">
        <v>514</v>
      </c>
      <c r="G970" s="107">
        <v>9</v>
      </c>
      <c r="H970" s="107">
        <v>7</v>
      </c>
      <c r="I970" s="107">
        <v>8</v>
      </c>
      <c r="J970" s="107">
        <f t="shared" si="15"/>
        <v>7.4999999999999997E-2</v>
      </c>
      <c r="K970" s="107">
        <v>4030</v>
      </c>
      <c r="L970" s="107">
        <v>1836</v>
      </c>
      <c r="M970" s="107">
        <v>242</v>
      </c>
      <c r="N970" s="107"/>
    </row>
    <row r="971" spans="1:14" x14ac:dyDescent="0.15">
      <c r="A971" s="107">
        <v>1693</v>
      </c>
      <c r="B971" s="107" t="s">
        <v>261</v>
      </c>
      <c r="C971" s="107" t="s">
        <v>271</v>
      </c>
      <c r="D971" s="107">
        <v>50</v>
      </c>
      <c r="E971" s="107" t="s">
        <v>193</v>
      </c>
      <c r="F971" s="107" t="s">
        <v>514</v>
      </c>
      <c r="G971" s="107">
        <v>4</v>
      </c>
      <c r="H971" s="107">
        <v>15</v>
      </c>
      <c r="I971" s="107">
        <v>0</v>
      </c>
      <c r="J971" s="107">
        <f t="shared" si="15"/>
        <v>9.5000000000000001E-2</v>
      </c>
      <c r="K971" s="107">
        <v>4030</v>
      </c>
      <c r="L971" s="107">
        <v>1836</v>
      </c>
      <c r="M971" s="107">
        <v>230</v>
      </c>
      <c r="N971" s="107"/>
    </row>
    <row r="972" spans="1:14" x14ac:dyDescent="0.15">
      <c r="A972" s="107">
        <v>1694</v>
      </c>
      <c r="B972" s="107" t="s">
        <v>261</v>
      </c>
      <c r="C972" s="107" t="s">
        <v>271</v>
      </c>
      <c r="D972" s="107">
        <v>100</v>
      </c>
      <c r="E972" s="107" t="s">
        <v>193</v>
      </c>
      <c r="F972" s="107" t="s">
        <v>514</v>
      </c>
      <c r="G972" s="107">
        <v>9</v>
      </c>
      <c r="H972" s="107">
        <v>10</v>
      </c>
      <c r="I972" s="107">
        <v>0</v>
      </c>
      <c r="J972" s="107">
        <f t="shared" si="15"/>
        <v>9.5000000000000001E-2</v>
      </c>
      <c r="K972" s="107">
        <v>4032</v>
      </c>
      <c r="L972" s="107">
        <v>1839</v>
      </c>
      <c r="M972" s="107">
        <v>253</v>
      </c>
      <c r="N972" s="107"/>
    </row>
    <row r="973" spans="1:14" x14ac:dyDescent="0.15">
      <c r="A973" s="107">
        <v>1695</v>
      </c>
      <c r="B973" s="107" t="s">
        <v>260</v>
      </c>
      <c r="C973" s="107" t="s">
        <v>271</v>
      </c>
      <c r="D973" s="107">
        <v>250</v>
      </c>
      <c r="E973" s="107" t="s">
        <v>193</v>
      </c>
      <c r="F973" s="107" t="s">
        <v>514</v>
      </c>
      <c r="G973" s="107">
        <v>34</v>
      </c>
      <c r="H973" s="107">
        <v>0</v>
      </c>
      <c r="I973" s="107">
        <v>0</v>
      </c>
      <c r="J973" s="107">
        <f t="shared" si="15"/>
        <v>0.13600000000000001</v>
      </c>
      <c r="K973" s="107">
        <v>4034</v>
      </c>
      <c r="L973" s="107">
        <v>1841</v>
      </c>
      <c r="M973" s="107">
        <v>490</v>
      </c>
      <c r="N973" s="107"/>
    </row>
    <row r="974" spans="1:14" x14ac:dyDescent="0.15">
      <c r="A974" s="107">
        <v>1696</v>
      </c>
      <c r="B974" s="107" t="s">
        <v>260</v>
      </c>
      <c r="C974" s="107" t="s">
        <v>271</v>
      </c>
      <c r="D974" s="107">
        <v>100</v>
      </c>
      <c r="E974" s="107" t="s">
        <v>193</v>
      </c>
      <c r="F974" s="107" t="s">
        <v>514</v>
      </c>
      <c r="G974" s="107">
        <v>12</v>
      </c>
      <c r="H974" s="107">
        <v>0</v>
      </c>
      <c r="I974" s="107">
        <v>0</v>
      </c>
      <c r="J974" s="107">
        <f t="shared" si="15"/>
        <v>0.12</v>
      </c>
      <c r="K974" s="107">
        <v>4035</v>
      </c>
      <c r="L974" s="107">
        <v>1841</v>
      </c>
      <c r="M974" s="107">
        <v>67</v>
      </c>
      <c r="N974" s="107"/>
    </row>
    <row r="975" spans="1:14" x14ac:dyDescent="0.15">
      <c r="A975" s="107">
        <v>1696</v>
      </c>
      <c r="B975" s="107" t="s">
        <v>253</v>
      </c>
      <c r="C975" s="107" t="s">
        <v>271</v>
      </c>
      <c r="D975" s="107">
        <v>100</v>
      </c>
      <c r="E975" s="107" t="s">
        <v>193</v>
      </c>
      <c r="F975" s="107" t="s">
        <v>514</v>
      </c>
      <c r="G975" s="107">
        <v>12</v>
      </c>
      <c r="H975" s="107">
        <v>0</v>
      </c>
      <c r="I975" s="107">
        <v>0</v>
      </c>
      <c r="J975" s="107">
        <f t="shared" si="15"/>
        <v>0.12</v>
      </c>
      <c r="K975" s="107">
        <v>4035</v>
      </c>
      <c r="L975" s="107">
        <v>1841</v>
      </c>
      <c r="M975" s="107">
        <v>69</v>
      </c>
      <c r="N975" s="107"/>
    </row>
    <row r="976" spans="1:14" x14ac:dyDescent="0.15">
      <c r="A976" s="107">
        <v>1697</v>
      </c>
      <c r="B976" s="107" t="s">
        <v>197</v>
      </c>
      <c r="C976" s="107" t="s">
        <v>271</v>
      </c>
      <c r="D976" s="107">
        <v>1950</v>
      </c>
      <c r="E976" s="107" t="s">
        <v>193</v>
      </c>
      <c r="F976" s="107" t="s">
        <v>514</v>
      </c>
      <c r="G976" s="107">
        <v>204</v>
      </c>
      <c r="H976" s="107">
        <v>5</v>
      </c>
      <c r="I976" s="107">
        <v>0</v>
      </c>
      <c r="J976" s="107">
        <f t="shared" si="15"/>
        <v>0.10474358974358974</v>
      </c>
      <c r="K976" s="107">
        <v>4038</v>
      </c>
      <c r="L976" s="107">
        <v>1846</v>
      </c>
      <c r="M976" s="107">
        <v>716</v>
      </c>
      <c r="N976" s="107" t="s">
        <v>294</v>
      </c>
    </row>
    <row r="977" spans="1:15" x14ac:dyDescent="0.15">
      <c r="A977" s="107">
        <v>1698</v>
      </c>
      <c r="B977" s="107" t="s">
        <v>192</v>
      </c>
      <c r="C977" s="107" t="s">
        <v>271</v>
      </c>
      <c r="D977" s="107">
        <v>1650</v>
      </c>
      <c r="E977" s="107" t="s">
        <v>193</v>
      </c>
      <c r="F977" s="107" t="s">
        <v>514</v>
      </c>
      <c r="G977" s="107">
        <v>177</v>
      </c>
      <c r="H977" s="107">
        <v>7</v>
      </c>
      <c r="I977" s="107">
        <v>8</v>
      </c>
      <c r="J977" s="107">
        <f t="shared" si="15"/>
        <v>0.1075</v>
      </c>
      <c r="K977" s="107">
        <v>4043</v>
      </c>
      <c r="L977" s="107">
        <v>1851</v>
      </c>
      <c r="M977" s="107">
        <v>839</v>
      </c>
      <c r="N977" s="107"/>
      <c r="O977" s="107"/>
    </row>
    <row r="978" spans="1:15" x14ac:dyDescent="0.15">
      <c r="A978" s="107">
        <v>1699</v>
      </c>
      <c r="B978" s="107" t="s">
        <v>197</v>
      </c>
      <c r="C978" s="107" t="s">
        <v>271</v>
      </c>
      <c r="D978" s="107">
        <v>2000</v>
      </c>
      <c r="E978" s="107" t="s">
        <v>193</v>
      </c>
      <c r="F978" s="107" t="s">
        <v>514</v>
      </c>
      <c r="G978" s="107">
        <v>215</v>
      </c>
      <c r="H978" s="107">
        <v>0</v>
      </c>
      <c r="I978" s="107">
        <v>0</v>
      </c>
      <c r="J978" s="107">
        <f t="shared" si="15"/>
        <v>0.1075</v>
      </c>
      <c r="K978" s="107">
        <v>4043</v>
      </c>
      <c r="L978" s="107">
        <v>1851</v>
      </c>
      <c r="M978" s="107">
        <v>852</v>
      </c>
      <c r="N978" s="107"/>
      <c r="O978" s="107"/>
    </row>
    <row r="979" spans="1:15" x14ac:dyDescent="0.15">
      <c r="A979" s="107">
        <v>1700</v>
      </c>
      <c r="B979" s="107" t="s">
        <v>200</v>
      </c>
      <c r="C979" s="107" t="s">
        <v>271</v>
      </c>
      <c r="D979" s="107">
        <v>2050</v>
      </c>
      <c r="E979" s="107" t="s">
        <v>193</v>
      </c>
      <c r="F979" s="107" t="s">
        <v>514</v>
      </c>
      <c r="G979" s="107">
        <v>206</v>
      </c>
      <c r="H979" s="107">
        <v>0</v>
      </c>
      <c r="I979" s="107">
        <v>0</v>
      </c>
      <c r="J979" s="107">
        <f t="shared" si="15"/>
        <v>0.10048780487804879</v>
      </c>
      <c r="K979" s="107">
        <v>4047</v>
      </c>
      <c r="L979" s="107">
        <v>1855</v>
      </c>
      <c r="M979" s="107">
        <v>532</v>
      </c>
      <c r="N979" s="107" t="s">
        <v>272</v>
      </c>
      <c r="O979" s="107"/>
    </row>
    <row r="980" spans="1:15" x14ac:dyDescent="0.15">
      <c r="A980" s="107">
        <v>1701</v>
      </c>
      <c r="B980" s="107" t="s">
        <v>196</v>
      </c>
      <c r="C980" s="107" t="s">
        <v>271</v>
      </c>
      <c r="D980" s="107">
        <v>2050</v>
      </c>
      <c r="E980" s="107" t="s">
        <v>193</v>
      </c>
      <c r="F980" s="107" t="s">
        <v>514</v>
      </c>
      <c r="G980" s="107">
        <v>206</v>
      </c>
      <c r="H980" s="107">
        <v>0</v>
      </c>
      <c r="I980" s="107">
        <v>8</v>
      </c>
      <c r="J980" s="107">
        <f t="shared" si="15"/>
        <v>0.10050000000000001</v>
      </c>
      <c r="K980" s="107">
        <v>4047</v>
      </c>
      <c r="L980" s="107">
        <v>1855</v>
      </c>
      <c r="M980" s="107">
        <v>564</v>
      </c>
      <c r="N980" s="107" t="s">
        <v>273</v>
      </c>
      <c r="O980" s="107"/>
    </row>
    <row r="981" spans="1:15" x14ac:dyDescent="0.15">
      <c r="A981" s="107">
        <v>1701</v>
      </c>
      <c r="B981" s="107" t="s">
        <v>197</v>
      </c>
      <c r="C981" s="107" t="s">
        <v>271</v>
      </c>
      <c r="D981" s="107">
        <v>2100</v>
      </c>
      <c r="E981" s="107" t="s">
        <v>193</v>
      </c>
      <c r="F981" s="107" t="s">
        <v>514</v>
      </c>
      <c r="G981" s="107">
        <v>211</v>
      </c>
      <c r="H981" s="107">
        <v>1</v>
      </c>
      <c r="I981" s="107">
        <v>0</v>
      </c>
      <c r="J981" s="107">
        <f t="shared" si="15"/>
        <v>0.10050000000000001</v>
      </c>
      <c r="K981" s="107">
        <v>4047</v>
      </c>
      <c r="L981" s="107">
        <v>1855</v>
      </c>
      <c r="M981" s="107">
        <v>558</v>
      </c>
      <c r="N981" s="107" t="s">
        <v>273</v>
      </c>
      <c r="O981" s="107"/>
    </row>
    <row r="982" spans="1:15" x14ac:dyDescent="0.15">
      <c r="A982" s="107">
        <v>1702</v>
      </c>
      <c r="B982" s="107" t="s">
        <v>244</v>
      </c>
      <c r="C982" s="107" t="s">
        <v>271</v>
      </c>
      <c r="D982" s="107">
        <v>100</v>
      </c>
      <c r="E982" s="107" t="s">
        <v>193</v>
      </c>
      <c r="F982" s="107" t="s">
        <v>514</v>
      </c>
      <c r="G982" s="107">
        <v>11</v>
      </c>
      <c r="H982" s="107">
        <v>0</v>
      </c>
      <c r="I982" s="107">
        <v>0</v>
      </c>
      <c r="J982" s="107">
        <f t="shared" si="15"/>
        <v>0.11</v>
      </c>
      <c r="K982" s="107">
        <v>4049</v>
      </c>
      <c r="L982" s="107">
        <v>1856</v>
      </c>
      <c r="M982" s="107">
        <v>499</v>
      </c>
      <c r="N982" s="107"/>
      <c r="O982" s="107"/>
    </row>
    <row r="983" spans="1:15" x14ac:dyDescent="0.15">
      <c r="A983" s="107">
        <v>1703</v>
      </c>
      <c r="B983" s="107" t="s">
        <v>253</v>
      </c>
      <c r="C983" s="107" t="s">
        <v>271</v>
      </c>
      <c r="D983" s="107">
        <v>100</v>
      </c>
      <c r="E983" s="107" t="s">
        <v>193</v>
      </c>
      <c r="F983" s="107" t="s">
        <v>514</v>
      </c>
      <c r="G983" s="107">
        <v>10</v>
      </c>
      <c r="H983" s="107">
        <v>5</v>
      </c>
      <c r="I983" s="107">
        <v>0</v>
      </c>
      <c r="J983" s="107">
        <f t="shared" si="15"/>
        <v>0.10249999999999999</v>
      </c>
      <c r="K983" s="107">
        <v>4049</v>
      </c>
      <c r="L983" s="107">
        <v>1856</v>
      </c>
      <c r="M983" s="107">
        <v>537</v>
      </c>
      <c r="N983" s="107"/>
      <c r="O983" s="107"/>
    </row>
    <row r="984" spans="1:15" x14ac:dyDescent="0.15">
      <c r="A984" s="107">
        <v>1703</v>
      </c>
      <c r="B984" s="107" t="s">
        <v>253</v>
      </c>
      <c r="C984" s="107" t="s">
        <v>271</v>
      </c>
      <c r="D984" s="107">
        <v>50</v>
      </c>
      <c r="E984" s="107" t="s">
        <v>193</v>
      </c>
      <c r="F984" s="107" t="s">
        <v>514</v>
      </c>
      <c r="G984" s="107">
        <v>5</v>
      </c>
      <c r="H984" s="107">
        <v>2</v>
      </c>
      <c r="I984" s="107">
        <v>0</v>
      </c>
      <c r="J984" s="107">
        <f t="shared" si="15"/>
        <v>0.10199999999999999</v>
      </c>
      <c r="K984" s="107">
        <v>4049</v>
      </c>
      <c r="L984" s="107">
        <v>1856</v>
      </c>
      <c r="M984" s="107">
        <v>538</v>
      </c>
      <c r="N984" s="107"/>
      <c r="O984" s="107"/>
    </row>
    <row r="985" spans="1:15" x14ac:dyDescent="0.15">
      <c r="A985" s="107">
        <v>1704</v>
      </c>
      <c r="B985" s="107" t="s">
        <v>253</v>
      </c>
      <c r="C985" s="107" t="s">
        <v>271</v>
      </c>
      <c r="D985" s="107">
        <v>1075</v>
      </c>
      <c r="E985" s="107" t="s">
        <v>193</v>
      </c>
      <c r="F985" s="107" t="s">
        <v>514</v>
      </c>
      <c r="G985" s="107">
        <v>118</v>
      </c>
      <c r="H985" s="107">
        <v>5</v>
      </c>
      <c r="I985" s="107">
        <v>0</v>
      </c>
      <c r="J985" s="107">
        <f t="shared" si="15"/>
        <v>0.11</v>
      </c>
      <c r="K985" s="107">
        <v>4050</v>
      </c>
      <c r="L985" s="107">
        <v>1858</v>
      </c>
      <c r="M985" s="107">
        <v>502</v>
      </c>
      <c r="N985" s="107"/>
      <c r="O985" s="107"/>
    </row>
    <row r="986" spans="1:15" x14ac:dyDescent="0.15">
      <c r="A986" s="107">
        <v>1705</v>
      </c>
      <c r="B986" s="107" t="s">
        <v>260</v>
      </c>
      <c r="C986" s="107" t="s">
        <v>271</v>
      </c>
      <c r="D986" s="107">
        <v>100</v>
      </c>
      <c r="E986" s="107" t="s">
        <v>193</v>
      </c>
      <c r="F986" s="107" t="s">
        <v>514</v>
      </c>
      <c r="G986" s="107">
        <v>11</v>
      </c>
      <c r="H986" s="107">
        <v>0</v>
      </c>
      <c r="I986" s="107">
        <v>0</v>
      </c>
      <c r="J986" s="107">
        <f t="shared" si="15"/>
        <v>0.11</v>
      </c>
      <c r="K986" s="107">
        <v>4051</v>
      </c>
      <c r="L986" s="107">
        <v>1860</v>
      </c>
      <c r="M986" s="107">
        <v>673</v>
      </c>
      <c r="N986" s="107"/>
      <c r="O986" s="107"/>
    </row>
    <row r="987" spans="1:15" x14ac:dyDescent="0.15">
      <c r="A987" s="107">
        <v>1655</v>
      </c>
      <c r="B987" s="107" t="s">
        <v>247</v>
      </c>
      <c r="C987" s="107" t="s">
        <v>274</v>
      </c>
      <c r="D987" s="107">
        <v>23</v>
      </c>
      <c r="E987" s="107" t="s">
        <v>193</v>
      </c>
      <c r="F987" s="107" t="s">
        <v>515</v>
      </c>
      <c r="G987" s="107">
        <v>6</v>
      </c>
      <c r="H987" s="107">
        <v>18</v>
      </c>
      <c r="I987" s="107">
        <v>0</v>
      </c>
      <c r="J987" s="107">
        <f t="shared" si="15"/>
        <v>0.3</v>
      </c>
      <c r="K987" s="107">
        <v>3990</v>
      </c>
      <c r="L987" s="107">
        <v>1788</v>
      </c>
      <c r="M987" s="107">
        <v>224</v>
      </c>
      <c r="N987" s="107" t="s">
        <v>287</v>
      </c>
      <c r="O987" s="107" t="s">
        <v>319</v>
      </c>
    </row>
    <row r="988" spans="1:15" x14ac:dyDescent="0.15">
      <c r="A988" s="107">
        <v>1655</v>
      </c>
      <c r="B988" s="107" t="s">
        <v>192</v>
      </c>
      <c r="C988" s="107" t="s">
        <v>274</v>
      </c>
      <c r="D988" s="107">
        <v>1</v>
      </c>
      <c r="E988" s="107"/>
      <c r="F988" s="107" t="s">
        <v>516</v>
      </c>
      <c r="G988" s="107">
        <v>4</v>
      </c>
      <c r="H988" s="107">
        <v>0</v>
      </c>
      <c r="I988" s="107">
        <v>0</v>
      </c>
      <c r="J988" s="107">
        <f t="shared" si="15"/>
        <v>4</v>
      </c>
      <c r="K988" s="107">
        <v>3990</v>
      </c>
      <c r="L988" s="107">
        <v>1788</v>
      </c>
      <c r="M988" s="107">
        <v>227</v>
      </c>
      <c r="N988" s="107" t="s">
        <v>287</v>
      </c>
      <c r="O988" s="107" t="s">
        <v>517</v>
      </c>
    </row>
    <row r="989" spans="1:15" x14ac:dyDescent="0.15">
      <c r="A989" s="107">
        <v>1655</v>
      </c>
      <c r="B989" s="107" t="s">
        <v>247</v>
      </c>
      <c r="C989" s="107" t="s">
        <v>274</v>
      </c>
      <c r="D989" s="107">
        <v>32</v>
      </c>
      <c r="E989" s="107" t="s">
        <v>193</v>
      </c>
      <c r="F989" s="107" t="s">
        <v>518</v>
      </c>
      <c r="G989" s="107">
        <v>9</v>
      </c>
      <c r="H989" s="107">
        <v>12</v>
      </c>
      <c r="I989" s="107">
        <v>0</v>
      </c>
      <c r="J989" s="107">
        <f t="shared" si="15"/>
        <v>0.3</v>
      </c>
      <c r="K989" s="107">
        <v>3990</v>
      </c>
      <c r="L989" s="107">
        <v>1788</v>
      </c>
      <c r="M989" s="107">
        <v>224</v>
      </c>
      <c r="N989" s="107" t="s">
        <v>287</v>
      </c>
      <c r="O989" s="107" t="s">
        <v>319</v>
      </c>
    </row>
    <row r="990" spans="1:15" x14ac:dyDescent="0.15">
      <c r="A990" s="107">
        <v>1682</v>
      </c>
      <c r="B990" s="107" t="s">
        <v>197</v>
      </c>
      <c r="C990" s="107" t="s">
        <v>271</v>
      </c>
      <c r="D990" s="107">
        <v>4</v>
      </c>
      <c r="E990" s="107" t="s">
        <v>204</v>
      </c>
      <c r="F990" s="107" t="s">
        <v>519</v>
      </c>
      <c r="G990" s="107">
        <v>6</v>
      </c>
      <c r="H990" s="107">
        <v>16</v>
      </c>
      <c r="I990" s="107">
        <v>0</v>
      </c>
      <c r="J990" s="107">
        <f t="shared" si="15"/>
        <v>1.7</v>
      </c>
      <c r="K990" s="107">
        <v>4018</v>
      </c>
      <c r="L990" s="107">
        <v>1820</v>
      </c>
      <c r="M990" s="107">
        <v>759</v>
      </c>
      <c r="N990" s="107" t="s">
        <v>273</v>
      </c>
      <c r="O990" s="107"/>
    </row>
    <row r="991" spans="1:15" x14ac:dyDescent="0.15">
      <c r="A991" s="107">
        <v>1655</v>
      </c>
      <c r="B991" s="107" t="s">
        <v>236</v>
      </c>
      <c r="C991" s="107" t="s">
        <v>274</v>
      </c>
      <c r="D991" s="107">
        <v>1</v>
      </c>
      <c r="E991" s="107"/>
      <c r="F991" s="107" t="s">
        <v>520</v>
      </c>
      <c r="G991" s="107">
        <v>27</v>
      </c>
      <c r="H991" s="107">
        <v>0</v>
      </c>
      <c r="I991" s="107">
        <v>0</v>
      </c>
      <c r="J991" s="107">
        <f t="shared" si="15"/>
        <v>27</v>
      </c>
      <c r="K991" s="107">
        <v>3990</v>
      </c>
      <c r="L991" s="107">
        <v>1788</v>
      </c>
      <c r="M991" s="107">
        <v>203</v>
      </c>
      <c r="N991" s="107" t="s">
        <v>521</v>
      </c>
      <c r="O991" s="107"/>
    </row>
    <row r="992" spans="1:15" x14ac:dyDescent="0.15">
      <c r="A992" s="107">
        <v>1665</v>
      </c>
      <c r="B992" s="107" t="s">
        <v>197</v>
      </c>
      <c r="C992" s="107" t="s">
        <v>274</v>
      </c>
      <c r="D992" s="107">
        <v>7756</v>
      </c>
      <c r="E992" s="107" t="s">
        <v>193</v>
      </c>
      <c r="F992" s="107" t="s">
        <v>522</v>
      </c>
      <c r="G992" s="107">
        <v>581</v>
      </c>
      <c r="H992" s="107">
        <v>14</v>
      </c>
      <c r="I992" s="107">
        <v>0</v>
      </c>
      <c r="J992" s="107">
        <f t="shared" si="15"/>
        <v>7.5000000000000011E-2</v>
      </c>
      <c r="K992" s="107">
        <v>4000</v>
      </c>
      <c r="L992" s="107">
        <v>1798</v>
      </c>
      <c r="M992" s="107">
        <v>61</v>
      </c>
      <c r="N992" s="107"/>
      <c r="O992" s="107"/>
    </row>
    <row r="993" spans="1:13" x14ac:dyDescent="0.15">
      <c r="A993" s="107">
        <v>1666</v>
      </c>
      <c r="B993" s="107" t="s">
        <v>197</v>
      </c>
      <c r="C993" s="107" t="s">
        <v>274</v>
      </c>
      <c r="D993" s="107">
        <v>7756</v>
      </c>
      <c r="E993" s="107" t="s">
        <v>193</v>
      </c>
      <c r="F993" s="107" t="s">
        <v>522</v>
      </c>
      <c r="G993" s="107">
        <v>581</v>
      </c>
      <c r="H993" s="107">
        <v>14</v>
      </c>
      <c r="I993" s="107">
        <v>0</v>
      </c>
      <c r="J993" s="107">
        <f t="shared" si="15"/>
        <v>7.5000000000000011E-2</v>
      </c>
      <c r="K993" s="107">
        <v>4001</v>
      </c>
      <c r="L993" s="107">
        <v>1800</v>
      </c>
      <c r="M993" s="107">
        <v>38</v>
      </c>
    </row>
    <row r="994" spans="1:13" x14ac:dyDescent="0.15">
      <c r="A994" s="107">
        <v>1705</v>
      </c>
      <c r="B994" s="107" t="s">
        <v>197</v>
      </c>
      <c r="C994" s="107" t="s">
        <v>268</v>
      </c>
      <c r="D994" s="25">
        <v>250</v>
      </c>
      <c r="E994" s="107" t="s">
        <v>193</v>
      </c>
      <c r="F994" s="107" t="s">
        <v>522</v>
      </c>
      <c r="G994" s="107">
        <v>27</v>
      </c>
      <c r="H994" s="107">
        <v>10</v>
      </c>
      <c r="I994" s="107">
        <v>0</v>
      </c>
      <c r="J994" s="107">
        <f t="shared" si="15"/>
        <v>0.11</v>
      </c>
      <c r="K994" s="107">
        <v>5536</v>
      </c>
      <c r="L994" s="107"/>
      <c r="M994" s="107"/>
    </row>
    <row r="995" spans="1:13" x14ac:dyDescent="0.15">
      <c r="A995" s="107">
        <v>1721</v>
      </c>
      <c r="B995" s="107" t="s">
        <v>192</v>
      </c>
      <c r="C995" s="107" t="s">
        <v>268</v>
      </c>
      <c r="D995" s="25">
        <v>280</v>
      </c>
      <c r="E995" s="107" t="s">
        <v>193</v>
      </c>
      <c r="F995" s="107" t="s">
        <v>522</v>
      </c>
      <c r="G995" s="107">
        <v>31</v>
      </c>
      <c r="H995" s="107">
        <v>7</v>
      </c>
      <c r="I995" s="107">
        <v>0</v>
      </c>
      <c r="J995" s="107">
        <f t="shared" si="15"/>
        <v>0.11196428571428572</v>
      </c>
      <c r="K995" s="107">
        <v>5753</v>
      </c>
      <c r="L995" s="107"/>
      <c r="M995" s="107"/>
    </row>
    <row r="996" spans="1:13" x14ac:dyDescent="0.15">
      <c r="A996" s="107">
        <v>1734</v>
      </c>
      <c r="B996" s="107" t="s">
        <v>196</v>
      </c>
      <c r="C996" s="107" t="s">
        <v>268</v>
      </c>
      <c r="D996" s="25">
        <v>350</v>
      </c>
      <c r="E996" s="107" t="s">
        <v>193</v>
      </c>
      <c r="F996" s="107" t="s">
        <v>522</v>
      </c>
      <c r="G996" s="107">
        <v>33</v>
      </c>
      <c r="H996" s="107">
        <v>10</v>
      </c>
      <c r="I996" s="107">
        <v>8</v>
      </c>
      <c r="J996" s="107">
        <f t="shared" si="15"/>
        <v>9.578571428571428E-2</v>
      </c>
      <c r="K996" s="107">
        <v>5981</v>
      </c>
      <c r="L996" s="107"/>
      <c r="M996" s="107"/>
    </row>
    <row r="997" spans="1:13" x14ac:dyDescent="0.15">
      <c r="A997" s="107">
        <v>1736</v>
      </c>
      <c r="B997" s="107" t="s">
        <v>261</v>
      </c>
      <c r="C997" s="107" t="s">
        <v>268</v>
      </c>
      <c r="D997" s="25">
        <v>250</v>
      </c>
      <c r="E997" s="107" t="s">
        <v>193</v>
      </c>
      <c r="F997" s="107" t="s">
        <v>522</v>
      </c>
      <c r="G997" s="107">
        <v>24</v>
      </c>
      <c r="H997" s="107">
        <v>4</v>
      </c>
      <c r="I997" s="107">
        <v>0</v>
      </c>
      <c r="J997" s="107">
        <f t="shared" si="15"/>
        <v>9.6799999999999997E-2</v>
      </c>
      <c r="K997" s="107">
        <v>6014</v>
      </c>
      <c r="L997" s="107"/>
      <c r="M997" s="107"/>
    </row>
    <row r="998" spans="1:13" x14ac:dyDescent="0.15">
      <c r="A998" s="107">
        <v>1740</v>
      </c>
      <c r="B998" s="107" t="s">
        <v>197</v>
      </c>
      <c r="C998" s="107" t="s">
        <v>268</v>
      </c>
      <c r="D998" s="25">
        <v>20</v>
      </c>
      <c r="E998" s="107" t="s">
        <v>193</v>
      </c>
      <c r="F998" s="107" t="s">
        <v>522</v>
      </c>
      <c r="G998" s="107">
        <v>1</v>
      </c>
      <c r="H998" s="107">
        <v>19</v>
      </c>
      <c r="I998" s="107">
        <v>8</v>
      </c>
      <c r="J998" s="107">
        <f t="shared" si="15"/>
        <v>9.8749999999999991E-2</v>
      </c>
      <c r="K998" s="107">
        <v>6098</v>
      </c>
      <c r="L998" s="107"/>
      <c r="M998" s="107"/>
    </row>
    <row r="999" spans="1:13" x14ac:dyDescent="0.15">
      <c r="A999" s="107">
        <v>1749</v>
      </c>
      <c r="B999" s="107" t="s">
        <v>253</v>
      </c>
      <c r="C999" s="107" t="s">
        <v>268</v>
      </c>
      <c r="D999" s="25">
        <v>250</v>
      </c>
      <c r="E999" s="107" t="s">
        <v>193</v>
      </c>
      <c r="F999" s="107" t="s">
        <v>522</v>
      </c>
      <c r="G999" s="107">
        <v>23</v>
      </c>
      <c r="H999" s="107">
        <v>4</v>
      </c>
      <c r="I999" s="107">
        <v>8</v>
      </c>
      <c r="J999" s="107">
        <f t="shared" si="15"/>
        <v>9.2899999999999996E-2</v>
      </c>
      <c r="K999" s="107">
        <v>6233</v>
      </c>
      <c r="L999" s="107"/>
      <c r="M999" s="107"/>
    </row>
    <row r="1000" spans="1:13" x14ac:dyDescent="0.15">
      <c r="A1000" s="107">
        <v>1765</v>
      </c>
      <c r="B1000" s="107" t="s">
        <v>196</v>
      </c>
      <c r="C1000" s="107" t="s">
        <v>268</v>
      </c>
      <c r="D1000" s="25">
        <v>269</v>
      </c>
      <c r="E1000" s="107" t="s">
        <v>193</v>
      </c>
      <c r="F1000" s="107" t="s">
        <v>522</v>
      </c>
      <c r="G1000" s="107">
        <v>29</v>
      </c>
      <c r="H1000" s="107">
        <v>15</v>
      </c>
      <c r="I1000" s="107">
        <v>8</v>
      </c>
      <c r="J1000" s="107">
        <f t="shared" si="15"/>
        <v>0.11068773234200743</v>
      </c>
      <c r="K1000" s="107">
        <v>6454</v>
      </c>
      <c r="L1000" s="107"/>
      <c r="M1000" s="107"/>
    </row>
    <row r="1001" spans="1:13" x14ac:dyDescent="0.15">
      <c r="A1001" s="107">
        <v>1777</v>
      </c>
      <c r="B1001" s="107" t="s">
        <v>253</v>
      </c>
      <c r="C1001" s="107" t="s">
        <v>268</v>
      </c>
      <c r="D1001" s="25">
        <v>525</v>
      </c>
      <c r="E1001" s="107" t="s">
        <v>193</v>
      </c>
      <c r="F1001" s="107" t="s">
        <v>522</v>
      </c>
      <c r="G1001" s="107">
        <v>51</v>
      </c>
      <c r="H1001" s="107">
        <v>3</v>
      </c>
      <c r="I1001" s="107">
        <v>0</v>
      </c>
      <c r="J1001" s="107">
        <f t="shared" si="15"/>
        <v>9.742857142857142E-2</v>
      </c>
      <c r="K1001" s="107">
        <v>6643</v>
      </c>
      <c r="L1001" s="107"/>
      <c r="M1001" s="107"/>
    </row>
    <row r="1002" spans="1:13" x14ac:dyDescent="0.15">
      <c r="A1002" s="107">
        <v>1779</v>
      </c>
      <c r="B1002" s="107" t="s">
        <v>260</v>
      </c>
      <c r="C1002" s="107" t="s">
        <v>268</v>
      </c>
      <c r="D1002" s="25">
        <v>498</v>
      </c>
      <c r="E1002" s="107" t="s">
        <v>193</v>
      </c>
      <c r="F1002" s="107" t="s">
        <v>522</v>
      </c>
      <c r="G1002" s="107">
        <v>50</v>
      </c>
      <c r="H1002" s="107">
        <v>13</v>
      </c>
      <c r="I1002" s="107">
        <v>8</v>
      </c>
      <c r="J1002" s="107">
        <f t="shared" si="15"/>
        <v>0.1017570281124498</v>
      </c>
      <c r="K1002" s="107">
        <v>6669</v>
      </c>
      <c r="L1002" s="107"/>
      <c r="M1002" s="107"/>
    </row>
    <row r="1003" spans="1:13" x14ac:dyDescent="0.15">
      <c r="A1003" s="107">
        <v>1786</v>
      </c>
      <c r="B1003" s="107" t="s">
        <v>261</v>
      </c>
      <c r="C1003" s="107" t="s">
        <v>268</v>
      </c>
      <c r="D1003" s="25">
        <v>470</v>
      </c>
      <c r="E1003" s="107" t="s">
        <v>193</v>
      </c>
      <c r="F1003" s="107" t="s">
        <v>522</v>
      </c>
      <c r="G1003" s="107">
        <v>37</v>
      </c>
      <c r="H1003" s="107">
        <v>7</v>
      </c>
      <c r="I1003" s="107">
        <v>0</v>
      </c>
      <c r="J1003" s="107">
        <f t="shared" si="15"/>
        <v>7.946808510638298E-2</v>
      </c>
      <c r="K1003" s="107">
        <v>6746</v>
      </c>
      <c r="L1003" s="107"/>
      <c r="M1003" s="107"/>
    </row>
    <row r="1004" spans="1:13" x14ac:dyDescent="0.15">
      <c r="A1004" s="107">
        <v>1706</v>
      </c>
      <c r="B1004" s="107" t="s">
        <v>186</v>
      </c>
      <c r="C1004" s="107" t="s">
        <v>268</v>
      </c>
      <c r="D1004" s="25">
        <v>250</v>
      </c>
      <c r="E1004" s="107" t="s">
        <v>193</v>
      </c>
      <c r="F1004" s="107" t="s">
        <v>523</v>
      </c>
      <c r="G1004" s="107">
        <v>26</v>
      </c>
      <c r="H1004" s="107">
        <v>12</v>
      </c>
      <c r="I1004" s="107">
        <v>8</v>
      </c>
      <c r="J1004" s="107">
        <f t="shared" si="15"/>
        <v>0.1065</v>
      </c>
      <c r="K1004" s="107">
        <v>5558</v>
      </c>
      <c r="L1004" s="107"/>
      <c r="M1004" s="107"/>
    </row>
    <row r="1005" spans="1:13" x14ac:dyDescent="0.15">
      <c r="A1005" s="107">
        <v>1707</v>
      </c>
      <c r="B1005" s="107" t="s">
        <v>244</v>
      </c>
      <c r="C1005" s="107" t="s">
        <v>268</v>
      </c>
      <c r="D1005" s="25">
        <v>250</v>
      </c>
      <c r="E1005" s="107" t="s">
        <v>193</v>
      </c>
      <c r="F1005" s="107" t="s">
        <v>523</v>
      </c>
      <c r="G1005" s="107">
        <v>26</v>
      </c>
      <c r="H1005" s="107">
        <v>15</v>
      </c>
      <c r="I1005" s="107">
        <v>0</v>
      </c>
      <c r="J1005" s="107">
        <f t="shared" si="15"/>
        <v>0.107</v>
      </c>
      <c r="K1005" s="107">
        <v>5570</v>
      </c>
      <c r="L1005" s="107"/>
      <c r="M1005" s="107"/>
    </row>
    <row r="1006" spans="1:13" x14ac:dyDescent="0.15">
      <c r="A1006" s="107">
        <v>1708</v>
      </c>
      <c r="B1006" s="107" t="s">
        <v>253</v>
      </c>
      <c r="C1006" s="107" t="s">
        <v>268</v>
      </c>
      <c r="D1006" s="25">
        <v>320</v>
      </c>
      <c r="E1006" s="107" t="s">
        <v>193</v>
      </c>
      <c r="F1006" s="107" t="s">
        <v>523</v>
      </c>
      <c r="G1006" s="107">
        <v>32</v>
      </c>
      <c r="H1006" s="107">
        <v>19</v>
      </c>
      <c r="I1006" s="107">
        <v>0</v>
      </c>
      <c r="J1006" s="107">
        <f t="shared" si="15"/>
        <v>0.10296875000000001</v>
      </c>
      <c r="K1006" s="107">
        <v>5571</v>
      </c>
      <c r="L1006" s="107"/>
      <c r="M1006" s="107"/>
    </row>
    <row r="1007" spans="1:13" x14ac:dyDescent="0.15">
      <c r="A1007" s="107">
        <v>1709</v>
      </c>
      <c r="B1007" s="107" t="s">
        <v>192</v>
      </c>
      <c r="C1007" s="107" t="s">
        <v>268</v>
      </c>
      <c r="D1007" s="25">
        <v>150</v>
      </c>
      <c r="E1007" s="107" t="s">
        <v>193</v>
      </c>
      <c r="F1007" s="107" t="s">
        <v>523</v>
      </c>
      <c r="G1007" s="107">
        <v>15</v>
      </c>
      <c r="H1007" s="107">
        <v>0</v>
      </c>
      <c r="I1007" s="107">
        <v>0</v>
      </c>
      <c r="J1007" s="107">
        <f t="shared" si="15"/>
        <v>0.1</v>
      </c>
      <c r="K1007" s="107">
        <v>5590</v>
      </c>
      <c r="L1007" s="107"/>
      <c r="M1007" s="107"/>
    </row>
    <row r="1008" spans="1:13" x14ac:dyDescent="0.15">
      <c r="A1008" s="107">
        <v>1710</v>
      </c>
      <c r="B1008" s="107" t="s">
        <v>186</v>
      </c>
      <c r="C1008" s="107" t="s">
        <v>268</v>
      </c>
      <c r="D1008" s="25">
        <v>350</v>
      </c>
      <c r="E1008" s="107" t="s">
        <v>193</v>
      </c>
      <c r="F1008" s="107" t="s">
        <v>523</v>
      </c>
      <c r="G1008" s="107">
        <v>35</v>
      </c>
      <c r="H1008" s="107">
        <v>0</v>
      </c>
      <c r="I1008" s="107">
        <v>0</v>
      </c>
      <c r="J1008" s="107">
        <f t="shared" ref="J1008:J1071" si="16">(G1008+H1008/20+I1008/320)/D1008</f>
        <v>0.1</v>
      </c>
      <c r="K1008" s="107">
        <v>5611</v>
      </c>
      <c r="L1008" s="107"/>
      <c r="M1008" s="107"/>
    </row>
    <row r="1009" spans="1:11" x14ac:dyDescent="0.15">
      <c r="A1009" s="107">
        <v>1711</v>
      </c>
      <c r="B1009" s="107" t="s">
        <v>260</v>
      </c>
      <c r="C1009" s="107" t="s">
        <v>268</v>
      </c>
      <c r="D1009" s="25">
        <v>125</v>
      </c>
      <c r="E1009" s="107" t="s">
        <v>193</v>
      </c>
      <c r="F1009" s="107" t="s">
        <v>523</v>
      </c>
      <c r="G1009" s="107">
        <v>12</v>
      </c>
      <c r="H1009" s="107">
        <v>5</v>
      </c>
      <c r="I1009" s="107">
        <v>0</v>
      </c>
      <c r="J1009" s="107">
        <f t="shared" si="16"/>
        <v>9.8000000000000004E-2</v>
      </c>
      <c r="K1009" s="107">
        <v>5612</v>
      </c>
    </row>
    <row r="1010" spans="1:11" x14ac:dyDescent="0.15">
      <c r="A1010" s="107">
        <v>1712</v>
      </c>
      <c r="B1010" s="107" t="s">
        <v>261</v>
      </c>
      <c r="C1010" s="107" t="s">
        <v>268</v>
      </c>
      <c r="D1010" s="25">
        <v>270</v>
      </c>
      <c r="E1010" s="107" t="s">
        <v>193</v>
      </c>
      <c r="F1010" s="107" t="s">
        <v>523</v>
      </c>
      <c r="G1010" s="107">
        <v>27</v>
      </c>
      <c r="H1010" s="107">
        <v>3</v>
      </c>
      <c r="I1010" s="107">
        <v>0</v>
      </c>
      <c r="J1010" s="107">
        <f t="shared" si="16"/>
        <v>0.10055555555555555</v>
      </c>
      <c r="K1010" s="107">
        <v>5628</v>
      </c>
    </row>
    <row r="1011" spans="1:11" x14ac:dyDescent="0.15">
      <c r="A1011" s="107">
        <v>1715</v>
      </c>
      <c r="B1011" s="107" t="s">
        <v>197</v>
      </c>
      <c r="C1011" s="107" t="s">
        <v>268</v>
      </c>
      <c r="D1011" s="25">
        <v>100</v>
      </c>
      <c r="E1011" s="107" t="s">
        <v>193</v>
      </c>
      <c r="F1011" s="107" t="s">
        <v>523</v>
      </c>
      <c r="G1011" s="107">
        <v>9</v>
      </c>
      <c r="H1011" s="107">
        <v>7</v>
      </c>
      <c r="I1011" s="107">
        <v>8</v>
      </c>
      <c r="J1011" s="107">
        <f t="shared" si="16"/>
        <v>9.375E-2</v>
      </c>
      <c r="K1011" s="107">
        <v>5663</v>
      </c>
    </row>
    <row r="1012" spans="1:11" x14ac:dyDescent="0.15">
      <c r="A1012" s="107">
        <v>1716</v>
      </c>
      <c r="B1012" s="107" t="s">
        <v>197</v>
      </c>
      <c r="C1012" s="107" t="s">
        <v>268</v>
      </c>
      <c r="D1012" s="25">
        <v>350</v>
      </c>
      <c r="E1012" s="107" t="s">
        <v>193</v>
      </c>
      <c r="F1012" s="107" t="s">
        <v>523</v>
      </c>
      <c r="G1012" s="107">
        <v>34</v>
      </c>
      <c r="H1012" s="107">
        <v>2</v>
      </c>
      <c r="I1012" s="107">
        <v>8</v>
      </c>
      <c r="J1012" s="107">
        <f t="shared" si="16"/>
        <v>9.7500000000000003E-2</v>
      </c>
      <c r="K1012" s="107">
        <v>5670</v>
      </c>
    </row>
    <row r="1013" spans="1:11" x14ac:dyDescent="0.15">
      <c r="A1013" s="107">
        <v>1717</v>
      </c>
      <c r="B1013" s="107" t="s">
        <v>192</v>
      </c>
      <c r="C1013" s="107" t="s">
        <v>268</v>
      </c>
      <c r="D1013" s="25">
        <v>400</v>
      </c>
      <c r="E1013" s="107" t="s">
        <v>193</v>
      </c>
      <c r="F1013" s="107" t="s">
        <v>523</v>
      </c>
      <c r="G1013" s="107">
        <v>39</v>
      </c>
      <c r="H1013" s="107">
        <v>8</v>
      </c>
      <c r="I1013" s="107">
        <v>0</v>
      </c>
      <c r="J1013" s="107">
        <f t="shared" si="16"/>
        <v>9.849999999999999E-2</v>
      </c>
      <c r="K1013" s="107">
        <v>5683</v>
      </c>
    </row>
    <row r="1014" spans="1:11" x14ac:dyDescent="0.15">
      <c r="A1014" s="107">
        <v>1718</v>
      </c>
      <c r="B1014" s="107" t="s">
        <v>253</v>
      </c>
      <c r="C1014" s="107" t="s">
        <v>268</v>
      </c>
      <c r="D1014" s="25">
        <v>50</v>
      </c>
      <c r="E1014" s="107" t="s">
        <v>193</v>
      </c>
      <c r="F1014" s="107" t="s">
        <v>523</v>
      </c>
      <c r="G1014" s="107">
        <v>5</v>
      </c>
      <c r="H1014" s="107">
        <v>1</v>
      </c>
      <c r="I1014" s="107">
        <v>8</v>
      </c>
      <c r="J1014" s="107">
        <f t="shared" si="16"/>
        <v>0.10150000000000001</v>
      </c>
      <c r="K1014" s="107">
        <v>5702</v>
      </c>
    </row>
    <row r="1015" spans="1:11" x14ac:dyDescent="0.15">
      <c r="A1015" s="107">
        <v>1718</v>
      </c>
      <c r="B1015" s="107" t="s">
        <v>261</v>
      </c>
      <c r="C1015" s="107" t="s">
        <v>268</v>
      </c>
      <c r="D1015" s="25">
        <v>225</v>
      </c>
      <c r="E1015" s="107" t="s">
        <v>193</v>
      </c>
      <c r="F1015" s="107" t="s">
        <v>523</v>
      </c>
      <c r="G1015" s="107">
        <v>29</v>
      </c>
      <c r="H1015" s="107">
        <v>6</v>
      </c>
      <c r="I1015" s="107">
        <v>0</v>
      </c>
      <c r="J1015" s="107">
        <f t="shared" si="16"/>
        <v>0.13022222222222224</v>
      </c>
      <c r="K1015" s="107">
        <v>5703</v>
      </c>
    </row>
    <row r="1016" spans="1:11" x14ac:dyDescent="0.15">
      <c r="A1016" s="107">
        <v>1719</v>
      </c>
      <c r="B1016" s="107" t="s">
        <v>186</v>
      </c>
      <c r="C1016" s="107" t="s">
        <v>268</v>
      </c>
      <c r="D1016" s="25">
        <v>275</v>
      </c>
      <c r="E1016" s="107" t="s">
        <v>193</v>
      </c>
      <c r="F1016" s="107" t="s">
        <v>523</v>
      </c>
      <c r="G1016" s="107">
        <v>32</v>
      </c>
      <c r="H1016" s="107">
        <v>4</v>
      </c>
      <c r="I1016" s="107">
        <v>8</v>
      </c>
      <c r="J1016" s="107">
        <f t="shared" si="16"/>
        <v>0.11718181818181819</v>
      </c>
      <c r="K1016" s="107">
        <v>5732</v>
      </c>
    </row>
    <row r="1017" spans="1:11" x14ac:dyDescent="0.15">
      <c r="A1017" s="107">
        <v>1720</v>
      </c>
      <c r="B1017" s="107" t="s">
        <v>253</v>
      </c>
      <c r="C1017" s="107" t="s">
        <v>268</v>
      </c>
      <c r="D1017" s="25">
        <v>275</v>
      </c>
      <c r="E1017" s="107" t="s">
        <v>193</v>
      </c>
      <c r="F1017" s="107" t="s">
        <v>523</v>
      </c>
      <c r="G1017" s="107">
        <v>32</v>
      </c>
      <c r="H1017" s="107">
        <v>1</v>
      </c>
      <c r="I1017" s="107">
        <v>0</v>
      </c>
      <c r="J1017" s="107">
        <f t="shared" si="16"/>
        <v>0.11654545454545454</v>
      </c>
      <c r="K1017" s="107">
        <v>5731</v>
      </c>
    </row>
    <row r="1018" spans="1:11" x14ac:dyDescent="0.15">
      <c r="A1018" s="107">
        <v>1722</v>
      </c>
      <c r="B1018" s="107" t="s">
        <v>260</v>
      </c>
      <c r="C1018" s="107" t="s">
        <v>268</v>
      </c>
      <c r="D1018" s="25">
        <v>385</v>
      </c>
      <c r="E1018" s="107" t="s">
        <v>193</v>
      </c>
      <c r="F1018" s="107" t="s">
        <v>523</v>
      </c>
      <c r="G1018" s="107">
        <v>42</v>
      </c>
      <c r="H1018" s="107">
        <v>17</v>
      </c>
      <c r="I1018" s="107">
        <v>8</v>
      </c>
      <c r="J1018" s="107">
        <f t="shared" si="16"/>
        <v>0.11136363636363636</v>
      </c>
      <c r="K1018" s="107">
        <v>5772</v>
      </c>
    </row>
    <row r="1019" spans="1:11" x14ac:dyDescent="0.15">
      <c r="A1019" s="107">
        <v>1723</v>
      </c>
      <c r="B1019" s="107" t="s">
        <v>236</v>
      </c>
      <c r="C1019" s="107" t="s">
        <v>268</v>
      </c>
      <c r="D1019" s="25">
        <v>55</v>
      </c>
      <c r="E1019" s="107" t="s">
        <v>193</v>
      </c>
      <c r="F1019" s="107" t="s">
        <v>523</v>
      </c>
      <c r="G1019" s="107">
        <v>6</v>
      </c>
      <c r="H1019" s="107">
        <v>2</v>
      </c>
      <c r="I1019" s="107">
        <v>8</v>
      </c>
      <c r="J1019" s="107">
        <f t="shared" si="16"/>
        <v>0.11136363636363636</v>
      </c>
      <c r="K1019" s="107">
        <v>6808</v>
      </c>
    </row>
    <row r="1020" spans="1:11" x14ac:dyDescent="0.15">
      <c r="A1020" s="107">
        <v>1724</v>
      </c>
      <c r="B1020" s="107" t="s">
        <v>197</v>
      </c>
      <c r="C1020" s="107" t="s">
        <v>268</v>
      </c>
      <c r="D1020" s="25">
        <v>350</v>
      </c>
      <c r="E1020" s="107" t="s">
        <v>193</v>
      </c>
      <c r="F1020" s="107" t="s">
        <v>523</v>
      </c>
      <c r="G1020" s="107">
        <v>31</v>
      </c>
      <c r="H1020" s="107">
        <v>9</v>
      </c>
      <c r="I1020" s="107">
        <v>0</v>
      </c>
      <c r="J1020" s="107">
        <f t="shared" si="16"/>
        <v>8.9857142857142858E-2</v>
      </c>
      <c r="K1020" s="107">
        <v>6807</v>
      </c>
    </row>
    <row r="1021" spans="1:11" x14ac:dyDescent="0.15">
      <c r="A1021" s="107">
        <v>1725</v>
      </c>
      <c r="B1021" s="107" t="s">
        <v>200</v>
      </c>
      <c r="C1021" s="107" t="s">
        <v>268</v>
      </c>
      <c r="D1021" s="25">
        <v>125</v>
      </c>
      <c r="E1021" s="107" t="s">
        <v>193</v>
      </c>
      <c r="F1021" s="107" t="s">
        <v>523</v>
      </c>
      <c r="G1021" s="107">
        <v>11</v>
      </c>
      <c r="H1021" s="107">
        <v>4</v>
      </c>
      <c r="I1021" s="107">
        <v>8</v>
      </c>
      <c r="J1021" s="107">
        <f t="shared" si="16"/>
        <v>8.9799999999999991E-2</v>
      </c>
      <c r="K1021" s="107">
        <v>5838</v>
      </c>
    </row>
    <row r="1022" spans="1:11" x14ac:dyDescent="0.15">
      <c r="A1022" s="107">
        <v>1726</v>
      </c>
      <c r="B1022" s="107" t="s">
        <v>261</v>
      </c>
      <c r="C1022" s="107" t="s">
        <v>268</v>
      </c>
      <c r="D1022" s="25">
        <v>60</v>
      </c>
      <c r="E1022" s="107" t="s">
        <v>193</v>
      </c>
      <c r="F1022" s="107" t="s">
        <v>523</v>
      </c>
      <c r="G1022" s="107">
        <v>5</v>
      </c>
      <c r="H1022" s="107">
        <v>14</v>
      </c>
      <c r="I1022" s="107">
        <v>0</v>
      </c>
      <c r="J1022" s="107">
        <f t="shared" si="16"/>
        <v>9.5000000000000001E-2</v>
      </c>
      <c r="K1022" s="107">
        <v>5855</v>
      </c>
    </row>
    <row r="1023" spans="1:11" x14ac:dyDescent="0.15">
      <c r="A1023" s="107">
        <v>1727</v>
      </c>
      <c r="B1023" s="107" t="s">
        <v>192</v>
      </c>
      <c r="C1023" s="107" t="s">
        <v>268</v>
      </c>
      <c r="D1023" s="25">
        <v>170</v>
      </c>
      <c r="E1023" s="107" t="s">
        <v>193</v>
      </c>
      <c r="F1023" s="107" t="s">
        <v>523</v>
      </c>
      <c r="G1023" s="107">
        <v>21</v>
      </c>
      <c r="H1023" s="107">
        <v>0</v>
      </c>
      <c r="I1023" s="107">
        <v>0</v>
      </c>
      <c r="J1023" s="107">
        <f t="shared" si="16"/>
        <v>0.12352941176470589</v>
      </c>
      <c r="K1023" s="107">
        <v>5871</v>
      </c>
    </row>
    <row r="1024" spans="1:11" x14ac:dyDescent="0.15">
      <c r="A1024" s="107">
        <v>1728</v>
      </c>
      <c r="B1024" s="107" t="s">
        <v>186</v>
      </c>
      <c r="C1024" s="107" t="s">
        <v>268</v>
      </c>
      <c r="D1024" s="25">
        <v>450</v>
      </c>
      <c r="E1024" s="107" t="s">
        <v>193</v>
      </c>
      <c r="F1024" s="107" t="s">
        <v>523</v>
      </c>
      <c r="G1024" s="107">
        <v>54</v>
      </c>
      <c r="H1024" s="107">
        <v>18</v>
      </c>
      <c r="I1024" s="107">
        <v>8</v>
      </c>
      <c r="J1024" s="107">
        <f t="shared" si="16"/>
        <v>0.12205555555555556</v>
      </c>
      <c r="K1024" s="107">
        <v>5900</v>
      </c>
    </row>
    <row r="1025" spans="1:11" x14ac:dyDescent="0.15">
      <c r="A1025" s="107">
        <v>1729</v>
      </c>
      <c r="B1025" s="107" t="s">
        <v>261</v>
      </c>
      <c r="C1025" s="107" t="s">
        <v>268</v>
      </c>
      <c r="D1025" s="25">
        <v>450</v>
      </c>
      <c r="E1025" s="107" t="s">
        <v>193</v>
      </c>
      <c r="F1025" s="107" t="s">
        <v>523</v>
      </c>
      <c r="G1025" s="107">
        <v>47</v>
      </c>
      <c r="H1025" s="107">
        <v>8</v>
      </c>
      <c r="I1025" s="107">
        <v>0</v>
      </c>
      <c r="J1025" s="107">
        <f t="shared" si="16"/>
        <v>0.10533333333333333</v>
      </c>
      <c r="K1025" s="107">
        <v>5903</v>
      </c>
    </row>
    <row r="1026" spans="1:11" x14ac:dyDescent="0.15">
      <c r="A1026" s="107">
        <v>1730</v>
      </c>
      <c r="B1026" s="107" t="s">
        <v>226</v>
      </c>
      <c r="C1026" s="107" t="s">
        <v>268</v>
      </c>
      <c r="D1026" s="25">
        <v>185</v>
      </c>
      <c r="E1026" s="107" t="s">
        <v>193</v>
      </c>
      <c r="F1026" s="107" t="s">
        <v>523</v>
      </c>
      <c r="G1026" s="107">
        <v>18</v>
      </c>
      <c r="H1026" s="107">
        <v>2</v>
      </c>
      <c r="I1026" s="107">
        <v>0</v>
      </c>
      <c r="J1026" s="107">
        <f t="shared" si="16"/>
        <v>9.7837837837837852E-2</v>
      </c>
      <c r="K1026" s="107">
        <v>5935</v>
      </c>
    </row>
    <row r="1027" spans="1:11" x14ac:dyDescent="0.15">
      <c r="A1027" s="107">
        <v>1731</v>
      </c>
      <c r="B1027" s="107" t="s">
        <v>261</v>
      </c>
      <c r="C1027" s="107" t="s">
        <v>268</v>
      </c>
      <c r="D1027" s="25">
        <v>435</v>
      </c>
      <c r="E1027" s="107" t="s">
        <v>193</v>
      </c>
      <c r="F1027" s="107" t="s">
        <v>523</v>
      </c>
      <c r="G1027" s="107">
        <v>41</v>
      </c>
      <c r="H1027" s="107">
        <v>9</v>
      </c>
      <c r="I1027" s="107">
        <v>8</v>
      </c>
      <c r="J1027" s="107">
        <f t="shared" si="16"/>
        <v>9.5344827586206896E-2</v>
      </c>
      <c r="K1027" s="107">
        <v>5938</v>
      </c>
    </row>
    <row r="1028" spans="1:11" x14ac:dyDescent="0.15">
      <c r="A1028" s="107">
        <v>1732</v>
      </c>
      <c r="B1028" s="107" t="s">
        <v>186</v>
      </c>
      <c r="C1028" s="107" t="s">
        <v>268</v>
      </c>
      <c r="D1028" s="25">
        <v>70</v>
      </c>
      <c r="E1028" s="107" t="s">
        <v>193</v>
      </c>
      <c r="F1028" s="107" t="s">
        <v>523</v>
      </c>
      <c r="G1028" s="107">
        <v>6</v>
      </c>
      <c r="H1028" s="107">
        <v>7</v>
      </c>
      <c r="I1028" s="107">
        <v>8</v>
      </c>
      <c r="J1028" s="107">
        <f t="shared" si="16"/>
        <v>9.1071428571428567E-2</v>
      </c>
      <c r="K1028" s="107">
        <v>5957</v>
      </c>
    </row>
    <row r="1029" spans="1:11" x14ac:dyDescent="0.15">
      <c r="A1029" s="107">
        <v>1733</v>
      </c>
      <c r="B1029" s="107" t="s">
        <v>253</v>
      </c>
      <c r="C1029" s="107" t="s">
        <v>268</v>
      </c>
      <c r="D1029" s="25">
        <v>450</v>
      </c>
      <c r="E1029" s="107" t="s">
        <v>193</v>
      </c>
      <c r="F1029" s="107" t="s">
        <v>523</v>
      </c>
      <c r="G1029" s="107">
        <v>41</v>
      </c>
      <c r="H1029" s="107">
        <v>0</v>
      </c>
      <c r="I1029" s="107">
        <v>8</v>
      </c>
      <c r="J1029" s="107">
        <f t="shared" si="16"/>
        <v>9.116666666666666E-2</v>
      </c>
      <c r="K1029" s="107">
        <v>5956</v>
      </c>
    </row>
    <row r="1030" spans="1:11" x14ac:dyDescent="0.15">
      <c r="A1030" s="107">
        <v>1735</v>
      </c>
      <c r="B1030" s="107" t="s">
        <v>244</v>
      </c>
      <c r="C1030" s="107" t="s">
        <v>268</v>
      </c>
      <c r="D1030" s="25">
        <v>25</v>
      </c>
      <c r="E1030" s="107" t="s">
        <v>193</v>
      </c>
      <c r="F1030" s="107" t="s">
        <v>523</v>
      </c>
      <c r="G1030" s="107">
        <v>2</v>
      </c>
      <c r="H1030" s="107">
        <v>7</v>
      </c>
      <c r="I1030" s="107">
        <v>0</v>
      </c>
      <c r="J1030" s="107">
        <f t="shared" si="16"/>
        <v>9.4E-2</v>
      </c>
      <c r="K1030" s="107">
        <v>6015</v>
      </c>
    </row>
    <row r="1031" spans="1:11" x14ac:dyDescent="0.15">
      <c r="A1031" s="107">
        <v>1737</v>
      </c>
      <c r="B1031" s="107" t="s">
        <v>226</v>
      </c>
      <c r="C1031" s="107" t="s">
        <v>268</v>
      </c>
      <c r="D1031" s="25">
        <v>350</v>
      </c>
      <c r="E1031" s="107" t="s">
        <v>193</v>
      </c>
      <c r="F1031" s="107" t="s">
        <v>523</v>
      </c>
      <c r="G1031" s="107">
        <v>33</v>
      </c>
      <c r="H1031" s="107">
        <v>7</v>
      </c>
      <c r="I1031" s="107">
        <v>8</v>
      </c>
      <c r="J1031" s="107">
        <f t="shared" si="16"/>
        <v>9.5357142857142863E-2</v>
      </c>
      <c r="K1031" s="107">
        <v>6035</v>
      </c>
    </row>
    <row r="1032" spans="1:11" x14ac:dyDescent="0.15">
      <c r="A1032" s="107">
        <v>1738</v>
      </c>
      <c r="B1032" s="107" t="s">
        <v>196</v>
      </c>
      <c r="C1032" s="107" t="s">
        <v>268</v>
      </c>
      <c r="D1032" s="25">
        <v>350</v>
      </c>
      <c r="E1032" s="107" t="s">
        <v>193</v>
      </c>
      <c r="F1032" s="107" t="s">
        <v>523</v>
      </c>
      <c r="G1032" s="107">
        <v>32</v>
      </c>
      <c r="H1032" s="107">
        <v>2</v>
      </c>
      <c r="I1032" s="107">
        <v>8</v>
      </c>
      <c r="J1032" s="107">
        <f t="shared" si="16"/>
        <v>9.178571428571429E-2</v>
      </c>
      <c r="K1032" s="107">
        <v>6060</v>
      </c>
    </row>
    <row r="1033" spans="1:11" x14ac:dyDescent="0.15">
      <c r="A1033" s="107">
        <v>1739</v>
      </c>
      <c r="B1033" s="107" t="s">
        <v>226</v>
      </c>
      <c r="C1033" s="107" t="s">
        <v>268</v>
      </c>
      <c r="D1033" s="25">
        <v>300</v>
      </c>
      <c r="E1033" s="107" t="s">
        <v>193</v>
      </c>
      <c r="F1033" s="107" t="s">
        <v>523</v>
      </c>
      <c r="G1033" s="107">
        <v>28</v>
      </c>
      <c r="H1033" s="107">
        <v>19</v>
      </c>
      <c r="I1033" s="107">
        <v>8</v>
      </c>
      <c r="J1033" s="107">
        <f t="shared" si="16"/>
        <v>9.6583333333333327E-2</v>
      </c>
      <c r="K1033" s="107">
        <v>6089</v>
      </c>
    </row>
    <row r="1034" spans="1:11" x14ac:dyDescent="0.15">
      <c r="A1034" s="107">
        <v>1741</v>
      </c>
      <c r="B1034" s="107" t="s">
        <v>196</v>
      </c>
      <c r="C1034" s="107" t="s">
        <v>268</v>
      </c>
      <c r="D1034" s="25">
        <v>300</v>
      </c>
      <c r="E1034" s="107" t="s">
        <v>193</v>
      </c>
      <c r="F1034" s="107" t="s">
        <v>523</v>
      </c>
      <c r="G1034" s="107">
        <v>29</v>
      </c>
      <c r="H1034" s="107">
        <v>11</v>
      </c>
      <c r="I1034" s="107">
        <v>0</v>
      </c>
      <c r="J1034" s="107">
        <f t="shared" si="16"/>
        <v>9.8500000000000004E-2</v>
      </c>
      <c r="K1034" s="107">
        <v>6115</v>
      </c>
    </row>
    <row r="1035" spans="1:11" x14ac:dyDescent="0.15">
      <c r="A1035" s="107">
        <v>1742</v>
      </c>
      <c r="B1035" s="107" t="s">
        <v>261</v>
      </c>
      <c r="C1035" s="107" t="s">
        <v>268</v>
      </c>
      <c r="D1035" s="25">
        <v>40</v>
      </c>
      <c r="E1035" s="107" t="s">
        <v>193</v>
      </c>
      <c r="F1035" s="107" t="s">
        <v>523</v>
      </c>
      <c r="G1035" s="107">
        <v>9</v>
      </c>
      <c r="H1035" s="107">
        <v>19</v>
      </c>
      <c r="I1035" s="107">
        <v>8</v>
      </c>
      <c r="J1035" s="107">
        <f t="shared" si="16"/>
        <v>0.24937499999999999</v>
      </c>
      <c r="K1035" s="107">
        <v>6122</v>
      </c>
    </row>
    <row r="1036" spans="1:11" x14ac:dyDescent="0.15">
      <c r="A1036" s="107">
        <v>1742</v>
      </c>
      <c r="B1036" s="107" t="s">
        <v>196</v>
      </c>
      <c r="C1036" s="107" t="s">
        <v>268</v>
      </c>
      <c r="D1036" s="25">
        <v>65</v>
      </c>
      <c r="E1036" s="107" t="s">
        <v>193</v>
      </c>
      <c r="F1036" s="107" t="s">
        <v>523</v>
      </c>
      <c r="G1036" s="107">
        <v>6</v>
      </c>
      <c r="H1036" s="107">
        <v>9</v>
      </c>
      <c r="I1036" s="107">
        <v>0</v>
      </c>
      <c r="J1036" s="107">
        <f t="shared" si="16"/>
        <v>9.9230769230769234E-2</v>
      </c>
      <c r="K1036" s="107">
        <v>6123</v>
      </c>
    </row>
    <row r="1037" spans="1:11" x14ac:dyDescent="0.15">
      <c r="A1037" s="107">
        <v>1743</v>
      </c>
      <c r="B1037" s="107" t="s">
        <v>196</v>
      </c>
      <c r="C1037" s="107" t="s">
        <v>268</v>
      </c>
      <c r="D1037" s="25">
        <v>25</v>
      </c>
      <c r="E1037" s="107" t="s">
        <v>193</v>
      </c>
      <c r="F1037" s="107" t="s">
        <v>523</v>
      </c>
      <c r="G1037" s="107">
        <v>2</v>
      </c>
      <c r="H1037" s="107">
        <v>9</v>
      </c>
      <c r="I1037" s="107">
        <v>8</v>
      </c>
      <c r="J1037" s="107">
        <f t="shared" si="16"/>
        <v>9.9000000000000005E-2</v>
      </c>
      <c r="K1037" s="107">
        <v>6143</v>
      </c>
    </row>
    <row r="1038" spans="1:11" x14ac:dyDescent="0.15">
      <c r="A1038" s="107">
        <v>1744</v>
      </c>
      <c r="B1038" s="107" t="s">
        <v>253</v>
      </c>
      <c r="C1038" s="107" t="s">
        <v>268</v>
      </c>
      <c r="D1038" s="25">
        <v>200</v>
      </c>
      <c r="E1038" s="107" t="s">
        <v>193</v>
      </c>
      <c r="F1038" s="107" t="s">
        <v>523</v>
      </c>
      <c r="G1038" s="107">
        <v>15</v>
      </c>
      <c r="H1038" s="107">
        <v>17</v>
      </c>
      <c r="I1038" s="107">
        <v>0</v>
      </c>
      <c r="J1038" s="107">
        <f t="shared" si="16"/>
        <v>7.9250000000000001E-2</v>
      </c>
      <c r="K1038" s="107">
        <v>6160</v>
      </c>
    </row>
    <row r="1039" spans="1:11" x14ac:dyDescent="0.15">
      <c r="A1039" s="107">
        <v>1745</v>
      </c>
      <c r="B1039" s="107" t="s">
        <v>261</v>
      </c>
      <c r="C1039" s="107" t="s">
        <v>268</v>
      </c>
      <c r="D1039" s="25">
        <v>180</v>
      </c>
      <c r="E1039" s="107" t="s">
        <v>193</v>
      </c>
      <c r="F1039" s="107" t="s">
        <v>523</v>
      </c>
      <c r="G1039" s="107">
        <v>15</v>
      </c>
      <c r="H1039" s="107">
        <v>19</v>
      </c>
      <c r="I1039" s="107">
        <v>8</v>
      </c>
      <c r="J1039" s="107">
        <f t="shared" si="16"/>
        <v>8.8749999999999996E-2</v>
      </c>
      <c r="K1039" s="107">
        <v>6176</v>
      </c>
    </row>
    <row r="1040" spans="1:11" x14ac:dyDescent="0.15">
      <c r="A1040" s="107">
        <v>1746</v>
      </c>
      <c r="B1040" s="107" t="s">
        <v>226</v>
      </c>
      <c r="C1040" s="107" t="s">
        <v>268</v>
      </c>
      <c r="D1040" s="25">
        <v>80</v>
      </c>
      <c r="E1040" s="107" t="s">
        <v>193</v>
      </c>
      <c r="F1040" s="107" t="s">
        <v>523</v>
      </c>
      <c r="G1040" s="107">
        <v>7</v>
      </c>
      <c r="H1040" s="107">
        <v>2</v>
      </c>
      <c r="I1040" s="107">
        <v>8</v>
      </c>
      <c r="J1040" s="107">
        <f t="shared" si="16"/>
        <v>8.9062500000000003E-2</v>
      </c>
      <c r="K1040" s="107">
        <v>6188</v>
      </c>
    </row>
    <row r="1041" spans="1:11" x14ac:dyDescent="0.15">
      <c r="A1041" s="107">
        <v>1747</v>
      </c>
      <c r="B1041" s="107" t="s">
        <v>247</v>
      </c>
      <c r="C1041" s="107" t="s">
        <v>268</v>
      </c>
      <c r="D1041" s="25">
        <v>300</v>
      </c>
      <c r="E1041" s="107" t="s">
        <v>193</v>
      </c>
      <c r="F1041" s="107" t="s">
        <v>523</v>
      </c>
      <c r="G1041" s="107">
        <v>26</v>
      </c>
      <c r="H1041" s="107">
        <v>5</v>
      </c>
      <c r="I1041" s="107">
        <v>8</v>
      </c>
      <c r="J1041" s="107">
        <f t="shared" si="16"/>
        <v>8.7583333333333332E-2</v>
      </c>
      <c r="K1041" s="107">
        <v>6207</v>
      </c>
    </row>
    <row r="1042" spans="1:11" x14ac:dyDescent="0.15">
      <c r="A1042" s="107">
        <v>1750</v>
      </c>
      <c r="B1042" s="107" t="s">
        <v>197</v>
      </c>
      <c r="C1042" s="107" t="s">
        <v>268</v>
      </c>
      <c r="D1042" s="25">
        <v>150</v>
      </c>
      <c r="E1042" s="107" t="s">
        <v>193</v>
      </c>
      <c r="F1042" s="107" t="s">
        <v>523</v>
      </c>
      <c r="G1042" s="107">
        <v>13</v>
      </c>
      <c r="H1042" s="107">
        <v>6</v>
      </c>
      <c r="I1042" s="107">
        <v>8</v>
      </c>
      <c r="J1042" s="107">
        <f t="shared" si="16"/>
        <v>8.8833333333333334E-2</v>
      </c>
      <c r="K1042" s="107">
        <v>6254</v>
      </c>
    </row>
    <row r="1043" spans="1:11" x14ac:dyDescent="0.15">
      <c r="A1043" s="107">
        <v>1751</v>
      </c>
      <c r="B1043" s="107" t="s">
        <v>196</v>
      </c>
      <c r="C1043" s="107" t="s">
        <v>268</v>
      </c>
      <c r="D1043" s="25">
        <v>200</v>
      </c>
      <c r="E1043" s="107" t="s">
        <v>193</v>
      </c>
      <c r="F1043" s="107" t="s">
        <v>523</v>
      </c>
      <c r="G1043" s="107">
        <v>18</v>
      </c>
      <c r="H1043" s="107">
        <v>17</v>
      </c>
      <c r="I1043" s="107">
        <v>8</v>
      </c>
      <c r="J1043" s="107">
        <f t="shared" si="16"/>
        <v>9.4375000000000001E-2</v>
      </c>
      <c r="K1043" s="107">
        <v>6270</v>
      </c>
    </row>
    <row r="1044" spans="1:11" x14ac:dyDescent="0.15">
      <c r="A1044" s="107">
        <v>1752</v>
      </c>
      <c r="B1044" s="107" t="s">
        <v>260</v>
      </c>
      <c r="C1044" s="107" t="s">
        <v>268</v>
      </c>
      <c r="D1044" s="25">
        <v>220</v>
      </c>
      <c r="E1044" s="107" t="s">
        <v>193</v>
      </c>
      <c r="F1044" s="107" t="s">
        <v>523</v>
      </c>
      <c r="G1044" s="107">
        <v>21</v>
      </c>
      <c r="H1044" s="107">
        <v>1</v>
      </c>
      <c r="I1044" s="107">
        <v>0</v>
      </c>
      <c r="J1044" s="107">
        <f t="shared" si="16"/>
        <v>9.5681818181818187E-2</v>
      </c>
      <c r="K1044" s="107">
        <v>6286</v>
      </c>
    </row>
    <row r="1045" spans="1:11" x14ac:dyDescent="0.15">
      <c r="A1045" s="107">
        <v>1753</v>
      </c>
      <c r="B1045" s="107" t="s">
        <v>196</v>
      </c>
      <c r="C1045" s="107" t="s">
        <v>268</v>
      </c>
      <c r="D1045" s="25">
        <v>50</v>
      </c>
      <c r="E1045" s="107" t="s">
        <v>193</v>
      </c>
      <c r="F1045" s="107" t="s">
        <v>523</v>
      </c>
      <c r="G1045" s="107">
        <v>5</v>
      </c>
      <c r="H1045" s="107">
        <v>7</v>
      </c>
      <c r="I1045" s="107">
        <v>8</v>
      </c>
      <c r="J1045" s="107">
        <f t="shared" si="16"/>
        <v>0.1075</v>
      </c>
      <c r="K1045" s="107">
        <v>6303</v>
      </c>
    </row>
    <row r="1046" spans="1:11" x14ac:dyDescent="0.15">
      <c r="A1046" s="107">
        <v>1754</v>
      </c>
      <c r="B1046" s="107" t="s">
        <v>196</v>
      </c>
      <c r="C1046" s="107" t="s">
        <v>268</v>
      </c>
      <c r="D1046" s="25">
        <v>160</v>
      </c>
      <c r="E1046" s="107" t="s">
        <v>193</v>
      </c>
      <c r="F1046" s="107" t="s">
        <v>523</v>
      </c>
      <c r="G1046" s="107">
        <v>17</v>
      </c>
      <c r="H1046" s="107">
        <v>19</v>
      </c>
      <c r="I1046" s="107">
        <v>8</v>
      </c>
      <c r="J1046" s="107">
        <f t="shared" si="16"/>
        <v>0.11234374999999999</v>
      </c>
      <c r="K1046" s="107">
        <v>6314</v>
      </c>
    </row>
    <row r="1047" spans="1:11" x14ac:dyDescent="0.15">
      <c r="A1047" s="107">
        <v>1755</v>
      </c>
      <c r="B1047" s="107" t="s">
        <v>226</v>
      </c>
      <c r="C1047" s="107" t="s">
        <v>268</v>
      </c>
      <c r="D1047" s="25">
        <v>85</v>
      </c>
      <c r="E1047" s="107" t="s">
        <v>193</v>
      </c>
      <c r="F1047" s="107" t="s">
        <v>523</v>
      </c>
      <c r="G1047" s="107">
        <v>9</v>
      </c>
      <c r="H1047" s="107">
        <v>12</v>
      </c>
      <c r="I1047" s="107">
        <v>8</v>
      </c>
      <c r="J1047" s="107">
        <f t="shared" si="16"/>
        <v>0.11323529411764706</v>
      </c>
      <c r="K1047" s="107">
        <v>6316</v>
      </c>
    </row>
    <row r="1048" spans="1:11" x14ac:dyDescent="0.15">
      <c r="A1048" s="107">
        <v>1756</v>
      </c>
      <c r="B1048" s="107" t="s">
        <v>197</v>
      </c>
      <c r="C1048" s="107" t="s">
        <v>268</v>
      </c>
      <c r="D1048" s="25">
        <v>100</v>
      </c>
      <c r="E1048" s="107" t="s">
        <v>193</v>
      </c>
      <c r="F1048" s="107" t="s">
        <v>523</v>
      </c>
      <c r="G1048" s="107">
        <v>11</v>
      </c>
      <c r="H1048" s="107">
        <v>12</v>
      </c>
      <c r="I1048" s="107">
        <v>8</v>
      </c>
      <c r="J1048" s="107">
        <f t="shared" si="16"/>
        <v>0.11625000000000001</v>
      </c>
      <c r="K1048" s="107">
        <v>6333</v>
      </c>
    </row>
    <row r="1049" spans="1:11" x14ac:dyDescent="0.15">
      <c r="A1049" s="107">
        <v>1761</v>
      </c>
      <c r="B1049" s="107" t="s">
        <v>260</v>
      </c>
      <c r="C1049" s="107" t="s">
        <v>268</v>
      </c>
      <c r="D1049" s="25">
        <v>169</v>
      </c>
      <c r="E1049" s="107" t="s">
        <v>193</v>
      </c>
      <c r="F1049" s="107" t="s">
        <v>523</v>
      </c>
      <c r="G1049" s="107">
        <v>20</v>
      </c>
      <c r="H1049" s="107">
        <v>10</v>
      </c>
      <c r="I1049" s="107">
        <v>0</v>
      </c>
      <c r="J1049" s="107">
        <f t="shared" si="16"/>
        <v>0.12130177514792899</v>
      </c>
      <c r="K1049" s="107">
        <v>6394</v>
      </c>
    </row>
    <row r="1050" spans="1:11" x14ac:dyDescent="0.15">
      <c r="A1050" s="107">
        <v>1762</v>
      </c>
      <c r="B1050" s="107" t="s">
        <v>261</v>
      </c>
      <c r="C1050" s="107" t="s">
        <v>268</v>
      </c>
      <c r="D1050" s="25">
        <v>388</v>
      </c>
      <c r="E1050" s="107" t="s">
        <v>193</v>
      </c>
      <c r="F1050" s="107" t="s">
        <v>523</v>
      </c>
      <c r="G1050" s="107">
        <v>46</v>
      </c>
      <c r="H1050" s="107">
        <v>13</v>
      </c>
      <c r="I1050" s="107">
        <v>0</v>
      </c>
      <c r="J1050" s="107">
        <f t="shared" si="16"/>
        <v>0.1202319587628866</v>
      </c>
      <c r="K1050" s="107">
        <v>6394</v>
      </c>
    </row>
    <row r="1051" spans="1:11" x14ac:dyDescent="0.15">
      <c r="A1051" s="107">
        <v>1763</v>
      </c>
      <c r="B1051" s="107" t="s">
        <v>197</v>
      </c>
      <c r="C1051" s="107" t="s">
        <v>268</v>
      </c>
      <c r="D1051" s="25">
        <v>478</v>
      </c>
      <c r="E1051" s="107" t="s">
        <v>193</v>
      </c>
      <c r="F1051" s="107" t="s">
        <v>523</v>
      </c>
      <c r="G1051" s="107">
        <v>56</v>
      </c>
      <c r="H1051" s="107">
        <v>2</v>
      </c>
      <c r="I1051" s="107">
        <v>8</v>
      </c>
      <c r="J1051" s="107">
        <f t="shared" si="16"/>
        <v>0.1174163179916318</v>
      </c>
      <c r="K1051" s="107">
        <v>6423</v>
      </c>
    </row>
    <row r="1052" spans="1:11" x14ac:dyDescent="0.15">
      <c r="A1052" s="107">
        <v>1763</v>
      </c>
      <c r="B1052" s="107" t="s">
        <v>244</v>
      </c>
      <c r="C1052" s="107" t="s">
        <v>268</v>
      </c>
      <c r="D1052" s="25">
        <v>300</v>
      </c>
      <c r="E1052" s="107" t="s">
        <v>193</v>
      </c>
      <c r="F1052" s="107" t="s">
        <v>523</v>
      </c>
      <c r="G1052" s="107">
        <v>35</v>
      </c>
      <c r="H1052" s="107">
        <v>4</v>
      </c>
      <c r="I1052" s="107">
        <v>8</v>
      </c>
      <c r="J1052" s="107">
        <f t="shared" si="16"/>
        <v>0.11741666666666667</v>
      </c>
      <c r="K1052" s="107">
        <v>6413</v>
      </c>
    </row>
    <row r="1053" spans="1:11" x14ac:dyDescent="0.15">
      <c r="A1053" s="107">
        <v>1764</v>
      </c>
      <c r="B1053" s="107" t="s">
        <v>261</v>
      </c>
      <c r="C1053" s="107" t="s">
        <v>268</v>
      </c>
      <c r="D1053" s="25">
        <v>203</v>
      </c>
      <c r="E1053" s="107" t="s">
        <v>193</v>
      </c>
      <c r="F1053" s="107" t="s">
        <v>523</v>
      </c>
      <c r="G1053" s="107">
        <v>23</v>
      </c>
      <c r="H1053" s="107">
        <v>7</v>
      </c>
      <c r="I1053" s="107">
        <v>8</v>
      </c>
      <c r="J1053" s="107">
        <f t="shared" si="16"/>
        <v>0.11514778325123153</v>
      </c>
      <c r="K1053" s="107">
        <v>6423</v>
      </c>
    </row>
    <row r="1054" spans="1:11" x14ac:dyDescent="0.15">
      <c r="A1054" s="107">
        <v>1766</v>
      </c>
      <c r="B1054" s="107" t="s">
        <v>261</v>
      </c>
      <c r="C1054" s="107" t="s">
        <v>268</v>
      </c>
      <c r="D1054" s="25">
        <v>196</v>
      </c>
      <c r="E1054" s="107" t="s">
        <v>193</v>
      </c>
      <c r="F1054" s="107" t="s">
        <v>523</v>
      </c>
      <c r="G1054" s="107">
        <v>20</v>
      </c>
      <c r="H1054" s="107">
        <v>3</v>
      </c>
      <c r="I1054" s="107">
        <v>0</v>
      </c>
      <c r="J1054" s="107">
        <f t="shared" si="16"/>
        <v>0.10280612244897959</v>
      </c>
      <c r="K1054" s="107">
        <v>6457</v>
      </c>
    </row>
    <row r="1055" spans="1:11" x14ac:dyDescent="0.15">
      <c r="A1055" s="107">
        <v>1767</v>
      </c>
      <c r="B1055" s="107" t="s">
        <v>197</v>
      </c>
      <c r="C1055" s="107" t="s">
        <v>268</v>
      </c>
      <c r="D1055" s="25">
        <v>65</v>
      </c>
      <c r="E1055" s="107" t="s">
        <v>193</v>
      </c>
      <c r="F1055" s="107" t="s">
        <v>523</v>
      </c>
      <c r="G1055" s="107">
        <v>6</v>
      </c>
      <c r="H1055" s="107">
        <v>18</v>
      </c>
      <c r="I1055" s="107">
        <v>0</v>
      </c>
      <c r="J1055" s="107">
        <f t="shared" si="16"/>
        <v>0.10615384615384615</v>
      </c>
      <c r="K1055" s="107">
        <v>6475</v>
      </c>
    </row>
    <row r="1056" spans="1:11" x14ac:dyDescent="0.15">
      <c r="A1056" s="107">
        <v>1768</v>
      </c>
      <c r="B1056" s="107" t="s">
        <v>260</v>
      </c>
      <c r="C1056" s="107" t="s">
        <v>268</v>
      </c>
      <c r="D1056" s="25">
        <v>1719</v>
      </c>
      <c r="E1056" s="107" t="s">
        <v>193</v>
      </c>
      <c r="F1056" s="107" t="s">
        <v>523</v>
      </c>
      <c r="G1056" s="107">
        <v>184</v>
      </c>
      <c r="H1056" s="107">
        <v>17</v>
      </c>
      <c r="I1056" s="107">
        <v>0</v>
      </c>
      <c r="J1056" s="107">
        <f t="shared" si="16"/>
        <v>0.10753344968004654</v>
      </c>
      <c r="K1056" s="107">
        <v>6489</v>
      </c>
    </row>
    <row r="1057" spans="1:11" x14ac:dyDescent="0.15">
      <c r="A1057" s="107">
        <v>1769</v>
      </c>
      <c r="B1057" s="107" t="s">
        <v>260</v>
      </c>
      <c r="C1057" s="107" t="s">
        <v>268</v>
      </c>
      <c r="D1057" s="25">
        <v>369</v>
      </c>
      <c r="E1057" s="107" t="s">
        <v>193</v>
      </c>
      <c r="F1057" s="107" t="s">
        <v>523</v>
      </c>
      <c r="G1057" s="107">
        <v>35</v>
      </c>
      <c r="H1057" s="107">
        <v>13</v>
      </c>
      <c r="I1057" s="107">
        <v>0</v>
      </c>
      <c r="J1057" s="107">
        <f t="shared" si="16"/>
        <v>9.6612466124661248E-2</v>
      </c>
      <c r="K1057" s="107">
        <v>6518</v>
      </c>
    </row>
    <row r="1058" spans="1:11" x14ac:dyDescent="0.15">
      <c r="A1058" s="107">
        <v>1770</v>
      </c>
      <c r="B1058" s="107" t="s">
        <v>200</v>
      </c>
      <c r="C1058" s="107" t="s">
        <v>268</v>
      </c>
      <c r="D1058" s="25">
        <v>86</v>
      </c>
      <c r="E1058" s="107" t="s">
        <v>193</v>
      </c>
      <c r="F1058" s="107" t="s">
        <v>523</v>
      </c>
      <c r="G1058" s="107">
        <v>8</v>
      </c>
      <c r="H1058" s="107">
        <v>9</v>
      </c>
      <c r="I1058" s="107">
        <v>0</v>
      </c>
      <c r="J1058" s="107">
        <f t="shared" si="16"/>
        <v>9.8255813953488369E-2</v>
      </c>
      <c r="K1058" s="107">
        <v>6535</v>
      </c>
    </row>
    <row r="1059" spans="1:11" x14ac:dyDescent="0.15">
      <c r="A1059" s="107">
        <v>1771</v>
      </c>
      <c r="B1059" s="107" t="s">
        <v>261</v>
      </c>
      <c r="C1059" s="107" t="s">
        <v>268</v>
      </c>
      <c r="D1059" s="25">
        <v>806</v>
      </c>
      <c r="E1059" s="107" t="s">
        <v>193</v>
      </c>
      <c r="F1059" s="107" t="s">
        <v>523</v>
      </c>
      <c r="G1059" s="107">
        <v>80</v>
      </c>
      <c r="H1059" s="107">
        <v>13</v>
      </c>
      <c r="I1059" s="107">
        <v>8</v>
      </c>
      <c r="J1059" s="107">
        <f t="shared" si="16"/>
        <v>0.10009305210918115</v>
      </c>
      <c r="K1059" s="107">
        <v>6540</v>
      </c>
    </row>
    <row r="1060" spans="1:11" x14ac:dyDescent="0.15">
      <c r="A1060" s="107">
        <v>1772</v>
      </c>
      <c r="B1060" s="107" t="s">
        <v>197</v>
      </c>
      <c r="C1060" s="107" t="s">
        <v>268</v>
      </c>
      <c r="D1060" s="25">
        <v>407</v>
      </c>
      <c r="E1060" s="107" t="s">
        <v>193</v>
      </c>
      <c r="F1060" s="107" t="s">
        <v>523</v>
      </c>
      <c r="G1060" s="107">
        <v>46</v>
      </c>
      <c r="H1060" s="107">
        <v>6</v>
      </c>
      <c r="I1060" s="107">
        <v>0</v>
      </c>
      <c r="J1060" s="107">
        <f t="shared" si="16"/>
        <v>0.11375921375921375</v>
      </c>
      <c r="K1060" s="107">
        <v>6551</v>
      </c>
    </row>
    <row r="1061" spans="1:11" x14ac:dyDescent="0.15">
      <c r="A1061" s="107">
        <v>1774</v>
      </c>
      <c r="B1061" s="107" t="s">
        <v>260</v>
      </c>
      <c r="C1061" s="107" t="s">
        <v>268</v>
      </c>
      <c r="D1061" s="25">
        <v>621</v>
      </c>
      <c r="E1061" s="107" t="s">
        <v>193</v>
      </c>
      <c r="F1061" s="107" t="s">
        <v>523</v>
      </c>
      <c r="G1061" s="107">
        <v>68</v>
      </c>
      <c r="H1061" s="107">
        <v>11</v>
      </c>
      <c r="I1061" s="107">
        <v>8</v>
      </c>
      <c r="J1061" s="107">
        <f t="shared" si="16"/>
        <v>0.11042673107890499</v>
      </c>
      <c r="K1061" s="25">
        <v>6589</v>
      </c>
    </row>
    <row r="1062" spans="1:11" x14ac:dyDescent="0.15">
      <c r="A1062" s="107">
        <v>1776</v>
      </c>
      <c r="B1062" s="107" t="s">
        <v>253</v>
      </c>
      <c r="C1062" s="107" t="s">
        <v>268</v>
      </c>
      <c r="D1062" s="25">
        <v>530</v>
      </c>
      <c r="E1062" s="107" t="s">
        <v>193</v>
      </c>
      <c r="F1062" s="107" t="s">
        <v>523</v>
      </c>
      <c r="G1062" s="107">
        <v>57</v>
      </c>
      <c r="H1062" s="107">
        <v>16</v>
      </c>
      <c r="I1062" s="107">
        <v>8</v>
      </c>
      <c r="J1062" s="107">
        <f t="shared" si="16"/>
        <v>0.10910377358490565</v>
      </c>
      <c r="K1062" s="107">
        <v>6627</v>
      </c>
    </row>
    <row r="1063" spans="1:11" x14ac:dyDescent="0.15">
      <c r="A1063" s="107">
        <v>1778</v>
      </c>
      <c r="B1063" s="107" t="s">
        <v>192</v>
      </c>
      <c r="C1063" s="107" t="s">
        <v>268</v>
      </c>
      <c r="D1063" s="25">
        <v>494</v>
      </c>
      <c r="E1063" s="107" t="s">
        <v>193</v>
      </c>
      <c r="F1063" s="107" t="s">
        <v>523</v>
      </c>
      <c r="G1063" s="107">
        <v>45</v>
      </c>
      <c r="H1063" s="107">
        <v>19</v>
      </c>
      <c r="I1063" s="107">
        <v>0</v>
      </c>
      <c r="J1063" s="107">
        <f t="shared" si="16"/>
        <v>9.3016194331983812E-2</v>
      </c>
      <c r="K1063" s="107">
        <v>6663</v>
      </c>
    </row>
    <row r="1064" spans="1:11" x14ac:dyDescent="0.15">
      <c r="A1064" s="107">
        <v>1780</v>
      </c>
      <c r="B1064" s="107" t="s">
        <v>196</v>
      </c>
      <c r="C1064" s="107" t="s">
        <v>268</v>
      </c>
      <c r="D1064" s="25">
        <v>395</v>
      </c>
      <c r="E1064" s="107" t="s">
        <v>193</v>
      </c>
      <c r="F1064" s="107" t="s">
        <v>523</v>
      </c>
      <c r="G1064" s="107">
        <v>39</v>
      </c>
      <c r="H1064" s="107">
        <v>16</v>
      </c>
      <c r="I1064" s="107">
        <v>0</v>
      </c>
      <c r="J1064" s="107">
        <f t="shared" si="16"/>
        <v>0.10075949367088607</v>
      </c>
      <c r="K1064" s="107">
        <v>6679</v>
      </c>
    </row>
    <row r="1065" spans="1:11" x14ac:dyDescent="0.15">
      <c r="A1065" s="107">
        <v>1780</v>
      </c>
      <c r="B1065" s="107" t="s">
        <v>200</v>
      </c>
      <c r="C1065" s="107" t="s">
        <v>268</v>
      </c>
      <c r="D1065" s="25">
        <v>542</v>
      </c>
      <c r="E1065" s="107" t="s">
        <v>193</v>
      </c>
      <c r="F1065" s="107" t="s">
        <v>523</v>
      </c>
      <c r="G1065" s="107">
        <v>54</v>
      </c>
      <c r="H1065" s="107">
        <v>12</v>
      </c>
      <c r="I1065" s="107">
        <v>8</v>
      </c>
      <c r="J1065" s="107">
        <f t="shared" si="16"/>
        <v>0.10078413284132841</v>
      </c>
      <c r="K1065" s="107">
        <v>6689</v>
      </c>
    </row>
    <row r="1066" spans="1:11" x14ac:dyDescent="0.15">
      <c r="A1066" s="107">
        <v>1783</v>
      </c>
      <c r="B1066" s="107" t="s">
        <v>236</v>
      </c>
      <c r="C1066" s="107" t="s">
        <v>268</v>
      </c>
      <c r="D1066" s="25">
        <v>817</v>
      </c>
      <c r="E1066" s="107" t="s">
        <v>193</v>
      </c>
      <c r="F1066" s="107" t="s">
        <v>523</v>
      </c>
      <c r="G1066" s="107">
        <v>129</v>
      </c>
      <c r="H1066" s="107">
        <v>16</v>
      </c>
      <c r="I1066" s="107">
        <v>0</v>
      </c>
      <c r="J1066" s="107">
        <f t="shared" si="16"/>
        <v>0.15887392900856795</v>
      </c>
      <c r="K1066" s="107">
        <v>6714</v>
      </c>
    </row>
    <row r="1067" spans="1:11" x14ac:dyDescent="0.15">
      <c r="A1067" s="107">
        <v>1784</v>
      </c>
      <c r="B1067" s="107" t="s">
        <v>261</v>
      </c>
      <c r="C1067" s="107" t="s">
        <v>268</v>
      </c>
      <c r="D1067" s="25">
        <v>356</v>
      </c>
      <c r="E1067" s="107" t="s">
        <v>193</v>
      </c>
      <c r="F1067" s="107" t="s">
        <v>523</v>
      </c>
      <c r="G1067" s="107">
        <v>42</v>
      </c>
      <c r="H1067" s="107">
        <v>9</v>
      </c>
      <c r="I1067" s="107">
        <v>8</v>
      </c>
      <c r="J1067" s="107">
        <f t="shared" si="16"/>
        <v>0.11931179775280899</v>
      </c>
      <c r="K1067" s="25">
        <v>6705</v>
      </c>
    </row>
    <row r="1068" spans="1:11" x14ac:dyDescent="0.15">
      <c r="A1068" s="107">
        <v>1785</v>
      </c>
      <c r="B1068" s="107" t="s">
        <v>186</v>
      </c>
      <c r="C1068" s="107" t="s">
        <v>268</v>
      </c>
      <c r="D1068" s="25">
        <v>682</v>
      </c>
      <c r="E1068" s="107" t="s">
        <v>193</v>
      </c>
      <c r="F1068" s="107" t="s">
        <v>523</v>
      </c>
      <c r="G1068" s="107">
        <v>61</v>
      </c>
      <c r="H1068" s="107">
        <v>12</v>
      </c>
      <c r="I1068" s="107">
        <v>8</v>
      </c>
      <c r="J1068" s="107">
        <f t="shared" si="16"/>
        <v>9.0359237536656895E-2</v>
      </c>
      <c r="K1068" s="107">
        <v>6736</v>
      </c>
    </row>
    <row r="1069" spans="1:11" x14ac:dyDescent="0.15">
      <c r="A1069" s="107">
        <v>1787</v>
      </c>
      <c r="B1069" s="107" t="s">
        <v>197</v>
      </c>
      <c r="C1069" s="107" t="s">
        <v>268</v>
      </c>
      <c r="D1069" s="25">
        <v>921</v>
      </c>
      <c r="E1069" s="107" t="s">
        <v>193</v>
      </c>
      <c r="F1069" s="107" t="s">
        <v>523</v>
      </c>
      <c r="G1069" s="107">
        <v>83</v>
      </c>
      <c r="H1069" s="107">
        <v>7</v>
      </c>
      <c r="I1069" s="107">
        <v>0</v>
      </c>
      <c r="J1069" s="107">
        <f t="shared" si="16"/>
        <v>9.0499457111834949E-2</v>
      </c>
      <c r="K1069" s="107">
        <v>6752</v>
      </c>
    </row>
    <row r="1070" spans="1:11" x14ac:dyDescent="0.15">
      <c r="A1070" s="107">
        <v>1788</v>
      </c>
      <c r="B1070" s="107" t="s">
        <v>236</v>
      </c>
      <c r="C1070" s="107" t="s">
        <v>268</v>
      </c>
      <c r="D1070" s="25">
        <v>421</v>
      </c>
      <c r="E1070" s="107" t="s">
        <v>193</v>
      </c>
      <c r="F1070" s="107" t="s">
        <v>523</v>
      </c>
      <c r="G1070" s="107">
        <v>42</v>
      </c>
      <c r="H1070" s="107">
        <v>12</v>
      </c>
      <c r="I1070" s="107">
        <v>8</v>
      </c>
      <c r="J1070" s="107">
        <f t="shared" si="16"/>
        <v>0.10124703087885986</v>
      </c>
      <c r="K1070" s="25">
        <v>6786</v>
      </c>
    </row>
    <row r="1071" spans="1:11" x14ac:dyDescent="0.15">
      <c r="A1071" s="107">
        <v>1789</v>
      </c>
      <c r="B1071" s="107" t="s">
        <v>253</v>
      </c>
      <c r="C1071" s="107" t="s">
        <v>268</v>
      </c>
      <c r="D1071" s="25">
        <v>82</v>
      </c>
      <c r="E1071" s="107" t="s">
        <v>193</v>
      </c>
      <c r="F1071" s="107" t="s">
        <v>523</v>
      </c>
      <c r="G1071" s="107">
        <v>10</v>
      </c>
      <c r="H1071" s="107">
        <v>2</v>
      </c>
      <c r="I1071" s="107">
        <v>7</v>
      </c>
      <c r="J1071" s="107">
        <f t="shared" si="16"/>
        <v>0.12343749999999999</v>
      </c>
      <c r="K1071" s="25">
        <v>6785</v>
      </c>
    </row>
    <row r="1072" spans="1:11" x14ac:dyDescent="0.15">
      <c r="A1072" s="107">
        <v>1789</v>
      </c>
      <c r="B1072" s="107" t="s">
        <v>226</v>
      </c>
      <c r="C1072" s="107" t="s">
        <v>268</v>
      </c>
      <c r="D1072" s="25">
        <v>74</v>
      </c>
      <c r="E1072" s="107" t="s">
        <v>193</v>
      </c>
      <c r="F1072" s="107" t="s">
        <v>523</v>
      </c>
      <c r="G1072" s="107">
        <v>7</v>
      </c>
      <c r="H1072" s="107">
        <v>10</v>
      </c>
      <c r="I1072" s="107">
        <v>0</v>
      </c>
      <c r="J1072" s="107">
        <f t="shared" ref="J1072:J1135" si="17">(G1072+H1072/20+I1072/320)/D1072</f>
        <v>0.10135135135135136</v>
      </c>
      <c r="K1072" s="25">
        <v>6785</v>
      </c>
    </row>
    <row r="1073" spans="1:14" x14ac:dyDescent="0.15">
      <c r="A1073" s="107">
        <v>1790</v>
      </c>
      <c r="B1073" s="107" t="s">
        <v>226</v>
      </c>
      <c r="C1073" s="107" t="s">
        <v>268</v>
      </c>
      <c r="D1073" s="25">
        <v>88</v>
      </c>
      <c r="E1073" s="107" t="s">
        <v>193</v>
      </c>
      <c r="F1073" s="107" t="s">
        <v>523</v>
      </c>
      <c r="G1073" s="107">
        <v>9</v>
      </c>
      <c r="H1073" s="107">
        <v>5</v>
      </c>
      <c r="I1073" s="107">
        <v>8</v>
      </c>
      <c r="J1073" s="107">
        <f t="shared" si="17"/>
        <v>0.10539772727272728</v>
      </c>
      <c r="K1073" s="25">
        <v>6790</v>
      </c>
      <c r="L1073" s="107"/>
      <c r="M1073" s="107"/>
      <c r="N1073" s="107"/>
    </row>
    <row r="1074" spans="1:14" x14ac:dyDescent="0.15">
      <c r="A1074" s="107">
        <v>1791</v>
      </c>
      <c r="B1074" s="107" t="s">
        <v>196</v>
      </c>
      <c r="C1074" s="107" t="s">
        <v>268</v>
      </c>
      <c r="D1074" s="25">
        <v>64</v>
      </c>
      <c r="E1074" s="107" t="s">
        <v>193</v>
      </c>
      <c r="F1074" s="107" t="s">
        <v>523</v>
      </c>
      <c r="G1074" s="107">
        <v>6</v>
      </c>
      <c r="H1074" s="107">
        <v>15</v>
      </c>
      <c r="I1074" s="107">
        <v>0</v>
      </c>
      <c r="J1074" s="107">
        <f t="shared" si="17"/>
        <v>0.10546875</v>
      </c>
      <c r="K1074" s="107">
        <v>6805</v>
      </c>
      <c r="L1074" s="107"/>
      <c r="M1074" s="107"/>
      <c r="N1074" s="107"/>
    </row>
    <row r="1075" spans="1:14" x14ac:dyDescent="0.15">
      <c r="A1075" s="107">
        <v>1793</v>
      </c>
      <c r="B1075" s="107" t="s">
        <v>247</v>
      </c>
      <c r="C1075" s="107" t="s">
        <v>270</v>
      </c>
      <c r="D1075" s="25">
        <v>149</v>
      </c>
      <c r="E1075" s="107" t="s">
        <v>193</v>
      </c>
      <c r="F1075" s="107" t="s">
        <v>523</v>
      </c>
      <c r="G1075" s="107">
        <v>15</v>
      </c>
      <c r="H1075" s="107">
        <v>17</v>
      </c>
      <c r="I1075" s="107">
        <v>0</v>
      </c>
      <c r="J1075" s="107">
        <f t="shared" si="17"/>
        <v>0.1063758389261745</v>
      </c>
      <c r="K1075" s="107">
        <v>6826</v>
      </c>
      <c r="L1075" s="107"/>
      <c r="M1075" s="107"/>
      <c r="N1075" s="107"/>
    </row>
    <row r="1076" spans="1:14" x14ac:dyDescent="0.15">
      <c r="A1076" s="107">
        <v>1794</v>
      </c>
      <c r="B1076" s="107" t="s">
        <v>260</v>
      </c>
      <c r="C1076" s="107" t="s">
        <v>270</v>
      </c>
      <c r="D1076" s="25">
        <v>25</v>
      </c>
      <c r="E1076" s="107" t="s">
        <v>193</v>
      </c>
      <c r="F1076" s="107" t="s">
        <v>523</v>
      </c>
      <c r="G1076" s="107">
        <v>2</v>
      </c>
      <c r="H1076" s="107">
        <v>13</v>
      </c>
      <c r="I1076" s="107">
        <v>0</v>
      </c>
      <c r="J1076" s="107">
        <f t="shared" si="17"/>
        <v>0.106</v>
      </c>
      <c r="K1076" s="107">
        <v>6840</v>
      </c>
      <c r="L1076" s="107"/>
      <c r="M1076" s="107"/>
      <c r="N1076" s="107"/>
    </row>
    <row r="1077" spans="1:14" x14ac:dyDescent="0.15">
      <c r="A1077" s="107">
        <v>1794</v>
      </c>
      <c r="B1077" s="107" t="s">
        <v>261</v>
      </c>
      <c r="C1077" s="107" t="s">
        <v>268</v>
      </c>
      <c r="D1077" s="25">
        <v>415</v>
      </c>
      <c r="E1077" s="107" t="s">
        <v>193</v>
      </c>
      <c r="F1077" s="107" t="s">
        <v>524</v>
      </c>
      <c r="G1077" s="107">
        <v>44</v>
      </c>
      <c r="H1077" s="107">
        <v>3</v>
      </c>
      <c r="I1077" s="107">
        <v>0</v>
      </c>
      <c r="J1077" s="107">
        <f t="shared" si="17"/>
        <v>0.1063855421686747</v>
      </c>
      <c r="K1077" s="107">
        <v>6839</v>
      </c>
      <c r="L1077" s="107"/>
      <c r="M1077" s="107"/>
      <c r="N1077" s="107"/>
    </row>
    <row r="1078" spans="1:14" x14ac:dyDescent="0.15">
      <c r="A1078" s="107">
        <v>1659</v>
      </c>
      <c r="B1078" s="107" t="s">
        <v>197</v>
      </c>
      <c r="C1078" s="107" t="s">
        <v>274</v>
      </c>
      <c r="D1078" s="107">
        <v>339.5</v>
      </c>
      <c r="E1078" s="107" t="s">
        <v>315</v>
      </c>
      <c r="F1078" s="107" t="s">
        <v>525</v>
      </c>
      <c r="G1078" s="107">
        <v>1880</v>
      </c>
      <c r="H1078" s="107">
        <v>15</v>
      </c>
      <c r="I1078" s="107">
        <v>8</v>
      </c>
      <c r="J1078" s="107">
        <f t="shared" si="17"/>
        <v>5.5398379970544918</v>
      </c>
      <c r="K1078" s="107">
        <v>3993</v>
      </c>
      <c r="L1078" s="107">
        <v>1792</v>
      </c>
      <c r="M1078" s="107">
        <v>167</v>
      </c>
      <c r="N1078" s="107" t="s">
        <v>317</v>
      </c>
    </row>
    <row r="1079" spans="1:14" x14ac:dyDescent="0.15">
      <c r="A1079" s="107">
        <v>1661</v>
      </c>
      <c r="B1079" s="107" t="s">
        <v>197</v>
      </c>
      <c r="C1079" s="107" t="s">
        <v>274</v>
      </c>
      <c r="D1079" s="107">
        <v>237.375</v>
      </c>
      <c r="E1079" s="107" t="s">
        <v>315</v>
      </c>
      <c r="F1079" s="107" t="s">
        <v>526</v>
      </c>
      <c r="G1079" s="107">
        <v>1093</v>
      </c>
      <c r="H1079" s="107">
        <v>5</v>
      </c>
      <c r="I1079" s="107">
        <v>8</v>
      </c>
      <c r="J1079" s="107">
        <f t="shared" si="17"/>
        <v>4.6056872037914696</v>
      </c>
      <c r="K1079" s="107">
        <v>3996</v>
      </c>
      <c r="L1079" s="107">
        <v>1794</v>
      </c>
      <c r="M1079" s="107" t="s">
        <v>290</v>
      </c>
      <c r="N1079" s="107"/>
    </row>
    <row r="1080" spans="1:14" x14ac:dyDescent="0.15">
      <c r="A1080" s="107">
        <v>1662</v>
      </c>
      <c r="B1080" s="107" t="s">
        <v>197</v>
      </c>
      <c r="C1080" s="107" t="s">
        <v>274</v>
      </c>
      <c r="D1080" s="107">
        <v>186</v>
      </c>
      <c r="E1080" s="107" t="s">
        <v>315</v>
      </c>
      <c r="F1080" s="107" t="s">
        <v>526</v>
      </c>
      <c r="G1080" s="107">
        <v>223</v>
      </c>
      <c r="H1080" s="107">
        <v>17</v>
      </c>
      <c r="I1080" s="107">
        <v>0</v>
      </c>
      <c r="J1080" s="107">
        <f t="shared" si="17"/>
        <v>1.2034946236559139</v>
      </c>
      <c r="K1080" s="107">
        <v>3997</v>
      </c>
      <c r="L1080" s="107">
        <v>1795</v>
      </c>
      <c r="M1080" s="107">
        <v>302</v>
      </c>
      <c r="N1080" s="107"/>
    </row>
    <row r="1081" spans="1:14" x14ac:dyDescent="0.15">
      <c r="A1081" s="107">
        <v>1678</v>
      </c>
      <c r="B1081" s="107" t="s">
        <v>260</v>
      </c>
      <c r="C1081" s="107" t="s">
        <v>295</v>
      </c>
      <c r="D1081" s="107">
        <v>2</v>
      </c>
      <c r="E1081" s="107" t="s">
        <v>333</v>
      </c>
      <c r="F1081" s="107" t="s">
        <v>527</v>
      </c>
      <c r="G1081" s="107">
        <v>23</v>
      </c>
      <c r="H1081" s="107">
        <v>7</v>
      </c>
      <c r="I1081" s="107">
        <v>2</v>
      </c>
      <c r="J1081" s="107">
        <f t="shared" si="17"/>
        <v>11.678125000000001</v>
      </c>
      <c r="K1081" s="107">
        <v>4014</v>
      </c>
      <c r="L1081" s="107">
        <v>4903</v>
      </c>
      <c r="M1081" s="107">
        <v>670</v>
      </c>
      <c r="N1081" s="107"/>
    </row>
    <row r="1082" spans="1:14" x14ac:dyDescent="0.15">
      <c r="A1082" s="107">
        <v>1653</v>
      </c>
      <c r="B1082" s="107" t="s">
        <v>197</v>
      </c>
      <c r="C1082" s="107" t="s">
        <v>274</v>
      </c>
      <c r="D1082" s="107">
        <v>4</v>
      </c>
      <c r="E1082" s="107" t="s">
        <v>340</v>
      </c>
      <c r="F1082" s="107" t="s">
        <v>528</v>
      </c>
      <c r="G1082" s="107">
        <v>459</v>
      </c>
      <c r="H1082" s="107">
        <v>0</v>
      </c>
      <c r="I1082" s="107">
        <v>0</v>
      </c>
      <c r="J1082" s="107">
        <f t="shared" si="17"/>
        <v>114.75</v>
      </c>
      <c r="K1082" s="107">
        <v>3989</v>
      </c>
      <c r="L1082" s="107">
        <v>1784</v>
      </c>
      <c r="M1082" s="107">
        <v>147</v>
      </c>
      <c r="N1082" s="107"/>
    </row>
    <row r="1083" spans="1:14" x14ac:dyDescent="0.15">
      <c r="A1083" s="107">
        <v>1676</v>
      </c>
      <c r="B1083" s="107" t="s">
        <v>197</v>
      </c>
      <c r="C1083" s="107" t="s">
        <v>274</v>
      </c>
      <c r="D1083" s="107">
        <v>2</v>
      </c>
      <c r="E1083" s="107" t="s">
        <v>472</v>
      </c>
      <c r="F1083" s="107" t="s">
        <v>529</v>
      </c>
      <c r="G1083" s="107">
        <v>0</v>
      </c>
      <c r="H1083" s="107">
        <v>14</v>
      </c>
      <c r="I1083" s="107">
        <v>0</v>
      </c>
      <c r="J1083" s="107">
        <f t="shared" si="17"/>
        <v>0.35</v>
      </c>
      <c r="K1083" s="107">
        <v>4012</v>
      </c>
      <c r="L1083" s="107">
        <v>1814</v>
      </c>
      <c r="M1083" s="107">
        <v>428</v>
      </c>
      <c r="N1083" s="107"/>
    </row>
    <row r="1084" spans="1:14" x14ac:dyDescent="0.15">
      <c r="A1084" s="107">
        <v>1677</v>
      </c>
      <c r="B1084" s="107" t="s">
        <v>197</v>
      </c>
      <c r="C1084" s="107" t="s">
        <v>274</v>
      </c>
      <c r="D1084" s="107">
        <v>8</v>
      </c>
      <c r="E1084" s="107" t="s">
        <v>472</v>
      </c>
      <c r="F1084" s="107" t="s">
        <v>529</v>
      </c>
      <c r="G1084" s="107">
        <v>2</v>
      </c>
      <c r="H1084" s="107">
        <v>16</v>
      </c>
      <c r="I1084" s="107">
        <v>0</v>
      </c>
      <c r="J1084" s="107">
        <f t="shared" si="17"/>
        <v>0.35</v>
      </c>
      <c r="K1084" s="107">
        <v>4013</v>
      </c>
      <c r="L1084" s="107">
        <v>1816</v>
      </c>
      <c r="M1084" s="107">
        <v>742</v>
      </c>
      <c r="N1084" s="107"/>
    </row>
    <row r="1085" spans="1:14" x14ac:dyDescent="0.15">
      <c r="A1085" s="107">
        <v>1681</v>
      </c>
      <c r="B1085" s="107" t="s">
        <v>197</v>
      </c>
      <c r="C1085" s="107" t="s">
        <v>271</v>
      </c>
      <c r="D1085" s="107">
        <v>25</v>
      </c>
      <c r="E1085" s="107" t="s">
        <v>472</v>
      </c>
      <c r="F1085" s="107" t="s">
        <v>529</v>
      </c>
      <c r="G1085" s="107">
        <v>9</v>
      </c>
      <c r="H1085" s="107">
        <v>7</v>
      </c>
      <c r="I1085" s="107">
        <v>8</v>
      </c>
      <c r="J1085" s="107">
        <f t="shared" si="17"/>
        <v>0.375</v>
      </c>
      <c r="K1085" s="107">
        <v>4017</v>
      </c>
      <c r="L1085" s="107">
        <v>1819</v>
      </c>
      <c r="M1085" s="107">
        <v>427</v>
      </c>
      <c r="N1085" s="107"/>
    </row>
    <row r="1086" spans="1:14" x14ac:dyDescent="0.15">
      <c r="A1086" s="107">
        <v>1682</v>
      </c>
      <c r="B1086" s="107" t="s">
        <v>236</v>
      </c>
      <c r="C1086" s="107" t="s">
        <v>271</v>
      </c>
      <c r="D1086" s="107">
        <v>19</v>
      </c>
      <c r="E1086" s="107" t="s">
        <v>472</v>
      </c>
      <c r="F1086" s="107" t="s">
        <v>529</v>
      </c>
      <c r="G1086" s="107">
        <v>7</v>
      </c>
      <c r="H1086" s="107">
        <v>2</v>
      </c>
      <c r="I1086" s="107">
        <v>8</v>
      </c>
      <c r="J1086" s="107">
        <f t="shared" si="17"/>
        <v>0.375</v>
      </c>
      <c r="K1086" s="107">
        <v>4018</v>
      </c>
      <c r="L1086" s="107">
        <v>1820</v>
      </c>
      <c r="M1086" s="107">
        <v>840</v>
      </c>
      <c r="N1086" s="107" t="s">
        <v>273</v>
      </c>
    </row>
    <row r="1087" spans="1:14" x14ac:dyDescent="0.15">
      <c r="A1087" s="107">
        <v>1683</v>
      </c>
      <c r="B1087" s="107" t="s">
        <v>197</v>
      </c>
      <c r="C1087" s="107" t="s">
        <v>271</v>
      </c>
      <c r="D1087" s="107">
        <v>27</v>
      </c>
      <c r="E1087" s="107" t="s">
        <v>472</v>
      </c>
      <c r="F1087" s="107" t="s">
        <v>529</v>
      </c>
      <c r="G1087" s="107">
        <v>10</v>
      </c>
      <c r="H1087" s="107">
        <v>2</v>
      </c>
      <c r="I1087" s="107">
        <v>8</v>
      </c>
      <c r="J1087" s="107">
        <f t="shared" si="17"/>
        <v>0.375</v>
      </c>
      <c r="K1087" s="107">
        <v>4019</v>
      </c>
      <c r="L1087" s="107">
        <v>1822</v>
      </c>
      <c r="M1087" s="107">
        <v>600</v>
      </c>
      <c r="N1087" s="107"/>
    </row>
    <row r="1088" spans="1:14" x14ac:dyDescent="0.15">
      <c r="A1088" s="107">
        <v>1685</v>
      </c>
      <c r="B1088" s="107" t="s">
        <v>260</v>
      </c>
      <c r="C1088" s="107" t="s">
        <v>271</v>
      </c>
      <c r="D1088" s="107">
        <v>2</v>
      </c>
      <c r="E1088" s="107" t="s">
        <v>472</v>
      </c>
      <c r="F1088" s="107" t="s">
        <v>529</v>
      </c>
      <c r="G1088" s="107">
        <v>0</v>
      </c>
      <c r="H1088" s="107">
        <v>13</v>
      </c>
      <c r="I1088" s="107">
        <v>8</v>
      </c>
      <c r="J1088" s="107">
        <f t="shared" si="17"/>
        <v>0.33750000000000002</v>
      </c>
      <c r="K1088" s="107">
        <v>4022</v>
      </c>
      <c r="L1088" s="107">
        <v>1827</v>
      </c>
      <c r="M1088" s="107">
        <v>608</v>
      </c>
      <c r="N1088" s="107"/>
    </row>
    <row r="1089" spans="1:14" x14ac:dyDescent="0.15">
      <c r="A1089" s="107">
        <v>1688</v>
      </c>
      <c r="B1089" s="107" t="s">
        <v>260</v>
      </c>
      <c r="C1089" s="107" t="s">
        <v>271</v>
      </c>
      <c r="D1089" s="107">
        <v>9</v>
      </c>
      <c r="E1089" s="107" t="s">
        <v>472</v>
      </c>
      <c r="F1089" s="107" t="s">
        <v>529</v>
      </c>
      <c r="G1089" s="107">
        <v>4</v>
      </c>
      <c r="H1089" s="107">
        <v>10</v>
      </c>
      <c r="I1089" s="107">
        <v>0</v>
      </c>
      <c r="J1089" s="107">
        <f t="shared" si="17"/>
        <v>0.5</v>
      </c>
      <c r="K1089" s="107">
        <v>4025</v>
      </c>
      <c r="L1089" s="107">
        <v>1831</v>
      </c>
      <c r="M1089" s="107">
        <v>573</v>
      </c>
      <c r="N1089" s="107"/>
    </row>
    <row r="1090" spans="1:14" x14ac:dyDescent="0.15">
      <c r="A1090" s="107">
        <v>1689</v>
      </c>
      <c r="B1090" s="107" t="s">
        <v>197</v>
      </c>
      <c r="C1090" s="107" t="s">
        <v>271</v>
      </c>
      <c r="D1090" s="107">
        <v>10</v>
      </c>
      <c r="E1090" s="107" t="s">
        <v>472</v>
      </c>
      <c r="F1090" s="107" t="s">
        <v>529</v>
      </c>
      <c r="G1090" s="107">
        <v>5</v>
      </c>
      <c r="H1090" s="107">
        <v>0</v>
      </c>
      <c r="I1090" s="107">
        <v>0</v>
      </c>
      <c r="J1090" s="107">
        <f t="shared" si="17"/>
        <v>0.5</v>
      </c>
      <c r="K1090" s="107">
        <v>4027</v>
      </c>
      <c r="L1090" s="107">
        <v>1832</v>
      </c>
      <c r="M1090" s="107">
        <v>482</v>
      </c>
      <c r="N1090" s="107"/>
    </row>
    <row r="1091" spans="1:14" x14ac:dyDescent="0.15">
      <c r="A1091" s="107">
        <v>1690</v>
      </c>
      <c r="B1091" s="107" t="s">
        <v>192</v>
      </c>
      <c r="C1091" s="107" t="s">
        <v>271</v>
      </c>
      <c r="D1091" s="107">
        <v>12</v>
      </c>
      <c r="E1091" s="107" t="s">
        <v>472</v>
      </c>
      <c r="F1091" s="107" t="s">
        <v>529</v>
      </c>
      <c r="G1091" s="107">
        <v>6</v>
      </c>
      <c r="H1091" s="107">
        <v>0</v>
      </c>
      <c r="I1091" s="107">
        <v>0</v>
      </c>
      <c r="J1091" s="107">
        <f t="shared" si="17"/>
        <v>0.5</v>
      </c>
      <c r="K1091" s="107">
        <v>4028</v>
      </c>
      <c r="L1091" s="107">
        <v>1834</v>
      </c>
      <c r="M1091" s="107">
        <v>396</v>
      </c>
      <c r="N1091" s="107"/>
    </row>
    <row r="1092" spans="1:14" x14ac:dyDescent="0.15">
      <c r="A1092" s="107">
        <v>1691</v>
      </c>
      <c r="B1092" s="107" t="s">
        <v>244</v>
      </c>
      <c r="C1092" s="107" t="s">
        <v>271</v>
      </c>
      <c r="D1092" s="107">
        <v>14</v>
      </c>
      <c r="E1092" s="107" t="s">
        <v>472</v>
      </c>
      <c r="F1092" s="107" t="s">
        <v>529</v>
      </c>
      <c r="G1092" s="107">
        <v>7</v>
      </c>
      <c r="H1092" s="107">
        <v>0</v>
      </c>
      <c r="I1092" s="107">
        <v>0</v>
      </c>
      <c r="J1092" s="107">
        <f t="shared" si="17"/>
        <v>0.5</v>
      </c>
      <c r="K1092" s="107">
        <v>4028</v>
      </c>
      <c r="L1092" s="107">
        <v>1834</v>
      </c>
      <c r="M1092" s="107">
        <v>383</v>
      </c>
      <c r="N1092" s="107"/>
    </row>
    <row r="1093" spans="1:14" x14ac:dyDescent="0.15">
      <c r="A1093" s="107">
        <v>1693</v>
      </c>
      <c r="B1093" s="107" t="s">
        <v>261</v>
      </c>
      <c r="C1093" s="107" t="s">
        <v>271</v>
      </c>
      <c r="D1093" s="107">
        <v>6</v>
      </c>
      <c r="E1093" s="107" t="s">
        <v>472</v>
      </c>
      <c r="F1093" s="107" t="s">
        <v>529</v>
      </c>
      <c r="G1093" s="107">
        <v>2</v>
      </c>
      <c r="H1093" s="107">
        <v>8</v>
      </c>
      <c r="I1093" s="107">
        <v>0</v>
      </c>
      <c r="J1093" s="107">
        <f t="shared" si="17"/>
        <v>0.39999999999999997</v>
      </c>
      <c r="K1093" s="107">
        <v>4030</v>
      </c>
      <c r="L1093" s="107">
        <v>1836</v>
      </c>
      <c r="M1093" s="107">
        <v>230</v>
      </c>
      <c r="N1093" s="107"/>
    </row>
    <row r="1094" spans="1:14" x14ac:dyDescent="0.15">
      <c r="A1094" s="107">
        <v>1694</v>
      </c>
      <c r="B1094" s="107" t="s">
        <v>261</v>
      </c>
      <c r="C1094" s="107" t="s">
        <v>271</v>
      </c>
      <c r="D1094" s="107">
        <v>6</v>
      </c>
      <c r="E1094" s="107" t="s">
        <v>530</v>
      </c>
      <c r="F1094" s="107" t="s">
        <v>529</v>
      </c>
      <c r="G1094" s="107">
        <v>2</v>
      </c>
      <c r="H1094" s="107">
        <v>8</v>
      </c>
      <c r="I1094" s="107">
        <v>0</v>
      </c>
      <c r="J1094" s="107">
        <f t="shared" si="17"/>
        <v>0.39999999999999997</v>
      </c>
      <c r="K1094" s="107">
        <v>4032</v>
      </c>
      <c r="L1094" s="107">
        <v>1839</v>
      </c>
      <c r="M1094" s="107">
        <v>253</v>
      </c>
      <c r="N1094" s="107"/>
    </row>
    <row r="1095" spans="1:14" x14ac:dyDescent="0.15">
      <c r="A1095" s="107">
        <v>1695</v>
      </c>
      <c r="B1095" s="107" t="s">
        <v>197</v>
      </c>
      <c r="C1095" s="107" t="s">
        <v>271</v>
      </c>
      <c r="D1095" s="107">
        <v>10</v>
      </c>
      <c r="E1095" s="107" t="s">
        <v>472</v>
      </c>
      <c r="F1095" s="107" t="s">
        <v>529</v>
      </c>
      <c r="G1095" s="107">
        <v>4</v>
      </c>
      <c r="H1095" s="107">
        <v>0</v>
      </c>
      <c r="I1095" s="107">
        <v>0</v>
      </c>
      <c r="J1095" s="107">
        <f t="shared" si="17"/>
        <v>0.4</v>
      </c>
      <c r="K1095" s="107">
        <v>4035</v>
      </c>
      <c r="L1095" s="107">
        <v>1841</v>
      </c>
      <c r="M1095" s="107">
        <v>65</v>
      </c>
      <c r="N1095" s="107"/>
    </row>
    <row r="1096" spans="1:14" x14ac:dyDescent="0.15">
      <c r="A1096" s="107">
        <v>1696</v>
      </c>
      <c r="B1096" s="107" t="s">
        <v>260</v>
      </c>
      <c r="C1096" s="107" t="s">
        <v>271</v>
      </c>
      <c r="D1096" s="107">
        <v>2</v>
      </c>
      <c r="E1096" s="107" t="s">
        <v>531</v>
      </c>
      <c r="F1096" s="107" t="s">
        <v>529</v>
      </c>
      <c r="G1096" s="107">
        <v>0</v>
      </c>
      <c r="H1096" s="107">
        <v>16</v>
      </c>
      <c r="I1096" s="107">
        <v>0</v>
      </c>
      <c r="J1096" s="107">
        <f t="shared" si="17"/>
        <v>0.4</v>
      </c>
      <c r="K1096" s="107">
        <v>4035</v>
      </c>
      <c r="L1096" s="107">
        <v>1841</v>
      </c>
      <c r="M1096" s="107">
        <v>67</v>
      </c>
      <c r="N1096" s="107"/>
    </row>
    <row r="1097" spans="1:14" x14ac:dyDescent="0.15">
      <c r="A1097" s="107">
        <v>1698</v>
      </c>
      <c r="B1097" s="107" t="s">
        <v>200</v>
      </c>
      <c r="C1097" s="107" t="s">
        <v>271</v>
      </c>
      <c r="D1097" s="107">
        <v>6</v>
      </c>
      <c r="E1097" s="107" t="s">
        <v>472</v>
      </c>
      <c r="F1097" s="107" t="s">
        <v>529</v>
      </c>
      <c r="G1097" s="107">
        <v>2</v>
      </c>
      <c r="H1097" s="107">
        <v>8</v>
      </c>
      <c r="I1097" s="107">
        <v>0</v>
      </c>
      <c r="J1097" s="107">
        <f t="shared" si="17"/>
        <v>0.39999999999999997</v>
      </c>
      <c r="K1097" s="107">
        <v>4043</v>
      </c>
      <c r="L1097" s="107">
        <v>1851</v>
      </c>
      <c r="M1097" s="107">
        <v>829</v>
      </c>
      <c r="N1097" s="107"/>
    </row>
    <row r="1098" spans="1:14" x14ac:dyDescent="0.15">
      <c r="A1098" s="107">
        <v>1699</v>
      </c>
      <c r="B1098" s="107" t="s">
        <v>197</v>
      </c>
      <c r="C1098" s="107" t="s">
        <v>271</v>
      </c>
      <c r="D1098" s="107">
        <v>16</v>
      </c>
      <c r="E1098" s="107" t="s">
        <v>472</v>
      </c>
      <c r="F1098" s="107" t="s">
        <v>529</v>
      </c>
      <c r="G1098" s="107">
        <v>6</v>
      </c>
      <c r="H1098" s="107">
        <v>4</v>
      </c>
      <c r="I1098" s="107">
        <v>0</v>
      </c>
      <c r="J1098" s="107">
        <f t="shared" si="17"/>
        <v>0.38750000000000001</v>
      </c>
      <c r="K1098" s="107">
        <v>4043</v>
      </c>
      <c r="L1098" s="107">
        <v>1851</v>
      </c>
      <c r="M1098" s="107">
        <v>852</v>
      </c>
      <c r="N1098" s="107"/>
    </row>
    <row r="1099" spans="1:14" x14ac:dyDescent="0.15">
      <c r="A1099" s="107">
        <v>1700</v>
      </c>
      <c r="B1099" s="107" t="s">
        <v>200</v>
      </c>
      <c r="C1099" s="107" t="s">
        <v>271</v>
      </c>
      <c r="D1099" s="107">
        <v>2</v>
      </c>
      <c r="E1099" s="107" t="s">
        <v>472</v>
      </c>
      <c r="F1099" s="107" t="s">
        <v>529</v>
      </c>
      <c r="G1099" s="107">
        <v>0</v>
      </c>
      <c r="H1099" s="107">
        <v>16</v>
      </c>
      <c r="I1099" s="107">
        <v>0</v>
      </c>
      <c r="J1099" s="107">
        <f t="shared" si="17"/>
        <v>0.4</v>
      </c>
      <c r="K1099" s="107">
        <v>4047</v>
      </c>
      <c r="L1099" s="107">
        <v>1855</v>
      </c>
      <c r="M1099" s="107">
        <v>526</v>
      </c>
      <c r="N1099" s="107" t="s">
        <v>272</v>
      </c>
    </row>
    <row r="1100" spans="1:14" x14ac:dyDescent="0.15">
      <c r="A1100" s="107">
        <v>1702</v>
      </c>
      <c r="B1100" s="107" t="s">
        <v>244</v>
      </c>
      <c r="C1100" s="107" t="s">
        <v>271</v>
      </c>
      <c r="D1100" s="107">
        <v>2</v>
      </c>
      <c r="E1100" s="107" t="s">
        <v>472</v>
      </c>
      <c r="F1100" s="107" t="s">
        <v>529</v>
      </c>
      <c r="G1100" s="107">
        <v>0</v>
      </c>
      <c r="H1100" s="107">
        <v>15</v>
      </c>
      <c r="I1100" s="107">
        <v>0</v>
      </c>
      <c r="J1100" s="107">
        <f t="shared" si="17"/>
        <v>0.375</v>
      </c>
      <c r="K1100" s="107">
        <v>4049</v>
      </c>
      <c r="L1100" s="107">
        <v>1856</v>
      </c>
      <c r="M1100" s="107">
        <v>497</v>
      </c>
      <c r="N1100" s="107"/>
    </row>
    <row r="1101" spans="1:14" x14ac:dyDescent="0.15">
      <c r="A1101" s="107">
        <v>1703</v>
      </c>
      <c r="B1101" s="107" t="s">
        <v>253</v>
      </c>
      <c r="C1101" s="107" t="s">
        <v>271</v>
      </c>
      <c r="D1101" s="107">
        <v>4</v>
      </c>
      <c r="E1101" s="107" t="s">
        <v>472</v>
      </c>
      <c r="F1101" s="107" t="s">
        <v>529</v>
      </c>
      <c r="G1101" s="107">
        <v>1</v>
      </c>
      <c r="H1101" s="107">
        <v>0</v>
      </c>
      <c r="I1101" s="107">
        <v>0</v>
      </c>
      <c r="J1101" s="107">
        <f t="shared" si="17"/>
        <v>0.25</v>
      </c>
      <c r="K1101" s="107">
        <v>4049</v>
      </c>
      <c r="L1101" s="107">
        <v>1856</v>
      </c>
      <c r="M1101" s="107">
        <v>537</v>
      </c>
      <c r="N1101" s="107"/>
    </row>
    <row r="1102" spans="1:14" x14ac:dyDescent="0.15">
      <c r="A1102" s="107">
        <v>1669</v>
      </c>
      <c r="B1102" s="107" t="s">
        <v>253</v>
      </c>
      <c r="C1102" s="107" t="s">
        <v>274</v>
      </c>
      <c r="D1102" s="107">
        <v>46</v>
      </c>
      <c r="E1102" s="107" t="s">
        <v>212</v>
      </c>
      <c r="F1102" s="107" t="s">
        <v>532</v>
      </c>
      <c r="G1102" s="107">
        <v>45</v>
      </c>
      <c r="H1102" s="107">
        <v>0</v>
      </c>
      <c r="I1102" s="107">
        <v>0</v>
      </c>
      <c r="J1102" s="107">
        <f t="shared" si="17"/>
        <v>0.97826086956521741</v>
      </c>
      <c r="K1102" s="107">
        <v>4004</v>
      </c>
      <c r="L1102" s="107">
        <v>1805</v>
      </c>
      <c r="M1102" s="107">
        <v>572</v>
      </c>
      <c r="N1102" s="107"/>
    </row>
    <row r="1103" spans="1:14" x14ac:dyDescent="0.15">
      <c r="A1103" s="107">
        <v>1681</v>
      </c>
      <c r="B1103" s="107" t="s">
        <v>244</v>
      </c>
      <c r="C1103" s="107" t="s">
        <v>271</v>
      </c>
      <c r="D1103" s="107">
        <v>2</v>
      </c>
      <c r="E1103" s="107" t="s">
        <v>293</v>
      </c>
      <c r="F1103" s="107" t="s">
        <v>532</v>
      </c>
      <c r="G1103" s="107">
        <v>1</v>
      </c>
      <c r="H1103" s="107">
        <v>16</v>
      </c>
      <c r="I1103" s="107">
        <v>12</v>
      </c>
      <c r="J1103" s="107">
        <f t="shared" si="17"/>
        <v>0.91875000000000007</v>
      </c>
      <c r="K1103" s="107">
        <v>4017</v>
      </c>
      <c r="L1103" s="107">
        <v>1819</v>
      </c>
      <c r="M1103" s="107">
        <v>471</v>
      </c>
      <c r="N1103" s="107"/>
    </row>
    <row r="1104" spans="1:14" x14ac:dyDescent="0.15">
      <c r="A1104" s="107">
        <v>1683</v>
      </c>
      <c r="B1104" s="107" t="s">
        <v>226</v>
      </c>
      <c r="C1104" s="107" t="s">
        <v>271</v>
      </c>
      <c r="D1104" s="107">
        <v>2</v>
      </c>
      <c r="E1104" s="107" t="s">
        <v>293</v>
      </c>
      <c r="F1104" s="107" t="s">
        <v>532</v>
      </c>
      <c r="G1104" s="107">
        <v>1</v>
      </c>
      <c r="H1104" s="107">
        <v>16</v>
      </c>
      <c r="I1104" s="107">
        <v>0</v>
      </c>
      <c r="J1104" s="107">
        <f t="shared" si="17"/>
        <v>0.9</v>
      </c>
      <c r="K1104" s="107">
        <v>4019</v>
      </c>
      <c r="L1104" s="107">
        <v>1822</v>
      </c>
      <c r="M1104" s="107">
        <v>651</v>
      </c>
      <c r="N1104" s="107"/>
    </row>
    <row r="1105" spans="1:14" x14ac:dyDescent="0.15">
      <c r="A1105" s="107">
        <v>1698</v>
      </c>
      <c r="B1105" s="107" t="s">
        <v>192</v>
      </c>
      <c r="C1105" s="107" t="s">
        <v>271</v>
      </c>
      <c r="D1105" s="107">
        <v>2</v>
      </c>
      <c r="E1105" s="107" t="s">
        <v>293</v>
      </c>
      <c r="F1105" s="107" t="s">
        <v>532</v>
      </c>
      <c r="G1105" s="107">
        <v>1</v>
      </c>
      <c r="H1105" s="107">
        <v>6</v>
      </c>
      <c r="I1105" s="107">
        <v>0</v>
      </c>
      <c r="J1105" s="107">
        <f t="shared" si="17"/>
        <v>0.65</v>
      </c>
      <c r="K1105" s="107">
        <v>4043</v>
      </c>
      <c r="L1105" s="107">
        <v>1851</v>
      </c>
      <c r="M1105" s="107">
        <v>840</v>
      </c>
      <c r="N1105" s="107"/>
    </row>
    <row r="1106" spans="1:14" x14ac:dyDescent="0.15">
      <c r="A1106" s="107">
        <v>1699</v>
      </c>
      <c r="B1106" s="107" t="s">
        <v>197</v>
      </c>
      <c r="C1106" s="107" t="s">
        <v>271</v>
      </c>
      <c r="D1106" s="107">
        <v>2</v>
      </c>
      <c r="E1106" s="107" t="s">
        <v>293</v>
      </c>
      <c r="F1106" s="107" t="s">
        <v>532</v>
      </c>
      <c r="G1106" s="107">
        <v>1</v>
      </c>
      <c r="H1106" s="107">
        <v>6</v>
      </c>
      <c r="I1106" s="107">
        <v>0</v>
      </c>
      <c r="J1106" s="107">
        <f t="shared" si="17"/>
        <v>0.65</v>
      </c>
      <c r="K1106" s="107">
        <v>4043</v>
      </c>
      <c r="L1106" s="107">
        <v>1851</v>
      </c>
      <c r="M1106" s="107">
        <v>855</v>
      </c>
      <c r="N1106" s="107"/>
    </row>
    <row r="1107" spans="1:14" x14ac:dyDescent="0.15">
      <c r="A1107" s="107">
        <v>1700</v>
      </c>
      <c r="B1107" s="107" t="s">
        <v>192</v>
      </c>
      <c r="C1107" s="107" t="s">
        <v>271</v>
      </c>
      <c r="D1107" s="107">
        <v>4</v>
      </c>
      <c r="E1107" s="107" t="s">
        <v>293</v>
      </c>
      <c r="F1107" s="107" t="s">
        <v>532</v>
      </c>
      <c r="G1107" s="107">
        <v>2</v>
      </c>
      <c r="H1107" s="107">
        <v>16</v>
      </c>
      <c r="I1107" s="107">
        <v>0</v>
      </c>
      <c r="J1107" s="107">
        <f t="shared" si="17"/>
        <v>0.7</v>
      </c>
      <c r="K1107" s="107">
        <v>4047</v>
      </c>
      <c r="L1107" s="107">
        <v>1855</v>
      </c>
      <c r="M1107" s="107">
        <v>529</v>
      </c>
      <c r="N1107" s="107" t="s">
        <v>272</v>
      </c>
    </row>
    <row r="1108" spans="1:14" x14ac:dyDescent="0.15">
      <c r="A1108" s="107">
        <v>1700</v>
      </c>
      <c r="B1108" s="107" t="s">
        <v>236</v>
      </c>
      <c r="C1108" s="107" t="s">
        <v>271</v>
      </c>
      <c r="D1108" s="107">
        <v>4</v>
      </c>
      <c r="E1108" s="107" t="s">
        <v>293</v>
      </c>
      <c r="F1108" s="107" t="s">
        <v>532</v>
      </c>
      <c r="G1108" s="107">
        <v>2</v>
      </c>
      <c r="H1108" s="107">
        <v>16</v>
      </c>
      <c r="I1108" s="107">
        <v>0</v>
      </c>
      <c r="J1108" s="107">
        <f t="shared" si="17"/>
        <v>0.7</v>
      </c>
      <c r="K1108" s="107">
        <v>4047</v>
      </c>
      <c r="L1108" s="107">
        <v>1855</v>
      </c>
      <c r="M1108" s="107">
        <v>553</v>
      </c>
      <c r="N1108" s="107" t="s">
        <v>273</v>
      </c>
    </row>
    <row r="1109" spans="1:14" x14ac:dyDescent="0.15">
      <c r="A1109" s="107">
        <v>1701</v>
      </c>
      <c r="B1109" s="107" t="s">
        <v>197</v>
      </c>
      <c r="C1109" s="107" t="s">
        <v>271</v>
      </c>
      <c r="D1109" s="107">
        <v>2</v>
      </c>
      <c r="E1109" s="107" t="s">
        <v>293</v>
      </c>
      <c r="F1109" s="107" t="s">
        <v>532</v>
      </c>
      <c r="G1109" s="107">
        <v>1</v>
      </c>
      <c r="H1109" s="107">
        <v>8</v>
      </c>
      <c r="I1109" s="107">
        <v>0</v>
      </c>
      <c r="J1109" s="107">
        <f t="shared" si="17"/>
        <v>0.7</v>
      </c>
      <c r="K1109" s="107">
        <v>4047</v>
      </c>
      <c r="L1109" s="107">
        <v>1855</v>
      </c>
      <c r="M1109" s="107">
        <v>559</v>
      </c>
      <c r="N1109" s="107" t="s">
        <v>380</v>
      </c>
    </row>
    <row r="1110" spans="1:14" x14ac:dyDescent="0.15">
      <c r="A1110" s="107">
        <v>1702</v>
      </c>
      <c r="B1110" s="107" t="s">
        <v>244</v>
      </c>
      <c r="C1110" s="107" t="s">
        <v>271</v>
      </c>
      <c r="D1110" s="107">
        <v>15</v>
      </c>
      <c r="E1110" s="107" t="s">
        <v>293</v>
      </c>
      <c r="F1110" s="107" t="s">
        <v>532</v>
      </c>
      <c r="G1110" s="107">
        <v>9</v>
      </c>
      <c r="H1110" s="107">
        <v>15</v>
      </c>
      <c r="I1110" s="107">
        <v>0</v>
      </c>
      <c r="J1110" s="107">
        <f t="shared" si="17"/>
        <v>0.65</v>
      </c>
      <c r="K1110" s="107">
        <v>4049</v>
      </c>
      <c r="L1110" s="107">
        <v>1856</v>
      </c>
      <c r="M1110" s="107">
        <v>529</v>
      </c>
      <c r="N1110" s="107"/>
    </row>
    <row r="1111" spans="1:14" x14ac:dyDescent="0.15">
      <c r="A1111" s="107">
        <v>1703</v>
      </c>
      <c r="B1111" s="107" t="s">
        <v>226</v>
      </c>
      <c r="C1111" s="107" t="s">
        <v>271</v>
      </c>
      <c r="D1111" s="107">
        <v>15</v>
      </c>
      <c r="E1111" s="107" t="s">
        <v>212</v>
      </c>
      <c r="F1111" s="107" t="s">
        <v>532</v>
      </c>
      <c r="G1111" s="107">
        <v>12</v>
      </c>
      <c r="H1111" s="107">
        <v>15</v>
      </c>
      <c r="I1111" s="107">
        <v>0</v>
      </c>
      <c r="J1111" s="107">
        <f t="shared" si="17"/>
        <v>0.85</v>
      </c>
      <c r="K1111" s="107">
        <v>4050</v>
      </c>
      <c r="L1111" s="107">
        <v>1858</v>
      </c>
      <c r="M1111" s="107">
        <v>543</v>
      </c>
      <c r="N1111" s="107"/>
    </row>
    <row r="1112" spans="1:14" x14ac:dyDescent="0.15">
      <c r="A1112" s="107">
        <v>1696</v>
      </c>
      <c r="B1112" s="107" t="s">
        <v>253</v>
      </c>
      <c r="C1112" s="107" t="s">
        <v>271</v>
      </c>
      <c r="D1112" s="107">
        <v>2</v>
      </c>
      <c r="E1112" s="107" t="s">
        <v>188</v>
      </c>
      <c r="F1112" s="107" t="s">
        <v>533</v>
      </c>
      <c r="G1112" s="107">
        <v>48</v>
      </c>
      <c r="H1112" s="107">
        <v>0</v>
      </c>
      <c r="I1112" s="107">
        <v>0</v>
      </c>
      <c r="J1112" s="107">
        <f t="shared" si="17"/>
        <v>24</v>
      </c>
      <c r="K1112" s="107">
        <v>4037</v>
      </c>
      <c r="L1112" s="107">
        <v>1844</v>
      </c>
      <c r="M1112" s="107">
        <v>1380</v>
      </c>
      <c r="N1112" s="107"/>
    </row>
    <row r="1113" spans="1:14" x14ac:dyDescent="0.15">
      <c r="A1113" s="107">
        <v>1695</v>
      </c>
      <c r="B1113" s="107" t="s">
        <v>260</v>
      </c>
      <c r="C1113" s="107" t="s">
        <v>271</v>
      </c>
      <c r="D1113" s="107">
        <v>2</v>
      </c>
      <c r="E1113" s="107" t="s">
        <v>188</v>
      </c>
      <c r="F1113" s="107" t="s">
        <v>534</v>
      </c>
      <c r="G1113" s="107">
        <v>48</v>
      </c>
      <c r="H1113" s="107">
        <v>0</v>
      </c>
      <c r="I1113" s="107">
        <v>0</v>
      </c>
      <c r="J1113" s="107">
        <f t="shared" si="17"/>
        <v>24</v>
      </c>
      <c r="K1113" s="107">
        <v>4034</v>
      </c>
      <c r="L1113" s="107">
        <v>1841</v>
      </c>
      <c r="M1113" s="107">
        <v>490</v>
      </c>
      <c r="N1113" s="107"/>
    </row>
    <row r="1114" spans="1:14" x14ac:dyDescent="0.15">
      <c r="A1114" s="107">
        <v>1677</v>
      </c>
      <c r="B1114" s="107" t="s">
        <v>197</v>
      </c>
      <c r="C1114" s="107" t="s">
        <v>274</v>
      </c>
      <c r="D1114" s="107">
        <v>17</v>
      </c>
      <c r="E1114" s="107" t="s">
        <v>204</v>
      </c>
      <c r="F1114" s="107" t="s">
        <v>535</v>
      </c>
      <c r="G1114" s="107">
        <v>1</v>
      </c>
      <c r="H1114" s="107">
        <v>11</v>
      </c>
      <c r="I1114" s="107">
        <v>0</v>
      </c>
      <c r="J1114" s="107">
        <f t="shared" si="17"/>
        <v>9.1176470588235303E-2</v>
      </c>
      <c r="K1114" s="107">
        <v>4013</v>
      </c>
      <c r="L1114" s="107">
        <v>1816</v>
      </c>
      <c r="M1114" s="107">
        <v>770</v>
      </c>
      <c r="N1114" s="107"/>
    </row>
    <row r="1115" spans="1:14" x14ac:dyDescent="0.15">
      <c r="A1115" s="107">
        <v>1665</v>
      </c>
      <c r="B1115" s="107" t="s">
        <v>244</v>
      </c>
      <c r="C1115" s="107" t="s">
        <v>274</v>
      </c>
      <c r="D1115" s="107">
        <v>20</v>
      </c>
      <c r="E1115" s="107" t="s">
        <v>299</v>
      </c>
      <c r="F1115" s="107" t="s">
        <v>536</v>
      </c>
      <c r="G1115" s="107">
        <v>36</v>
      </c>
      <c r="H1115" s="107">
        <v>0</v>
      </c>
      <c r="I1115" s="107">
        <v>0</v>
      </c>
      <c r="J1115" s="107">
        <f t="shared" si="17"/>
        <v>1.8</v>
      </c>
      <c r="K1115" s="107">
        <v>4000</v>
      </c>
      <c r="L1115" s="107">
        <v>1798</v>
      </c>
      <c r="M1115" s="107">
        <v>104</v>
      </c>
      <c r="N1115" s="107"/>
    </row>
    <row r="1116" spans="1:14" x14ac:dyDescent="0.15">
      <c r="A1116" s="107">
        <v>1677</v>
      </c>
      <c r="B1116" s="107" t="s">
        <v>197</v>
      </c>
      <c r="C1116" s="107" t="s">
        <v>274</v>
      </c>
      <c r="D1116" s="107">
        <v>0.5</v>
      </c>
      <c r="E1116" s="107" t="s">
        <v>280</v>
      </c>
      <c r="F1116" s="107" t="s">
        <v>536</v>
      </c>
      <c r="G1116" s="107">
        <v>128</v>
      </c>
      <c r="H1116" s="107">
        <v>0</v>
      </c>
      <c r="I1116" s="107">
        <v>0</v>
      </c>
      <c r="J1116" s="107">
        <f t="shared" si="17"/>
        <v>256</v>
      </c>
      <c r="K1116" s="107">
        <v>4013</v>
      </c>
      <c r="L1116" s="107">
        <v>1816</v>
      </c>
      <c r="M1116" s="107">
        <v>759</v>
      </c>
      <c r="N1116" s="107"/>
    </row>
    <row r="1117" spans="1:14" x14ac:dyDescent="0.15">
      <c r="A1117" s="107">
        <v>1683</v>
      </c>
      <c r="B1117" s="107" t="s">
        <v>197</v>
      </c>
      <c r="C1117" s="107" t="s">
        <v>271</v>
      </c>
      <c r="D1117" s="107">
        <v>459</v>
      </c>
      <c r="E1117" s="107" t="s">
        <v>212</v>
      </c>
      <c r="F1117" s="107" t="s">
        <v>536</v>
      </c>
      <c r="G1117" s="107">
        <v>101</v>
      </c>
      <c r="H1117" s="107">
        <v>5</v>
      </c>
      <c r="I1117" s="107">
        <v>0</v>
      </c>
      <c r="J1117" s="107">
        <f t="shared" si="17"/>
        <v>0.22058823529411764</v>
      </c>
      <c r="K1117" s="107">
        <v>4019</v>
      </c>
      <c r="L1117" s="107">
        <v>1822</v>
      </c>
      <c r="M1117" s="107">
        <v>600</v>
      </c>
      <c r="N1117" s="107"/>
    </row>
    <row r="1118" spans="1:14" x14ac:dyDescent="0.15">
      <c r="A1118" s="107">
        <v>1684</v>
      </c>
      <c r="B1118" s="107" t="s">
        <v>261</v>
      </c>
      <c r="C1118" s="107" t="s">
        <v>271</v>
      </c>
      <c r="D1118" s="107">
        <v>1224</v>
      </c>
      <c r="E1118" s="107" t="s">
        <v>212</v>
      </c>
      <c r="F1118" s="107" t="s">
        <v>536</v>
      </c>
      <c r="G1118" s="107">
        <v>330</v>
      </c>
      <c r="H1118" s="107">
        <v>0</v>
      </c>
      <c r="I1118" s="107">
        <v>0</v>
      </c>
      <c r="J1118" s="107">
        <f t="shared" si="17"/>
        <v>0.26960784313725489</v>
      </c>
      <c r="K1118" s="107">
        <v>4021</v>
      </c>
      <c r="L1118" s="107">
        <v>1825</v>
      </c>
      <c r="M1118" s="107">
        <v>685</v>
      </c>
      <c r="N1118" s="107"/>
    </row>
    <row r="1119" spans="1:14" x14ac:dyDescent="0.15">
      <c r="A1119" s="107">
        <v>1685</v>
      </c>
      <c r="B1119" s="107" t="s">
        <v>197</v>
      </c>
      <c r="C1119" s="107" t="s">
        <v>271</v>
      </c>
      <c r="D1119" s="107">
        <v>1</v>
      </c>
      <c r="E1119" s="107" t="s">
        <v>296</v>
      </c>
      <c r="F1119" s="107" t="s">
        <v>536</v>
      </c>
      <c r="G1119" s="107">
        <v>37</v>
      </c>
      <c r="H1119" s="107">
        <v>10</v>
      </c>
      <c r="I1119" s="107">
        <v>0</v>
      </c>
      <c r="J1119" s="107">
        <f t="shared" si="17"/>
        <v>37.5</v>
      </c>
      <c r="K1119" s="107">
        <v>4022</v>
      </c>
      <c r="L1119" s="107">
        <v>1827</v>
      </c>
      <c r="M1119" s="107">
        <v>609</v>
      </c>
      <c r="N1119" s="107"/>
    </row>
    <row r="1120" spans="1:14" x14ac:dyDescent="0.15">
      <c r="A1120" s="107">
        <v>1686</v>
      </c>
      <c r="B1120" s="107" t="s">
        <v>197</v>
      </c>
      <c r="C1120" s="107" t="s">
        <v>271</v>
      </c>
      <c r="D1120" s="107">
        <v>256</v>
      </c>
      <c r="E1120" s="107" t="s">
        <v>212</v>
      </c>
      <c r="F1120" s="107" t="s">
        <v>536</v>
      </c>
      <c r="G1120" s="107">
        <v>118</v>
      </c>
      <c r="H1120" s="107">
        <v>8</v>
      </c>
      <c r="I1120" s="107">
        <v>0</v>
      </c>
      <c r="J1120" s="107">
        <f t="shared" si="17"/>
        <v>0.46250000000000002</v>
      </c>
      <c r="K1120" s="107">
        <v>4023</v>
      </c>
      <c r="L1120" s="107">
        <v>1829</v>
      </c>
      <c r="M1120" s="107">
        <v>706</v>
      </c>
      <c r="N1120" s="107"/>
    </row>
    <row r="1121" spans="1:13" x14ac:dyDescent="0.15">
      <c r="A1121" s="107">
        <v>1688</v>
      </c>
      <c r="B1121" s="107" t="s">
        <v>260</v>
      </c>
      <c r="C1121" s="107" t="s">
        <v>271</v>
      </c>
      <c r="D1121" s="107">
        <v>204</v>
      </c>
      <c r="E1121" s="107" t="s">
        <v>212</v>
      </c>
      <c r="F1121" s="107" t="s">
        <v>536</v>
      </c>
      <c r="G1121" s="107">
        <v>30</v>
      </c>
      <c r="H1121" s="107">
        <v>0</v>
      </c>
      <c r="I1121" s="107">
        <v>0</v>
      </c>
      <c r="J1121" s="107">
        <f t="shared" si="17"/>
        <v>0.14705882352941177</v>
      </c>
      <c r="K1121" s="107">
        <v>4025</v>
      </c>
      <c r="L1121" s="107">
        <v>1831</v>
      </c>
      <c r="M1121" s="107">
        <v>573</v>
      </c>
    </row>
    <row r="1122" spans="1:13" x14ac:dyDescent="0.15">
      <c r="A1122" s="107">
        <v>1689</v>
      </c>
      <c r="B1122" s="107" t="s">
        <v>197</v>
      </c>
      <c r="C1122" s="107" t="s">
        <v>271</v>
      </c>
      <c r="D1122" s="107">
        <v>120</v>
      </c>
      <c r="E1122" s="107" t="s">
        <v>212</v>
      </c>
      <c r="F1122" s="107" t="s">
        <v>536</v>
      </c>
      <c r="G1122" s="107">
        <v>18</v>
      </c>
      <c r="H1122" s="107">
        <v>0</v>
      </c>
      <c r="I1122" s="107">
        <v>0</v>
      </c>
      <c r="J1122" s="107">
        <f t="shared" si="17"/>
        <v>0.15</v>
      </c>
      <c r="K1122" s="107">
        <v>4027</v>
      </c>
      <c r="L1122" s="107">
        <v>1832</v>
      </c>
      <c r="M1122" s="107">
        <v>482</v>
      </c>
    </row>
    <row r="1123" spans="1:13" x14ac:dyDescent="0.15">
      <c r="A1123" s="107">
        <v>1690</v>
      </c>
      <c r="B1123" s="107" t="s">
        <v>247</v>
      </c>
      <c r="C1123" s="107" t="s">
        <v>271</v>
      </c>
      <c r="D1123" s="107">
        <v>1.5</v>
      </c>
      <c r="E1123" s="107" t="s">
        <v>280</v>
      </c>
      <c r="F1123" s="107" t="s">
        <v>536</v>
      </c>
      <c r="G1123" s="107">
        <v>90</v>
      </c>
      <c r="H1123" s="107">
        <v>0</v>
      </c>
      <c r="I1123" s="107">
        <v>0</v>
      </c>
      <c r="J1123" s="107">
        <f t="shared" si="17"/>
        <v>60</v>
      </c>
      <c r="K1123" s="107">
        <v>4028</v>
      </c>
      <c r="L1123" s="107">
        <v>1834</v>
      </c>
      <c r="M1123" s="107">
        <v>398</v>
      </c>
    </row>
    <row r="1124" spans="1:13" x14ac:dyDescent="0.15">
      <c r="A1124" s="107">
        <v>1691</v>
      </c>
      <c r="B1124" s="107" t="s">
        <v>244</v>
      </c>
      <c r="C1124" s="107" t="s">
        <v>271</v>
      </c>
      <c r="D1124" s="107">
        <v>408</v>
      </c>
      <c r="E1124" s="107" t="s">
        <v>212</v>
      </c>
      <c r="F1124" s="107" t="s">
        <v>536</v>
      </c>
      <c r="G1124" s="107">
        <v>75</v>
      </c>
      <c r="H1124" s="107">
        <v>0</v>
      </c>
      <c r="I1124" s="107">
        <v>0</v>
      </c>
      <c r="J1124" s="107">
        <f t="shared" si="17"/>
        <v>0.18382352941176472</v>
      </c>
      <c r="K1124" s="107">
        <v>4028</v>
      </c>
      <c r="L1124" s="107">
        <v>1834</v>
      </c>
      <c r="M1124" s="107">
        <v>379</v>
      </c>
    </row>
    <row r="1125" spans="1:13" x14ac:dyDescent="0.15">
      <c r="A1125" s="107">
        <v>1692</v>
      </c>
      <c r="B1125" s="107" t="s">
        <v>247</v>
      </c>
      <c r="C1125" s="107" t="s">
        <v>271</v>
      </c>
      <c r="D1125" s="107">
        <v>1</v>
      </c>
      <c r="E1125" s="107" t="s">
        <v>296</v>
      </c>
      <c r="F1125" s="107" t="s">
        <v>536</v>
      </c>
      <c r="G1125" s="107">
        <v>18</v>
      </c>
      <c r="H1125" s="107">
        <v>15</v>
      </c>
      <c r="I1125" s="107">
        <v>0</v>
      </c>
      <c r="J1125" s="107">
        <f t="shared" si="17"/>
        <v>18.75</v>
      </c>
      <c r="K1125" s="107">
        <v>4030</v>
      </c>
      <c r="L1125" s="107">
        <v>1836</v>
      </c>
      <c r="M1125" s="107">
        <v>242</v>
      </c>
    </row>
    <row r="1126" spans="1:13" x14ac:dyDescent="0.15">
      <c r="A1126" s="107">
        <v>1693</v>
      </c>
      <c r="B1126" s="107" t="s">
        <v>261</v>
      </c>
      <c r="C1126" s="107" t="s">
        <v>271</v>
      </c>
      <c r="D1126" s="107">
        <v>0.5</v>
      </c>
      <c r="E1126" s="107" t="s">
        <v>280</v>
      </c>
      <c r="F1126" s="107" t="s">
        <v>536</v>
      </c>
      <c r="G1126" s="107">
        <v>37</v>
      </c>
      <c r="H1126" s="107">
        <v>10</v>
      </c>
      <c r="I1126" s="107">
        <v>0</v>
      </c>
      <c r="J1126" s="107">
        <f t="shared" si="17"/>
        <v>75</v>
      </c>
      <c r="K1126" s="107">
        <v>4030</v>
      </c>
      <c r="L1126" s="107">
        <v>1836</v>
      </c>
      <c r="M1126" s="107">
        <v>230</v>
      </c>
    </row>
    <row r="1127" spans="1:13" x14ac:dyDescent="0.15">
      <c r="A1127" s="107">
        <v>1694</v>
      </c>
      <c r="B1127" s="107" t="s">
        <v>261</v>
      </c>
      <c r="C1127" s="107" t="s">
        <v>271</v>
      </c>
      <c r="D1127" s="107">
        <v>0.5</v>
      </c>
      <c r="E1127" s="107" t="s">
        <v>280</v>
      </c>
      <c r="F1127" s="107" t="s">
        <v>536</v>
      </c>
      <c r="G1127" s="107">
        <v>45</v>
      </c>
      <c r="H1127" s="107">
        <v>0</v>
      </c>
      <c r="I1127" s="107">
        <v>0</v>
      </c>
      <c r="J1127" s="107">
        <f t="shared" si="17"/>
        <v>90</v>
      </c>
      <c r="K1127" s="107">
        <v>4032</v>
      </c>
      <c r="L1127" s="107">
        <v>1839</v>
      </c>
      <c r="M1127" s="107">
        <v>252</v>
      </c>
    </row>
    <row r="1128" spans="1:13" x14ac:dyDescent="0.15">
      <c r="A1128" s="107">
        <v>1695</v>
      </c>
      <c r="B1128" s="107" t="s">
        <v>260</v>
      </c>
      <c r="C1128" s="107" t="s">
        <v>271</v>
      </c>
      <c r="D1128" s="107">
        <v>0.5</v>
      </c>
      <c r="E1128" s="107" t="s">
        <v>280</v>
      </c>
      <c r="F1128" s="107" t="s">
        <v>536</v>
      </c>
      <c r="G1128" s="107">
        <v>45</v>
      </c>
      <c r="H1128" s="107">
        <v>0</v>
      </c>
      <c r="I1128" s="107">
        <v>0</v>
      </c>
      <c r="J1128" s="107">
        <f t="shared" si="17"/>
        <v>90</v>
      </c>
      <c r="K1128" s="107">
        <v>4034</v>
      </c>
      <c r="L1128" s="107">
        <v>1841</v>
      </c>
      <c r="M1128" s="107">
        <v>490</v>
      </c>
    </row>
    <row r="1129" spans="1:13" x14ac:dyDescent="0.15">
      <c r="A1129" s="107">
        <v>1696</v>
      </c>
      <c r="B1129" s="107" t="s">
        <v>260</v>
      </c>
      <c r="C1129" s="107" t="s">
        <v>271</v>
      </c>
      <c r="D1129" s="107">
        <v>1</v>
      </c>
      <c r="E1129" s="107" t="s">
        <v>280</v>
      </c>
      <c r="F1129" s="107" t="s">
        <v>536</v>
      </c>
      <c r="G1129" s="107">
        <v>90</v>
      </c>
      <c r="H1129" s="107">
        <v>0</v>
      </c>
      <c r="I1129" s="107">
        <v>0</v>
      </c>
      <c r="J1129" s="107">
        <f t="shared" si="17"/>
        <v>90</v>
      </c>
      <c r="K1129" s="107">
        <v>4035</v>
      </c>
      <c r="L1129" s="107">
        <v>1841</v>
      </c>
      <c r="M1129" s="107">
        <v>67</v>
      </c>
    </row>
    <row r="1130" spans="1:13" x14ac:dyDescent="0.15">
      <c r="A1130" s="107">
        <v>1698</v>
      </c>
      <c r="B1130" s="107" t="s">
        <v>200</v>
      </c>
      <c r="C1130" s="107" t="s">
        <v>271</v>
      </c>
      <c r="D1130" s="107">
        <v>92</v>
      </c>
      <c r="E1130" s="107" t="s">
        <v>212</v>
      </c>
      <c r="F1130" s="107" t="s">
        <v>536</v>
      </c>
      <c r="G1130" s="107">
        <v>46</v>
      </c>
      <c r="H1130" s="107">
        <v>0</v>
      </c>
      <c r="I1130" s="107">
        <v>0</v>
      </c>
      <c r="J1130" s="107">
        <f t="shared" si="17"/>
        <v>0.5</v>
      </c>
      <c r="K1130" s="107">
        <v>4043</v>
      </c>
      <c r="L1130" s="107">
        <v>1851</v>
      </c>
      <c r="M1130" s="107">
        <v>827</v>
      </c>
    </row>
    <row r="1131" spans="1:13" x14ac:dyDescent="0.15">
      <c r="A1131" s="107">
        <v>1699</v>
      </c>
      <c r="B1131" s="107" t="s">
        <v>197</v>
      </c>
      <c r="C1131" s="107" t="s">
        <v>271</v>
      </c>
      <c r="D1131" s="107">
        <v>92</v>
      </c>
      <c r="E1131" s="107" t="s">
        <v>212</v>
      </c>
      <c r="F1131" s="107" t="s">
        <v>536</v>
      </c>
      <c r="G1131" s="107">
        <v>46</v>
      </c>
      <c r="H1131" s="107">
        <v>0</v>
      </c>
      <c r="I1131" s="107">
        <v>0</v>
      </c>
      <c r="J1131" s="107">
        <f t="shared" si="17"/>
        <v>0.5</v>
      </c>
      <c r="K1131" s="107">
        <v>4043</v>
      </c>
      <c r="L1131" s="107">
        <v>1851</v>
      </c>
      <c r="M1131" s="107">
        <v>851</v>
      </c>
    </row>
    <row r="1132" spans="1:13" x14ac:dyDescent="0.15">
      <c r="A1132" s="107">
        <v>1702</v>
      </c>
      <c r="B1132" s="107" t="s">
        <v>226</v>
      </c>
      <c r="C1132" s="107" t="s">
        <v>271</v>
      </c>
      <c r="D1132" s="107">
        <v>1906</v>
      </c>
      <c r="E1132" s="107" t="s">
        <v>212</v>
      </c>
      <c r="F1132" s="107" t="s">
        <v>536</v>
      </c>
      <c r="G1132" s="107">
        <v>476</v>
      </c>
      <c r="H1132" s="107">
        <v>10</v>
      </c>
      <c r="I1132" s="107">
        <v>0</v>
      </c>
      <c r="J1132" s="107">
        <f t="shared" si="17"/>
        <v>0.25</v>
      </c>
      <c r="K1132" s="107">
        <v>4049</v>
      </c>
      <c r="L1132" s="107">
        <v>1856</v>
      </c>
      <c r="M1132" s="107">
        <v>503</v>
      </c>
    </row>
    <row r="1133" spans="1:13" x14ac:dyDescent="0.15">
      <c r="A1133" s="107">
        <v>1703</v>
      </c>
      <c r="B1133" s="107" t="s">
        <v>253</v>
      </c>
      <c r="C1133" s="107" t="s">
        <v>271</v>
      </c>
      <c r="D1133" s="107">
        <v>1</v>
      </c>
      <c r="E1133" s="107" t="s">
        <v>280</v>
      </c>
      <c r="F1133" s="107" t="s">
        <v>536</v>
      </c>
      <c r="G1133" s="107">
        <v>102</v>
      </c>
      <c r="H1133" s="107">
        <v>0</v>
      </c>
      <c r="I1133" s="107">
        <v>0</v>
      </c>
      <c r="J1133" s="107">
        <f t="shared" si="17"/>
        <v>102</v>
      </c>
      <c r="K1133" s="107">
        <v>4049</v>
      </c>
      <c r="L1133" s="107">
        <v>1856</v>
      </c>
      <c r="M1133" s="107">
        <v>538</v>
      </c>
    </row>
    <row r="1134" spans="1:13" x14ac:dyDescent="0.15">
      <c r="A1134" s="107">
        <v>1704</v>
      </c>
      <c r="B1134" s="107" t="s">
        <v>253</v>
      </c>
      <c r="C1134" s="107" t="s">
        <v>271</v>
      </c>
      <c r="D1134" s="107">
        <v>2</v>
      </c>
      <c r="E1134" s="107" t="s">
        <v>280</v>
      </c>
      <c r="F1134" s="107" t="s">
        <v>536</v>
      </c>
      <c r="G1134" s="107">
        <v>150</v>
      </c>
      <c r="H1134" s="107">
        <v>0</v>
      </c>
      <c r="I1134" s="107">
        <v>0</v>
      </c>
      <c r="J1134" s="107">
        <f t="shared" si="17"/>
        <v>75</v>
      </c>
      <c r="K1134" s="107">
        <v>4050</v>
      </c>
      <c r="L1134" s="107">
        <v>1858</v>
      </c>
      <c r="M1134" s="107">
        <v>502</v>
      </c>
    </row>
    <row r="1135" spans="1:13" x14ac:dyDescent="0.15">
      <c r="A1135" s="107">
        <v>1705</v>
      </c>
      <c r="B1135" s="107" t="s">
        <v>260</v>
      </c>
      <c r="C1135" s="107" t="s">
        <v>271</v>
      </c>
      <c r="D1135" s="107">
        <v>2</v>
      </c>
      <c r="E1135" s="107" t="s">
        <v>280</v>
      </c>
      <c r="F1135" s="107" t="s">
        <v>536</v>
      </c>
      <c r="G1135" s="107">
        <v>204</v>
      </c>
      <c r="H1135" s="107">
        <v>0</v>
      </c>
      <c r="I1135" s="107">
        <v>0</v>
      </c>
      <c r="J1135" s="107">
        <f t="shared" si="17"/>
        <v>102</v>
      </c>
      <c r="K1135" s="107">
        <v>4051</v>
      </c>
      <c r="L1135" s="107">
        <v>1860</v>
      </c>
      <c r="M1135" s="107">
        <v>673</v>
      </c>
    </row>
    <row r="1136" spans="1:13" x14ac:dyDescent="0.15">
      <c r="A1136" s="107">
        <v>1670</v>
      </c>
      <c r="B1136" s="107" t="s">
        <v>197</v>
      </c>
      <c r="C1136" s="107" t="s">
        <v>274</v>
      </c>
      <c r="D1136" s="107">
        <v>20</v>
      </c>
      <c r="E1136" s="107" t="s">
        <v>193</v>
      </c>
      <c r="F1136" s="107" t="s">
        <v>537</v>
      </c>
      <c r="G1136" s="107">
        <v>20</v>
      </c>
      <c r="H1136" s="107">
        <v>0</v>
      </c>
      <c r="I1136" s="107">
        <v>0</v>
      </c>
      <c r="J1136" s="107">
        <f t="shared" ref="J1136:J1199" si="18">(G1136+H1136/20+I1136/320)/D1136</f>
        <v>1</v>
      </c>
      <c r="K1136" s="107">
        <v>4006</v>
      </c>
      <c r="L1136" s="107">
        <v>1808</v>
      </c>
      <c r="M1136" s="107">
        <v>635</v>
      </c>
    </row>
    <row r="1137" spans="1:13" x14ac:dyDescent="0.15">
      <c r="A1137" s="107">
        <v>1677</v>
      </c>
      <c r="B1137" s="107" t="s">
        <v>197</v>
      </c>
      <c r="C1137" s="107" t="s">
        <v>274</v>
      </c>
      <c r="D1137" s="107">
        <v>24</v>
      </c>
      <c r="E1137" s="107" t="s">
        <v>193</v>
      </c>
      <c r="F1137" s="107" t="s">
        <v>537</v>
      </c>
      <c r="G1137" s="107">
        <v>25</v>
      </c>
      <c r="H1137" s="107">
        <v>4</v>
      </c>
      <c r="I1137" s="107">
        <v>0</v>
      </c>
      <c r="J1137" s="107">
        <f t="shared" si="18"/>
        <v>1.05</v>
      </c>
      <c r="K1137" s="107">
        <v>4013</v>
      </c>
      <c r="L1137" s="107">
        <v>1816</v>
      </c>
      <c r="M1137" s="107">
        <v>742</v>
      </c>
    </row>
    <row r="1138" spans="1:13" x14ac:dyDescent="0.15">
      <c r="A1138" s="107">
        <v>1716</v>
      </c>
      <c r="B1138" s="107" t="s">
        <v>197</v>
      </c>
      <c r="C1138" s="107" t="s">
        <v>268</v>
      </c>
      <c r="D1138" s="25">
        <v>35</v>
      </c>
      <c r="E1138" s="107" t="s">
        <v>193</v>
      </c>
      <c r="F1138" s="107" t="s">
        <v>538</v>
      </c>
      <c r="G1138" s="107">
        <v>28</v>
      </c>
      <c r="H1138" s="107">
        <v>4</v>
      </c>
      <c r="I1138" s="107">
        <v>8</v>
      </c>
      <c r="J1138" s="107">
        <f t="shared" si="18"/>
        <v>0.80642857142857138</v>
      </c>
      <c r="K1138" s="107">
        <v>5670</v>
      </c>
      <c r="L1138" s="107"/>
      <c r="M1138" s="107"/>
    </row>
    <row r="1139" spans="1:13" x14ac:dyDescent="0.15">
      <c r="A1139" s="107">
        <v>1717</v>
      </c>
      <c r="B1139" s="107" t="s">
        <v>192</v>
      </c>
      <c r="C1139" s="107" t="s">
        <v>268</v>
      </c>
      <c r="D1139" s="25">
        <v>40</v>
      </c>
      <c r="E1139" s="107" t="s">
        <v>193</v>
      </c>
      <c r="F1139" s="107" t="s">
        <v>538</v>
      </c>
      <c r="G1139" s="107">
        <v>29</v>
      </c>
      <c r="H1139" s="107">
        <v>5</v>
      </c>
      <c r="I1139" s="107">
        <v>0</v>
      </c>
      <c r="J1139" s="107">
        <f t="shared" si="18"/>
        <v>0.73124999999999996</v>
      </c>
      <c r="K1139" s="107">
        <v>5683</v>
      </c>
      <c r="L1139" s="107"/>
      <c r="M1139" s="107"/>
    </row>
    <row r="1140" spans="1:13" x14ac:dyDescent="0.15">
      <c r="A1140" s="107">
        <v>1656</v>
      </c>
      <c r="B1140" s="107" t="s">
        <v>261</v>
      </c>
      <c r="C1140" s="107" t="s">
        <v>274</v>
      </c>
      <c r="D1140" s="107">
        <v>20</v>
      </c>
      <c r="E1140" s="107" t="s">
        <v>193</v>
      </c>
      <c r="F1140" s="107" t="s">
        <v>539</v>
      </c>
      <c r="G1140" s="107">
        <v>6</v>
      </c>
      <c r="H1140" s="107">
        <v>0</v>
      </c>
      <c r="I1140" s="107">
        <v>0</v>
      </c>
      <c r="J1140" s="107">
        <f t="shared" si="18"/>
        <v>0.3</v>
      </c>
      <c r="K1140" s="107">
        <v>3991</v>
      </c>
      <c r="L1140" s="107">
        <v>1788</v>
      </c>
      <c r="M1140" s="107">
        <v>157</v>
      </c>
    </row>
    <row r="1141" spans="1:13" x14ac:dyDescent="0.15">
      <c r="A1141" s="107">
        <v>1676</v>
      </c>
      <c r="B1141" s="107" t="s">
        <v>197</v>
      </c>
      <c r="C1141" s="107" t="s">
        <v>274</v>
      </c>
      <c r="D1141" s="107">
        <v>0.75</v>
      </c>
      <c r="E1141" s="107" t="s">
        <v>193</v>
      </c>
      <c r="F1141" s="107" t="s">
        <v>539</v>
      </c>
      <c r="G1141" s="107">
        <v>0</v>
      </c>
      <c r="H1141" s="107">
        <v>1</v>
      </c>
      <c r="I1141" s="107">
        <v>8</v>
      </c>
      <c r="J1141" s="107">
        <f t="shared" si="18"/>
        <v>0.10000000000000002</v>
      </c>
      <c r="K1141" s="107">
        <v>4012</v>
      </c>
      <c r="L1141" s="107">
        <v>1814</v>
      </c>
      <c r="M1141" s="107">
        <v>428</v>
      </c>
    </row>
    <row r="1142" spans="1:13" x14ac:dyDescent="0.15">
      <c r="A1142" s="107">
        <v>1678</v>
      </c>
      <c r="B1142" s="107" t="s">
        <v>197</v>
      </c>
      <c r="C1142" s="107" t="s">
        <v>295</v>
      </c>
      <c r="D1142" s="107">
        <v>4</v>
      </c>
      <c r="E1142" s="107" t="s">
        <v>193</v>
      </c>
      <c r="F1142" s="107" t="s">
        <v>539</v>
      </c>
      <c r="G1142" s="107">
        <v>1</v>
      </c>
      <c r="H1142" s="107">
        <v>4</v>
      </c>
      <c r="I1142" s="107">
        <v>0</v>
      </c>
      <c r="J1142" s="107">
        <f t="shared" si="18"/>
        <v>0.3</v>
      </c>
      <c r="K1142" s="107">
        <v>4014</v>
      </c>
      <c r="L1142" s="107">
        <v>4903</v>
      </c>
      <c r="M1142" s="107">
        <v>667</v>
      </c>
    </row>
    <row r="1143" spans="1:13" x14ac:dyDescent="0.15">
      <c r="A1143" s="107">
        <v>1681</v>
      </c>
      <c r="B1143" s="107" t="s">
        <v>197</v>
      </c>
      <c r="C1143" s="107" t="s">
        <v>271</v>
      </c>
      <c r="D1143" s="107">
        <v>0.25</v>
      </c>
      <c r="E1143" s="107" t="s">
        <v>193</v>
      </c>
      <c r="F1143" s="107" t="s">
        <v>539</v>
      </c>
      <c r="G1143" s="107">
        <v>0</v>
      </c>
      <c r="H1143" s="107">
        <v>1</v>
      </c>
      <c r="I1143" s="107">
        <v>9</v>
      </c>
      <c r="J1143" s="107">
        <f t="shared" si="18"/>
        <v>0.3125</v>
      </c>
      <c r="K1143" s="107">
        <v>4017</v>
      </c>
      <c r="L1143" s="107">
        <v>1819</v>
      </c>
      <c r="M1143" s="107">
        <v>427</v>
      </c>
    </row>
    <row r="1144" spans="1:13" x14ac:dyDescent="0.15">
      <c r="A1144" s="107">
        <v>1684</v>
      </c>
      <c r="B1144" s="107" t="s">
        <v>197</v>
      </c>
      <c r="C1144" s="107" t="s">
        <v>271</v>
      </c>
      <c r="D1144" s="107">
        <v>1</v>
      </c>
      <c r="E1144" s="107" t="s">
        <v>193</v>
      </c>
      <c r="F1144" s="107" t="s">
        <v>539</v>
      </c>
      <c r="G1144" s="107">
        <v>0</v>
      </c>
      <c r="H1144" s="107">
        <v>6</v>
      </c>
      <c r="I1144" s="107">
        <v>4</v>
      </c>
      <c r="J1144" s="107">
        <f t="shared" si="18"/>
        <v>0.3125</v>
      </c>
      <c r="K1144" s="107">
        <v>4021</v>
      </c>
      <c r="L1144" s="107">
        <v>1825</v>
      </c>
      <c r="M1144" s="107">
        <v>669</v>
      </c>
    </row>
    <row r="1145" spans="1:13" x14ac:dyDescent="0.15">
      <c r="A1145" s="107">
        <v>1690</v>
      </c>
      <c r="B1145" s="107" t="s">
        <v>200</v>
      </c>
      <c r="C1145" s="107" t="s">
        <v>271</v>
      </c>
      <c r="D1145" s="107">
        <v>4</v>
      </c>
      <c r="E1145" s="107" t="s">
        <v>193</v>
      </c>
      <c r="F1145" s="107" t="s">
        <v>540</v>
      </c>
      <c r="G1145" s="107">
        <v>1</v>
      </c>
      <c r="H1145" s="107">
        <v>16</v>
      </c>
      <c r="I1145" s="107">
        <v>0</v>
      </c>
      <c r="J1145" s="107">
        <f t="shared" si="18"/>
        <v>0.45</v>
      </c>
      <c r="K1145" s="107">
        <v>4028</v>
      </c>
      <c r="L1145" s="107">
        <v>1834</v>
      </c>
      <c r="M1145" s="107">
        <v>400</v>
      </c>
    </row>
    <row r="1146" spans="1:13" x14ac:dyDescent="0.15">
      <c r="A1146" s="107">
        <v>1693</v>
      </c>
      <c r="B1146" s="107" t="s">
        <v>253</v>
      </c>
      <c r="C1146" s="107" t="s">
        <v>271</v>
      </c>
      <c r="D1146" s="107">
        <v>10</v>
      </c>
      <c r="E1146" s="107" t="s">
        <v>193</v>
      </c>
      <c r="F1146" s="107" t="s">
        <v>540</v>
      </c>
      <c r="G1146" s="107">
        <v>4</v>
      </c>
      <c r="H1146" s="107">
        <v>10</v>
      </c>
      <c r="I1146" s="107">
        <v>0</v>
      </c>
      <c r="J1146" s="107">
        <f t="shared" si="18"/>
        <v>0.45</v>
      </c>
      <c r="K1146" s="107">
        <v>4030</v>
      </c>
      <c r="L1146" s="107">
        <v>1836</v>
      </c>
      <c r="M1146" s="107">
        <v>236</v>
      </c>
    </row>
    <row r="1147" spans="1:13" x14ac:dyDescent="0.15">
      <c r="A1147" s="107">
        <v>1695</v>
      </c>
      <c r="B1147" s="107" t="s">
        <v>261</v>
      </c>
      <c r="C1147" s="107" t="s">
        <v>271</v>
      </c>
      <c r="D1147" s="107">
        <v>2</v>
      </c>
      <c r="E1147" s="107" t="s">
        <v>193</v>
      </c>
      <c r="F1147" s="107" t="s">
        <v>540</v>
      </c>
      <c r="G1147" s="107">
        <v>0</v>
      </c>
      <c r="H1147" s="107">
        <v>18</v>
      </c>
      <c r="I1147" s="107">
        <v>0</v>
      </c>
      <c r="J1147" s="107">
        <f t="shared" si="18"/>
        <v>0.45</v>
      </c>
      <c r="K1147" s="107">
        <v>4034</v>
      </c>
      <c r="L1147" s="107">
        <v>1841</v>
      </c>
      <c r="M1147" s="107">
        <v>491</v>
      </c>
    </row>
    <row r="1148" spans="1:13" x14ac:dyDescent="0.15">
      <c r="A1148" s="107">
        <v>1709</v>
      </c>
      <c r="B1148" s="107" t="s">
        <v>192</v>
      </c>
      <c r="C1148" s="107" t="s">
        <v>268</v>
      </c>
      <c r="D1148" s="25">
        <v>2</v>
      </c>
      <c r="E1148" s="107" t="s">
        <v>193</v>
      </c>
      <c r="F1148" s="107" t="s">
        <v>540</v>
      </c>
      <c r="G1148" s="107">
        <v>0</v>
      </c>
      <c r="H1148" s="107">
        <v>9</v>
      </c>
      <c r="I1148" s="107">
        <v>0</v>
      </c>
      <c r="J1148" s="107">
        <f t="shared" si="18"/>
        <v>0.22500000000000001</v>
      </c>
      <c r="K1148" s="107">
        <v>5600</v>
      </c>
      <c r="L1148" s="107"/>
      <c r="M1148" s="107"/>
    </row>
    <row r="1149" spans="1:13" x14ac:dyDescent="0.15">
      <c r="A1149" s="107">
        <v>1712</v>
      </c>
      <c r="B1149" s="107" t="s">
        <v>261</v>
      </c>
      <c r="C1149" s="107" t="s">
        <v>268</v>
      </c>
      <c r="D1149" s="25">
        <v>2</v>
      </c>
      <c r="E1149" s="107" t="s">
        <v>193</v>
      </c>
      <c r="F1149" s="107" t="s">
        <v>540</v>
      </c>
      <c r="G1149" s="107">
        <v>9</v>
      </c>
      <c r="H1149" s="107">
        <v>0</v>
      </c>
      <c r="I1149" s="107">
        <v>0</v>
      </c>
      <c r="J1149" s="107">
        <f t="shared" si="18"/>
        <v>4.5</v>
      </c>
      <c r="K1149" s="107">
        <v>5628</v>
      </c>
      <c r="L1149" s="107"/>
      <c r="M1149" s="107"/>
    </row>
    <row r="1150" spans="1:13" x14ac:dyDescent="0.15">
      <c r="A1150" s="107">
        <v>1713</v>
      </c>
      <c r="B1150" s="107" t="s">
        <v>236</v>
      </c>
      <c r="C1150" s="107" t="s">
        <v>268</v>
      </c>
      <c r="D1150" s="25">
        <v>2</v>
      </c>
      <c r="E1150" s="107" t="s">
        <v>193</v>
      </c>
      <c r="F1150" s="107" t="s">
        <v>540</v>
      </c>
      <c r="G1150" s="107">
        <v>0</v>
      </c>
      <c r="H1150" s="107">
        <v>9</v>
      </c>
      <c r="I1150" s="107">
        <v>0</v>
      </c>
      <c r="J1150" s="107">
        <f t="shared" si="18"/>
        <v>0.22500000000000001</v>
      </c>
      <c r="K1150" s="107">
        <v>5646</v>
      </c>
      <c r="L1150" s="107"/>
      <c r="M1150" s="107"/>
    </row>
    <row r="1151" spans="1:13" x14ac:dyDescent="0.15">
      <c r="A1151" s="107">
        <v>1717</v>
      </c>
      <c r="B1151" s="107" t="s">
        <v>192</v>
      </c>
      <c r="C1151" s="107" t="s">
        <v>268</v>
      </c>
      <c r="D1151" s="25">
        <v>1</v>
      </c>
      <c r="E1151" s="107" t="s">
        <v>193</v>
      </c>
      <c r="F1151" s="107" t="s">
        <v>540</v>
      </c>
      <c r="G1151" s="107">
        <v>0</v>
      </c>
      <c r="H1151" s="107">
        <v>3</v>
      </c>
      <c r="I1151" s="107">
        <v>0</v>
      </c>
      <c r="J1151" s="107">
        <f t="shared" si="18"/>
        <v>0.15</v>
      </c>
      <c r="K1151" s="107">
        <v>5683</v>
      </c>
      <c r="L1151" s="107"/>
      <c r="M1151" s="107"/>
    </row>
    <row r="1152" spans="1:13" x14ac:dyDescent="0.15">
      <c r="A1152" s="107">
        <v>1719</v>
      </c>
      <c r="B1152" s="107" t="s">
        <v>186</v>
      </c>
      <c r="C1152" s="107" t="s">
        <v>268</v>
      </c>
      <c r="D1152" s="25">
        <v>1</v>
      </c>
      <c r="E1152" s="107" t="s">
        <v>193</v>
      </c>
      <c r="F1152" s="107" t="s">
        <v>540</v>
      </c>
      <c r="G1152" s="107">
        <v>0</v>
      </c>
      <c r="H1152" s="107">
        <v>4</v>
      </c>
      <c r="I1152" s="107">
        <v>8</v>
      </c>
      <c r="J1152" s="107">
        <f t="shared" si="18"/>
        <v>0.22500000000000001</v>
      </c>
      <c r="K1152" s="107">
        <v>5732</v>
      </c>
      <c r="L1152" s="107"/>
      <c r="M1152" s="107"/>
    </row>
    <row r="1153" spans="1:13" x14ac:dyDescent="0.15">
      <c r="A1153" s="107">
        <v>1721</v>
      </c>
      <c r="B1153" s="107" t="s">
        <v>192</v>
      </c>
      <c r="C1153" s="107" t="s">
        <v>268</v>
      </c>
      <c r="D1153" s="25">
        <v>6</v>
      </c>
      <c r="E1153" s="107" t="s">
        <v>193</v>
      </c>
      <c r="F1153" s="107" t="s">
        <v>540</v>
      </c>
      <c r="G1153" s="107">
        <v>0</v>
      </c>
      <c r="H1153" s="107">
        <v>15</v>
      </c>
      <c r="I1153" s="107">
        <v>8</v>
      </c>
      <c r="J1153" s="107">
        <f t="shared" si="18"/>
        <v>0.12916666666666668</v>
      </c>
      <c r="K1153" s="107">
        <v>5753</v>
      </c>
      <c r="L1153" s="107"/>
      <c r="M1153" s="107"/>
    </row>
    <row r="1154" spans="1:13" x14ac:dyDescent="0.15">
      <c r="A1154" s="107">
        <v>1722</v>
      </c>
      <c r="B1154" s="107" t="s">
        <v>260</v>
      </c>
      <c r="C1154" s="107" t="s">
        <v>268</v>
      </c>
      <c r="D1154" s="25">
        <v>3</v>
      </c>
      <c r="E1154" s="107" t="s">
        <v>193</v>
      </c>
      <c r="F1154" s="107" t="s">
        <v>540</v>
      </c>
      <c r="G1154" s="107">
        <v>1</v>
      </c>
      <c r="H1154" s="107">
        <v>3</v>
      </c>
      <c r="I1154" s="107">
        <v>0</v>
      </c>
      <c r="J1154" s="107">
        <f t="shared" si="18"/>
        <v>0.3833333333333333</v>
      </c>
      <c r="K1154" s="107">
        <v>5772</v>
      </c>
      <c r="L1154" s="107"/>
      <c r="M1154" s="107"/>
    </row>
    <row r="1155" spans="1:13" x14ac:dyDescent="0.15">
      <c r="A1155" s="107">
        <v>1725</v>
      </c>
      <c r="B1155" s="107" t="s">
        <v>200</v>
      </c>
      <c r="C1155" s="107" t="s">
        <v>268</v>
      </c>
      <c r="D1155" s="25">
        <v>2</v>
      </c>
      <c r="E1155" s="107" t="s">
        <v>193</v>
      </c>
      <c r="F1155" s="107" t="s">
        <v>540</v>
      </c>
      <c r="G1155" s="107">
        <v>0</v>
      </c>
      <c r="H1155" s="107">
        <v>9</v>
      </c>
      <c r="I1155" s="107">
        <v>0</v>
      </c>
      <c r="J1155" s="107">
        <f t="shared" si="18"/>
        <v>0.22500000000000001</v>
      </c>
      <c r="K1155" s="107">
        <v>5838</v>
      </c>
      <c r="L1155" s="107"/>
      <c r="M1155" s="107"/>
    </row>
    <row r="1156" spans="1:13" x14ac:dyDescent="0.15">
      <c r="A1156" s="107">
        <v>1728</v>
      </c>
      <c r="B1156" s="107" t="s">
        <v>186</v>
      </c>
      <c r="C1156" s="107" t="s">
        <v>268</v>
      </c>
      <c r="D1156" s="25">
        <v>2</v>
      </c>
      <c r="E1156" s="107" t="s">
        <v>193</v>
      </c>
      <c r="F1156" s="107" t="s">
        <v>540</v>
      </c>
      <c r="G1156" s="107">
        <v>0</v>
      </c>
      <c r="H1156" s="107">
        <v>8</v>
      </c>
      <c r="I1156" s="107">
        <v>0</v>
      </c>
      <c r="J1156" s="107">
        <f t="shared" si="18"/>
        <v>0.2</v>
      </c>
      <c r="K1156" s="107">
        <v>5900</v>
      </c>
      <c r="L1156" s="107"/>
      <c r="M1156" s="107"/>
    </row>
    <row r="1157" spans="1:13" x14ac:dyDescent="0.15">
      <c r="A1157" s="107">
        <v>1734</v>
      </c>
      <c r="B1157" s="107" t="s">
        <v>196</v>
      </c>
      <c r="C1157" s="107" t="s">
        <v>268</v>
      </c>
      <c r="D1157" s="25">
        <v>3</v>
      </c>
      <c r="E1157" s="107" t="s">
        <v>193</v>
      </c>
      <c r="F1157" s="107" t="s">
        <v>540</v>
      </c>
      <c r="G1157" s="107">
        <v>0</v>
      </c>
      <c r="H1157" s="107">
        <v>13</v>
      </c>
      <c r="I1157" s="107">
        <v>8</v>
      </c>
      <c r="J1157" s="107">
        <f t="shared" si="18"/>
        <v>0.22500000000000001</v>
      </c>
      <c r="K1157" s="107">
        <v>5981</v>
      </c>
      <c r="L1157" s="107"/>
      <c r="M1157" s="107"/>
    </row>
    <row r="1158" spans="1:13" x14ac:dyDescent="0.15">
      <c r="A1158" s="107">
        <v>1739</v>
      </c>
      <c r="B1158" s="107" t="s">
        <v>226</v>
      </c>
      <c r="C1158" s="107" t="s">
        <v>268</v>
      </c>
      <c r="D1158" s="25">
        <v>3</v>
      </c>
      <c r="E1158" s="107" t="s">
        <v>193</v>
      </c>
      <c r="F1158" s="107" t="s">
        <v>540</v>
      </c>
      <c r="G1158" s="107">
        <v>0</v>
      </c>
      <c r="H1158" s="107">
        <v>11</v>
      </c>
      <c r="I1158" s="107">
        <v>0</v>
      </c>
      <c r="J1158" s="107">
        <f t="shared" si="18"/>
        <v>0.18333333333333335</v>
      </c>
      <c r="K1158" s="107">
        <v>6089</v>
      </c>
      <c r="L1158" s="107"/>
      <c r="M1158" s="107"/>
    </row>
    <row r="1159" spans="1:13" x14ac:dyDescent="0.15">
      <c r="A1159" s="107">
        <v>1741</v>
      </c>
      <c r="B1159" s="107" t="s">
        <v>196</v>
      </c>
      <c r="C1159" s="107" t="s">
        <v>268</v>
      </c>
      <c r="D1159" s="25">
        <v>2</v>
      </c>
      <c r="E1159" s="107" t="s">
        <v>193</v>
      </c>
      <c r="F1159" s="107" t="s">
        <v>540</v>
      </c>
      <c r="G1159" s="107">
        <v>0</v>
      </c>
      <c r="H1159" s="107">
        <v>9</v>
      </c>
      <c r="I1159" s="107">
        <v>8</v>
      </c>
      <c r="J1159" s="107">
        <f t="shared" si="18"/>
        <v>0.23750000000000002</v>
      </c>
      <c r="K1159" s="107">
        <v>6115</v>
      </c>
      <c r="L1159" s="107"/>
      <c r="M1159" s="107"/>
    </row>
    <row r="1160" spans="1:13" x14ac:dyDescent="0.15">
      <c r="A1160" s="107">
        <v>1759</v>
      </c>
      <c r="B1160" s="107" t="s">
        <v>261</v>
      </c>
      <c r="C1160" s="107" t="s">
        <v>268</v>
      </c>
      <c r="D1160" s="25">
        <v>3</v>
      </c>
      <c r="E1160" s="107" t="s">
        <v>193</v>
      </c>
      <c r="F1160" s="107" t="s">
        <v>540</v>
      </c>
      <c r="G1160" s="107">
        <v>0</v>
      </c>
      <c r="H1160" s="107">
        <v>14</v>
      </c>
      <c r="I1160" s="107">
        <v>0</v>
      </c>
      <c r="J1160" s="107">
        <f t="shared" si="18"/>
        <v>0.23333333333333331</v>
      </c>
      <c r="K1160" s="107">
        <v>6370</v>
      </c>
      <c r="L1160" s="107"/>
      <c r="M1160" s="107"/>
    </row>
    <row r="1161" spans="1:13" x14ac:dyDescent="0.15">
      <c r="A1161" s="107">
        <v>1786</v>
      </c>
      <c r="B1161" s="107" t="s">
        <v>261</v>
      </c>
      <c r="C1161" s="107" t="s">
        <v>268</v>
      </c>
      <c r="D1161" s="25">
        <v>2</v>
      </c>
      <c r="E1161" s="107" t="s">
        <v>193</v>
      </c>
      <c r="F1161" s="107" t="s">
        <v>540</v>
      </c>
      <c r="G1161" s="107">
        <v>0</v>
      </c>
      <c r="H1161" s="107">
        <v>10</v>
      </c>
      <c r="I1161" s="107">
        <v>8</v>
      </c>
      <c r="J1161" s="107">
        <f t="shared" si="18"/>
        <v>0.26250000000000001</v>
      </c>
      <c r="K1161" s="107">
        <v>6746</v>
      </c>
      <c r="L1161" s="107"/>
      <c r="M1161" s="107"/>
    </row>
    <row r="1162" spans="1:13" x14ac:dyDescent="0.15">
      <c r="A1162" s="107">
        <v>1793</v>
      </c>
      <c r="B1162" s="107" t="s">
        <v>247</v>
      </c>
      <c r="C1162" s="107" t="s">
        <v>270</v>
      </c>
      <c r="D1162" s="25">
        <v>2</v>
      </c>
      <c r="E1162" s="107" t="s">
        <v>193</v>
      </c>
      <c r="F1162" s="107" t="s">
        <v>540</v>
      </c>
      <c r="G1162" s="107">
        <v>0</v>
      </c>
      <c r="H1162" s="107">
        <v>8</v>
      </c>
      <c r="I1162" s="107">
        <v>0</v>
      </c>
      <c r="J1162" s="107">
        <f t="shared" si="18"/>
        <v>0.2</v>
      </c>
      <c r="K1162" s="107">
        <v>6826</v>
      </c>
      <c r="L1162" s="107"/>
      <c r="M1162" s="107"/>
    </row>
    <row r="1163" spans="1:13" x14ac:dyDescent="0.15">
      <c r="A1163" s="107">
        <v>1672</v>
      </c>
      <c r="B1163" s="107" t="s">
        <v>196</v>
      </c>
      <c r="C1163" s="107" t="s">
        <v>274</v>
      </c>
      <c r="D1163" s="107">
        <v>8</v>
      </c>
      <c r="E1163" s="107" t="s">
        <v>193</v>
      </c>
      <c r="F1163" s="107" t="s">
        <v>541</v>
      </c>
      <c r="G1163" s="107">
        <v>2</v>
      </c>
      <c r="H1163" s="107">
        <v>16</v>
      </c>
      <c r="I1163" s="107">
        <v>0</v>
      </c>
      <c r="J1163" s="107">
        <f t="shared" si="18"/>
        <v>0.35</v>
      </c>
      <c r="K1163" s="107">
        <v>4008</v>
      </c>
      <c r="L1163" s="107">
        <v>1810</v>
      </c>
      <c r="M1163" s="107">
        <v>511</v>
      </c>
    </row>
    <row r="1164" spans="1:13" x14ac:dyDescent="0.15">
      <c r="A1164" s="107">
        <v>1673</v>
      </c>
      <c r="B1164" s="107" t="s">
        <v>197</v>
      </c>
      <c r="C1164" s="107" t="s">
        <v>274</v>
      </c>
      <c r="D1164" s="107">
        <v>5</v>
      </c>
      <c r="E1164" s="107" t="s">
        <v>193</v>
      </c>
      <c r="F1164" s="107" t="s">
        <v>541</v>
      </c>
      <c r="G1164" s="107">
        <v>1</v>
      </c>
      <c r="H1164" s="107">
        <v>15</v>
      </c>
      <c r="I1164" s="107">
        <v>0</v>
      </c>
      <c r="J1164" s="107">
        <f t="shared" si="18"/>
        <v>0.35</v>
      </c>
      <c r="K1164" s="107">
        <v>4010</v>
      </c>
      <c r="L1164" s="107">
        <v>1812</v>
      </c>
      <c r="M1164" s="107">
        <v>548</v>
      </c>
    </row>
    <row r="1165" spans="1:13" x14ac:dyDescent="0.15">
      <c r="A1165" s="107">
        <v>1677</v>
      </c>
      <c r="B1165" s="107" t="s">
        <v>197</v>
      </c>
      <c r="C1165" s="107" t="s">
        <v>274</v>
      </c>
      <c r="D1165" s="107">
        <v>4</v>
      </c>
      <c r="E1165" s="107" t="s">
        <v>193</v>
      </c>
      <c r="F1165" s="107" t="s">
        <v>541</v>
      </c>
      <c r="G1165" s="107">
        <v>1</v>
      </c>
      <c r="H1165" s="107">
        <v>8</v>
      </c>
      <c r="I1165" s="107">
        <v>0</v>
      </c>
      <c r="J1165" s="107">
        <f t="shared" si="18"/>
        <v>0.35</v>
      </c>
      <c r="K1165" s="107">
        <v>4013</v>
      </c>
      <c r="L1165" s="107">
        <v>1816</v>
      </c>
      <c r="M1165" s="107">
        <v>742</v>
      </c>
    </row>
    <row r="1166" spans="1:13" x14ac:dyDescent="0.15">
      <c r="A1166" s="107">
        <v>1683</v>
      </c>
      <c r="B1166" s="107" t="s">
        <v>260</v>
      </c>
      <c r="C1166" s="107" t="s">
        <v>271</v>
      </c>
      <c r="D1166" s="107">
        <v>1.5</v>
      </c>
      <c r="E1166" s="107" t="s">
        <v>193</v>
      </c>
      <c r="F1166" s="107" t="s">
        <v>541</v>
      </c>
      <c r="G1166" s="107">
        <v>2</v>
      </c>
      <c r="H1166" s="107">
        <v>8</v>
      </c>
      <c r="I1166" s="107">
        <v>10</v>
      </c>
      <c r="J1166" s="107">
        <f t="shared" si="18"/>
        <v>1.6208333333333333</v>
      </c>
      <c r="K1166" s="107">
        <v>4019</v>
      </c>
      <c r="L1166" s="107">
        <v>1822</v>
      </c>
      <c r="M1166" s="107">
        <v>630</v>
      </c>
    </row>
    <row r="1167" spans="1:13" x14ac:dyDescent="0.15">
      <c r="A1167" s="107">
        <v>1685</v>
      </c>
      <c r="B1167" s="107" t="s">
        <v>260</v>
      </c>
      <c r="C1167" s="107" t="s">
        <v>271</v>
      </c>
      <c r="D1167" s="107">
        <v>2</v>
      </c>
      <c r="E1167" s="107" t="s">
        <v>193</v>
      </c>
      <c r="F1167" s="107" t="s">
        <v>541</v>
      </c>
      <c r="G1167" s="107">
        <v>1</v>
      </c>
      <c r="H1167" s="107">
        <v>2</v>
      </c>
      <c r="I1167" s="107">
        <v>8</v>
      </c>
      <c r="J1167" s="107">
        <f t="shared" si="18"/>
        <v>0.5625</v>
      </c>
      <c r="K1167" s="107">
        <v>4022</v>
      </c>
      <c r="L1167" s="107">
        <v>1827</v>
      </c>
      <c r="M1167" s="107">
        <v>608</v>
      </c>
    </row>
    <row r="1168" spans="1:13" x14ac:dyDescent="0.15">
      <c r="A1168" s="107">
        <v>1686</v>
      </c>
      <c r="B1168" s="107" t="s">
        <v>197</v>
      </c>
      <c r="C1168" s="107" t="s">
        <v>271</v>
      </c>
      <c r="D1168" s="107">
        <v>2</v>
      </c>
      <c r="E1168" s="107" t="s">
        <v>193</v>
      </c>
      <c r="F1168" s="107" t="s">
        <v>541</v>
      </c>
      <c r="G1168" s="107">
        <v>1</v>
      </c>
      <c r="H1168" s="107">
        <v>2</v>
      </c>
      <c r="I1168" s="107">
        <v>8</v>
      </c>
      <c r="J1168" s="107">
        <f t="shared" si="18"/>
        <v>0.5625</v>
      </c>
      <c r="K1168" s="107">
        <v>4023</v>
      </c>
      <c r="L1168" s="107">
        <v>1829</v>
      </c>
      <c r="M1168" s="107">
        <v>706</v>
      </c>
    </row>
    <row r="1169" spans="1:15" x14ac:dyDescent="0.15">
      <c r="A1169" s="107">
        <v>1688</v>
      </c>
      <c r="B1169" s="107" t="s">
        <v>260</v>
      </c>
      <c r="C1169" s="107" t="s">
        <v>271</v>
      </c>
      <c r="D1169" s="107">
        <v>0.5</v>
      </c>
      <c r="E1169" s="107" t="s">
        <v>193</v>
      </c>
      <c r="F1169" s="107" t="s">
        <v>541</v>
      </c>
      <c r="G1169" s="107">
        <v>0</v>
      </c>
      <c r="H1169" s="107">
        <v>5</v>
      </c>
      <c r="I1169" s="107">
        <v>9</v>
      </c>
      <c r="J1169" s="107">
        <f t="shared" si="18"/>
        <v>0.55625000000000002</v>
      </c>
      <c r="K1169" s="107">
        <v>4025</v>
      </c>
      <c r="L1169" s="107">
        <v>1831</v>
      </c>
      <c r="M1169" s="107">
        <v>573</v>
      </c>
      <c r="N1169" s="107"/>
      <c r="O1169" s="107"/>
    </row>
    <row r="1170" spans="1:15" x14ac:dyDescent="0.15">
      <c r="A1170" s="107">
        <v>1692</v>
      </c>
      <c r="B1170" s="107" t="s">
        <v>247</v>
      </c>
      <c r="C1170" s="107" t="s">
        <v>271</v>
      </c>
      <c r="D1170" s="107">
        <v>2</v>
      </c>
      <c r="E1170" s="107" t="s">
        <v>193</v>
      </c>
      <c r="F1170" s="107" t="s">
        <v>541</v>
      </c>
      <c r="G1170" s="107">
        <v>0</v>
      </c>
      <c r="H1170" s="107">
        <v>18</v>
      </c>
      <c r="I1170" s="107">
        <v>0</v>
      </c>
      <c r="J1170" s="107">
        <f t="shared" si="18"/>
        <v>0.45</v>
      </c>
      <c r="K1170" s="107">
        <v>4030</v>
      </c>
      <c r="L1170" s="107">
        <v>1836</v>
      </c>
      <c r="M1170" s="107">
        <v>242</v>
      </c>
      <c r="N1170" s="107"/>
      <c r="O1170" s="107"/>
    </row>
    <row r="1171" spans="1:15" x14ac:dyDescent="0.15">
      <c r="A1171" s="107">
        <v>1694</v>
      </c>
      <c r="B1171" s="107" t="s">
        <v>261</v>
      </c>
      <c r="C1171" s="107" t="s">
        <v>271</v>
      </c>
      <c r="D1171" s="107">
        <v>4</v>
      </c>
      <c r="E1171" s="107" t="s">
        <v>193</v>
      </c>
      <c r="F1171" s="107" t="s">
        <v>541</v>
      </c>
      <c r="G1171" s="107">
        <v>1</v>
      </c>
      <c r="H1171" s="107">
        <v>16</v>
      </c>
      <c r="I1171" s="107">
        <v>0</v>
      </c>
      <c r="J1171" s="107">
        <f t="shared" si="18"/>
        <v>0.45</v>
      </c>
      <c r="K1171" s="107">
        <v>4032</v>
      </c>
      <c r="L1171" s="107">
        <v>1839</v>
      </c>
      <c r="M1171" s="107">
        <v>253</v>
      </c>
      <c r="N1171" s="107"/>
      <c r="O1171" s="107"/>
    </row>
    <row r="1172" spans="1:15" x14ac:dyDescent="0.15">
      <c r="A1172" s="107">
        <v>1698</v>
      </c>
      <c r="B1172" s="107" t="s">
        <v>200</v>
      </c>
      <c r="C1172" s="107" t="s">
        <v>271</v>
      </c>
      <c r="D1172" s="107">
        <v>3</v>
      </c>
      <c r="E1172" s="107" t="s">
        <v>193</v>
      </c>
      <c r="F1172" s="107" t="s">
        <v>541</v>
      </c>
      <c r="G1172" s="107">
        <v>1</v>
      </c>
      <c r="H1172" s="107">
        <v>16</v>
      </c>
      <c r="I1172" s="107">
        <v>0</v>
      </c>
      <c r="J1172" s="107">
        <f t="shared" si="18"/>
        <v>0.6</v>
      </c>
      <c r="K1172" s="107">
        <v>4043</v>
      </c>
      <c r="L1172" s="107">
        <v>1851</v>
      </c>
      <c r="M1172" s="107">
        <v>829</v>
      </c>
      <c r="N1172" s="107"/>
      <c r="O1172" s="107"/>
    </row>
    <row r="1173" spans="1:15" x14ac:dyDescent="0.15">
      <c r="A1173" s="107">
        <v>1699</v>
      </c>
      <c r="B1173" s="107" t="s">
        <v>197</v>
      </c>
      <c r="C1173" s="107" t="s">
        <v>271</v>
      </c>
      <c r="D1173" s="107">
        <v>3.5</v>
      </c>
      <c r="E1173" s="107" t="s">
        <v>193</v>
      </c>
      <c r="F1173" s="107" t="s">
        <v>541</v>
      </c>
      <c r="G1173" s="107">
        <v>2</v>
      </c>
      <c r="H1173" s="107">
        <v>2</v>
      </c>
      <c r="I1173" s="107">
        <v>0</v>
      </c>
      <c r="J1173" s="107">
        <f t="shared" si="18"/>
        <v>0.6</v>
      </c>
      <c r="K1173" s="107">
        <v>4043</v>
      </c>
      <c r="L1173" s="107">
        <v>1851</v>
      </c>
      <c r="M1173" s="107">
        <v>852</v>
      </c>
      <c r="N1173" s="107"/>
      <c r="O1173" s="107"/>
    </row>
    <row r="1174" spans="1:15" x14ac:dyDescent="0.15">
      <c r="A1174" s="107">
        <v>1703</v>
      </c>
      <c r="B1174" s="107" t="s">
        <v>186</v>
      </c>
      <c r="C1174" s="107" t="s">
        <v>271</v>
      </c>
      <c r="D1174" s="107">
        <v>6</v>
      </c>
      <c r="E1174" s="107" t="s">
        <v>193</v>
      </c>
      <c r="F1174" s="107" t="s">
        <v>541</v>
      </c>
      <c r="G1174" s="107">
        <v>0</v>
      </c>
      <c r="H1174" s="107">
        <v>15</v>
      </c>
      <c r="I1174" s="107">
        <v>12</v>
      </c>
      <c r="J1174" s="107">
        <f t="shared" si="18"/>
        <v>0.13125000000000001</v>
      </c>
      <c r="K1174" s="107">
        <v>4050</v>
      </c>
      <c r="L1174" s="107">
        <v>1858</v>
      </c>
      <c r="M1174" s="107">
        <v>521</v>
      </c>
      <c r="N1174" s="107"/>
      <c r="O1174" s="107"/>
    </row>
    <row r="1175" spans="1:15" x14ac:dyDescent="0.15">
      <c r="A1175" s="107">
        <v>1702</v>
      </c>
      <c r="B1175" s="107" t="s">
        <v>226</v>
      </c>
      <c r="C1175" s="107" t="s">
        <v>268</v>
      </c>
      <c r="D1175" s="25">
        <v>2</v>
      </c>
      <c r="E1175" s="107" t="s">
        <v>193</v>
      </c>
      <c r="F1175" s="107" t="s">
        <v>542</v>
      </c>
      <c r="G1175" s="107">
        <v>1</v>
      </c>
      <c r="H1175" s="107">
        <v>6</v>
      </c>
      <c r="I1175" s="107">
        <v>0</v>
      </c>
      <c r="J1175" s="107">
        <f t="shared" si="18"/>
        <v>0.65</v>
      </c>
      <c r="K1175" s="107">
        <v>5503</v>
      </c>
      <c r="L1175" s="107"/>
      <c r="M1175" s="107"/>
      <c r="N1175" s="107"/>
      <c r="O1175" s="107"/>
    </row>
    <row r="1176" spans="1:15" x14ac:dyDescent="0.15">
      <c r="A1176" s="107">
        <v>1654</v>
      </c>
      <c r="B1176" s="107" t="s">
        <v>543</v>
      </c>
      <c r="C1176" s="107" t="s">
        <v>274</v>
      </c>
      <c r="D1176" s="107">
        <v>6.5</v>
      </c>
      <c r="E1176" s="107"/>
      <c r="F1176" s="107" t="s">
        <v>544</v>
      </c>
      <c r="G1176" s="107">
        <v>12</v>
      </c>
      <c r="H1176" s="107">
        <v>0</v>
      </c>
      <c r="I1176" s="107">
        <v>0</v>
      </c>
      <c r="J1176" s="107">
        <f t="shared" si="18"/>
        <v>1.8461538461538463</v>
      </c>
      <c r="K1176" s="107">
        <v>3990</v>
      </c>
      <c r="L1176" s="107">
        <v>1788</v>
      </c>
      <c r="M1176" s="107">
        <v>202</v>
      </c>
      <c r="N1176" s="107" t="s">
        <v>391</v>
      </c>
      <c r="O1176" s="107" t="s">
        <v>545</v>
      </c>
    </row>
    <row r="1177" spans="1:15" x14ac:dyDescent="0.15">
      <c r="A1177" s="107">
        <v>1655</v>
      </c>
      <c r="B1177" s="107" t="s">
        <v>236</v>
      </c>
      <c r="C1177" s="107" t="s">
        <v>274</v>
      </c>
      <c r="D1177" s="107">
        <v>5</v>
      </c>
      <c r="E1177" s="107"/>
      <c r="F1177" s="107" t="s">
        <v>544</v>
      </c>
      <c r="G1177" s="107">
        <v>10</v>
      </c>
      <c r="H1177" s="107">
        <v>0</v>
      </c>
      <c r="I1177" s="107">
        <v>0</v>
      </c>
      <c r="J1177" s="107">
        <f t="shared" si="18"/>
        <v>2</v>
      </c>
      <c r="K1177" s="107">
        <v>3990</v>
      </c>
      <c r="L1177" s="107">
        <v>1788</v>
      </c>
      <c r="M1177" s="107">
        <v>203</v>
      </c>
      <c r="N1177" s="107"/>
      <c r="O1177" s="107"/>
    </row>
    <row r="1178" spans="1:15" x14ac:dyDescent="0.15">
      <c r="A1178" s="107">
        <v>1655</v>
      </c>
      <c r="B1178" s="107" t="s">
        <v>197</v>
      </c>
      <c r="C1178" s="107" t="s">
        <v>274</v>
      </c>
      <c r="D1178" s="107">
        <v>1</v>
      </c>
      <c r="E1178" s="107"/>
      <c r="F1178" s="107" t="s">
        <v>544</v>
      </c>
      <c r="G1178" s="107">
        <v>4</v>
      </c>
      <c r="H1178" s="107">
        <v>10</v>
      </c>
      <c r="I1178" s="107">
        <v>0</v>
      </c>
      <c r="J1178" s="107">
        <f t="shared" si="18"/>
        <v>4.5</v>
      </c>
      <c r="K1178" s="107">
        <v>3990</v>
      </c>
      <c r="L1178" s="107">
        <v>1788</v>
      </c>
      <c r="M1178" s="107">
        <v>212</v>
      </c>
      <c r="N1178" s="107" t="s">
        <v>497</v>
      </c>
      <c r="O1178" s="107" t="s">
        <v>498</v>
      </c>
    </row>
    <row r="1179" spans="1:15" x14ac:dyDescent="0.15">
      <c r="A1179" s="107">
        <v>1655</v>
      </c>
      <c r="B1179" s="107" t="s">
        <v>197</v>
      </c>
      <c r="C1179" s="107" t="s">
        <v>274</v>
      </c>
      <c r="D1179" s="107">
        <v>0.75</v>
      </c>
      <c r="E1179" s="107"/>
      <c r="F1179" s="107" t="s">
        <v>544</v>
      </c>
      <c r="G1179" s="107">
        <v>3</v>
      </c>
      <c r="H1179" s="107">
        <v>7</v>
      </c>
      <c r="I1179" s="107">
        <v>8</v>
      </c>
      <c r="J1179" s="107">
        <f t="shared" si="18"/>
        <v>4.5</v>
      </c>
      <c r="K1179" s="107">
        <v>3990</v>
      </c>
      <c r="L1179" s="107">
        <v>1788</v>
      </c>
      <c r="M1179" s="107">
        <v>218</v>
      </c>
      <c r="N1179" s="107" t="s">
        <v>546</v>
      </c>
      <c r="O1179" s="107" t="s">
        <v>547</v>
      </c>
    </row>
    <row r="1180" spans="1:15" x14ac:dyDescent="0.15">
      <c r="A1180" s="107">
        <v>1655</v>
      </c>
      <c r="B1180" s="107" t="s">
        <v>247</v>
      </c>
      <c r="C1180" s="107" t="s">
        <v>274</v>
      </c>
      <c r="D1180" s="107">
        <v>2</v>
      </c>
      <c r="E1180" s="107"/>
      <c r="F1180" s="107" t="s">
        <v>544</v>
      </c>
      <c r="G1180" s="107">
        <v>9</v>
      </c>
      <c r="H1180" s="107">
        <v>0</v>
      </c>
      <c r="I1180" s="107">
        <v>0</v>
      </c>
      <c r="J1180" s="107">
        <f t="shared" si="18"/>
        <v>4.5</v>
      </c>
      <c r="K1180" s="107">
        <v>3990</v>
      </c>
      <c r="L1180" s="107">
        <v>1788</v>
      </c>
      <c r="M1180" s="107">
        <v>225</v>
      </c>
      <c r="N1180" s="107" t="s">
        <v>287</v>
      </c>
      <c r="O1180" s="107" t="s">
        <v>319</v>
      </c>
    </row>
    <row r="1181" spans="1:15" x14ac:dyDescent="0.15">
      <c r="A1181" s="107">
        <v>1655</v>
      </c>
      <c r="B1181" s="107" t="s">
        <v>186</v>
      </c>
      <c r="C1181" s="107" t="s">
        <v>274</v>
      </c>
      <c r="D1181" s="107">
        <v>3</v>
      </c>
      <c r="E1181" s="107"/>
      <c r="F1181" s="107" t="s">
        <v>544</v>
      </c>
      <c r="G1181" s="107">
        <v>18</v>
      </c>
      <c r="H1181" s="107">
        <v>0</v>
      </c>
      <c r="I1181" s="107">
        <v>0</v>
      </c>
      <c r="J1181" s="107">
        <f t="shared" si="18"/>
        <v>6</v>
      </c>
      <c r="K1181" s="107">
        <v>3990</v>
      </c>
      <c r="L1181" s="107">
        <v>1788</v>
      </c>
      <c r="M1181" s="107">
        <v>230</v>
      </c>
      <c r="N1181" s="107" t="s">
        <v>287</v>
      </c>
      <c r="O1181" s="107" t="s">
        <v>548</v>
      </c>
    </row>
    <row r="1182" spans="1:15" x14ac:dyDescent="0.15">
      <c r="A1182" s="107">
        <v>1656</v>
      </c>
      <c r="B1182" s="107" t="s">
        <v>283</v>
      </c>
      <c r="C1182" s="107" t="s">
        <v>274</v>
      </c>
      <c r="D1182" s="107">
        <v>367</v>
      </c>
      <c r="E1182" s="107" t="s">
        <v>204</v>
      </c>
      <c r="F1182" s="107" t="s">
        <v>544</v>
      </c>
      <c r="G1182" s="107">
        <v>1511</v>
      </c>
      <c r="H1182" s="107">
        <v>12</v>
      </c>
      <c r="I1182" s="107">
        <v>8</v>
      </c>
      <c r="J1182" s="107">
        <f t="shared" si="18"/>
        <v>4.1188692098092643</v>
      </c>
      <c r="K1182" s="107">
        <v>3991</v>
      </c>
      <c r="L1182" s="107">
        <v>1788</v>
      </c>
      <c r="M1182" s="107">
        <v>149</v>
      </c>
      <c r="N1182" s="107" t="s">
        <v>284</v>
      </c>
      <c r="O1182" s="107"/>
    </row>
    <row r="1183" spans="1:15" x14ac:dyDescent="0.15">
      <c r="A1183" s="107">
        <v>1794</v>
      </c>
      <c r="B1183" s="107" t="s">
        <v>260</v>
      </c>
      <c r="C1183" s="107" t="s">
        <v>270</v>
      </c>
      <c r="D1183" s="25">
        <v>16</v>
      </c>
      <c r="E1183" s="107" t="s">
        <v>549</v>
      </c>
      <c r="F1183" s="107" t="s">
        <v>550</v>
      </c>
      <c r="G1183" s="107">
        <v>0</v>
      </c>
      <c r="H1183" s="107">
        <v>64</v>
      </c>
      <c r="I1183" s="107">
        <v>0</v>
      </c>
      <c r="J1183" s="107">
        <f t="shared" si="18"/>
        <v>0.2</v>
      </c>
      <c r="K1183" s="107">
        <v>6840</v>
      </c>
      <c r="L1183" s="107"/>
      <c r="M1183" s="107"/>
      <c r="N1183" s="107"/>
      <c r="O1183" s="107"/>
    </row>
    <row r="1184" spans="1:15" x14ac:dyDescent="0.15">
      <c r="A1184" s="107">
        <v>1653</v>
      </c>
      <c r="B1184" s="107" t="s">
        <v>197</v>
      </c>
      <c r="C1184" s="107" t="s">
        <v>274</v>
      </c>
      <c r="D1184" s="107">
        <v>1158</v>
      </c>
      <c r="E1184" s="107" t="s">
        <v>193</v>
      </c>
      <c r="F1184" s="107" t="s">
        <v>551</v>
      </c>
      <c r="G1184" s="107">
        <v>579</v>
      </c>
      <c r="H1184" s="107">
        <v>0</v>
      </c>
      <c r="I1184" s="107">
        <v>0</v>
      </c>
      <c r="J1184" s="107">
        <f t="shared" si="18"/>
        <v>0.5</v>
      </c>
      <c r="K1184" s="107">
        <v>3989</v>
      </c>
      <c r="L1184" s="107">
        <v>1784</v>
      </c>
      <c r="M1184" s="107">
        <v>147</v>
      </c>
      <c r="N1184" s="107"/>
      <c r="O1184" s="107"/>
    </row>
    <row r="1185" spans="1:13" x14ac:dyDescent="0.15">
      <c r="A1185" s="107">
        <v>1655</v>
      </c>
      <c r="B1185" s="107" t="s">
        <v>197</v>
      </c>
      <c r="C1185" s="107" t="s">
        <v>274</v>
      </c>
      <c r="D1185" s="107">
        <v>16434.666666666668</v>
      </c>
      <c r="E1185" s="107" t="s">
        <v>193</v>
      </c>
      <c r="F1185" s="107" t="s">
        <v>551</v>
      </c>
      <c r="G1185" s="107">
        <v>4508</v>
      </c>
      <c r="H1185" s="107">
        <v>9</v>
      </c>
      <c r="I1185" s="107">
        <v>9</v>
      </c>
      <c r="J1185" s="107">
        <f t="shared" si="18"/>
        <v>0.2743273238479636</v>
      </c>
      <c r="K1185" s="107">
        <v>3990</v>
      </c>
      <c r="L1185" s="107">
        <v>1788</v>
      </c>
      <c r="M1185" s="107">
        <v>146</v>
      </c>
    </row>
    <row r="1186" spans="1:13" x14ac:dyDescent="0.15">
      <c r="A1186" s="107">
        <v>1656</v>
      </c>
      <c r="B1186" s="107" t="s">
        <v>197</v>
      </c>
      <c r="C1186" s="107" t="s">
        <v>274</v>
      </c>
      <c r="D1186" s="107">
        <v>4038.6666666666665</v>
      </c>
      <c r="E1186" s="107" t="s">
        <v>193</v>
      </c>
      <c r="F1186" s="107" t="s">
        <v>551</v>
      </c>
      <c r="G1186" s="107">
        <v>2081</v>
      </c>
      <c r="H1186" s="107">
        <v>14</v>
      </c>
      <c r="I1186" s="107">
        <v>0</v>
      </c>
      <c r="J1186" s="107">
        <f t="shared" si="18"/>
        <v>0.51544239022779792</v>
      </c>
      <c r="K1186" s="107">
        <v>3991</v>
      </c>
      <c r="L1186" s="107">
        <v>1788</v>
      </c>
      <c r="M1186" s="107">
        <v>149</v>
      </c>
    </row>
    <row r="1187" spans="1:13" x14ac:dyDescent="0.15">
      <c r="A1187" s="107">
        <v>1657</v>
      </c>
      <c r="B1187" s="107" t="s">
        <v>197</v>
      </c>
      <c r="C1187" s="107" t="s">
        <v>274</v>
      </c>
      <c r="D1187" s="107">
        <v>9012.4166666666661</v>
      </c>
      <c r="E1187" s="107" t="s">
        <v>193</v>
      </c>
      <c r="F1187" s="107" t="s">
        <v>551</v>
      </c>
      <c r="G1187" s="107">
        <v>5463</v>
      </c>
      <c r="H1187" s="107">
        <v>10</v>
      </c>
      <c r="I1187" s="107">
        <v>0</v>
      </c>
      <c r="J1187" s="107">
        <f t="shared" si="18"/>
        <v>0.60621919758851217</v>
      </c>
      <c r="K1187" s="107">
        <v>3992</v>
      </c>
      <c r="L1187" s="107">
        <v>1789</v>
      </c>
      <c r="M1187" s="107">
        <v>228</v>
      </c>
    </row>
    <row r="1188" spans="1:13" x14ac:dyDescent="0.15">
      <c r="A1188" s="107">
        <v>1658</v>
      </c>
      <c r="B1188" s="107" t="s">
        <v>197</v>
      </c>
      <c r="C1188" s="107" t="s">
        <v>274</v>
      </c>
      <c r="D1188" s="107">
        <v>12827.416666666666</v>
      </c>
      <c r="E1188" s="107" t="s">
        <v>193</v>
      </c>
      <c r="F1188" s="107" t="s">
        <v>551</v>
      </c>
      <c r="G1188" s="107">
        <v>7952</v>
      </c>
      <c r="H1188" s="107">
        <v>13</v>
      </c>
      <c r="I1188" s="107">
        <v>0</v>
      </c>
      <c r="J1188" s="107">
        <f t="shared" si="18"/>
        <v>0.61997284462317037</v>
      </c>
      <c r="K1188" s="107">
        <v>3993</v>
      </c>
      <c r="L1188" s="107">
        <v>1791</v>
      </c>
      <c r="M1188" s="107">
        <v>269</v>
      </c>
    </row>
    <row r="1189" spans="1:13" x14ac:dyDescent="0.15">
      <c r="A1189" s="107">
        <v>1659</v>
      </c>
      <c r="B1189" s="107" t="s">
        <v>197</v>
      </c>
      <c r="C1189" s="107" t="s">
        <v>274</v>
      </c>
      <c r="D1189" s="107">
        <v>17934</v>
      </c>
      <c r="E1189" s="107" t="s">
        <v>193</v>
      </c>
      <c r="F1189" s="107" t="s">
        <v>551</v>
      </c>
      <c r="G1189" s="107">
        <v>11767</v>
      </c>
      <c r="H1189" s="107">
        <v>5</v>
      </c>
      <c r="I1189" s="107">
        <v>0</v>
      </c>
      <c r="J1189" s="107">
        <f t="shared" si="18"/>
        <v>0.65614196498271438</v>
      </c>
      <c r="K1189" s="107">
        <v>3994</v>
      </c>
      <c r="L1189" s="107">
        <v>1792</v>
      </c>
      <c r="M1189" s="107">
        <v>167</v>
      </c>
    </row>
    <row r="1190" spans="1:13" x14ac:dyDescent="0.15">
      <c r="A1190" s="107">
        <v>1660</v>
      </c>
      <c r="B1190" s="107" t="s">
        <v>197</v>
      </c>
      <c r="C1190" s="107" t="s">
        <v>274</v>
      </c>
      <c r="D1190" s="107">
        <v>31045.5</v>
      </c>
      <c r="E1190" s="107" t="s">
        <v>193</v>
      </c>
      <c r="F1190" s="107" t="s">
        <v>551</v>
      </c>
      <c r="G1190" s="107">
        <v>20567</v>
      </c>
      <c r="H1190" s="107">
        <v>17</v>
      </c>
      <c r="I1190" s="107">
        <v>8</v>
      </c>
      <c r="J1190" s="107">
        <f t="shared" si="18"/>
        <v>0.66250744874458456</v>
      </c>
      <c r="K1190" s="107">
        <v>3995</v>
      </c>
      <c r="L1190" s="107">
        <v>1793</v>
      </c>
      <c r="M1190" s="107">
        <v>198</v>
      </c>
    </row>
    <row r="1191" spans="1:13" x14ac:dyDescent="0.15">
      <c r="A1191" s="107">
        <v>1661</v>
      </c>
      <c r="B1191" s="107" t="s">
        <v>197</v>
      </c>
      <c r="C1191" s="107" t="s">
        <v>274</v>
      </c>
      <c r="D1191" s="107">
        <v>31019.5</v>
      </c>
      <c r="E1191" s="107" t="s">
        <v>193</v>
      </c>
      <c r="F1191" s="107" t="s">
        <v>551</v>
      </c>
      <c r="G1191" s="107">
        <v>20531</v>
      </c>
      <c r="H1191" s="107">
        <v>11</v>
      </c>
      <c r="I1191" s="107">
        <v>0</v>
      </c>
      <c r="J1191" s="107">
        <f t="shared" si="18"/>
        <v>0.66189171327713214</v>
      </c>
      <c r="K1191" s="107">
        <v>3996</v>
      </c>
      <c r="L1191" s="107">
        <v>1794</v>
      </c>
      <c r="M1191" s="107" t="s">
        <v>290</v>
      </c>
    </row>
    <row r="1192" spans="1:13" x14ac:dyDescent="0.15">
      <c r="A1192" s="107">
        <v>1661</v>
      </c>
      <c r="B1192" s="107" t="s">
        <v>197</v>
      </c>
      <c r="C1192" s="107" t="s">
        <v>274</v>
      </c>
      <c r="D1192" s="107">
        <v>3</v>
      </c>
      <c r="E1192" s="107" t="s">
        <v>193</v>
      </c>
      <c r="F1192" s="107" t="s">
        <v>551</v>
      </c>
      <c r="G1192" s="107">
        <v>2</v>
      </c>
      <c r="H1192" s="107">
        <v>3</v>
      </c>
      <c r="I1192" s="107">
        <v>5</v>
      </c>
      <c r="J1192" s="107">
        <f t="shared" si="18"/>
        <v>0.72187499999999993</v>
      </c>
      <c r="K1192" s="107">
        <v>3996</v>
      </c>
      <c r="L1192" s="107">
        <v>1794</v>
      </c>
      <c r="M1192" s="107" t="s">
        <v>290</v>
      </c>
    </row>
    <row r="1193" spans="1:13" x14ac:dyDescent="0.15">
      <c r="A1193" s="107">
        <v>1662</v>
      </c>
      <c r="B1193" s="107" t="s">
        <v>197</v>
      </c>
      <c r="C1193" s="107" t="s">
        <v>274</v>
      </c>
      <c r="D1193" s="107">
        <v>29633</v>
      </c>
      <c r="E1193" s="107" t="s">
        <v>193</v>
      </c>
      <c r="F1193" s="107" t="s">
        <v>551</v>
      </c>
      <c r="G1193" s="107">
        <v>19584</v>
      </c>
      <c r="H1193" s="107">
        <v>2</v>
      </c>
      <c r="I1193" s="107">
        <v>3</v>
      </c>
      <c r="J1193" s="107">
        <f t="shared" si="18"/>
        <v>0.66088851533763038</v>
      </c>
      <c r="K1193" s="107">
        <v>3997</v>
      </c>
      <c r="L1193" s="107">
        <v>1795</v>
      </c>
      <c r="M1193" s="107">
        <v>304</v>
      </c>
    </row>
    <row r="1194" spans="1:13" x14ac:dyDescent="0.15">
      <c r="A1194" s="107">
        <v>1663</v>
      </c>
      <c r="B1194" s="107" t="s">
        <v>197</v>
      </c>
      <c r="C1194" s="107" t="s">
        <v>274</v>
      </c>
      <c r="D1194" s="107">
        <v>26714</v>
      </c>
      <c r="E1194" s="107" t="s">
        <v>193</v>
      </c>
      <c r="F1194" s="107" t="s">
        <v>551</v>
      </c>
      <c r="G1194" s="107">
        <v>18031</v>
      </c>
      <c r="H1194" s="107">
        <v>19</v>
      </c>
      <c r="I1194" s="107">
        <v>0</v>
      </c>
      <c r="J1194" s="107">
        <f t="shared" si="18"/>
        <v>0.67500000000000004</v>
      </c>
      <c r="K1194" s="107">
        <v>3998</v>
      </c>
      <c r="L1194" s="107">
        <v>1797</v>
      </c>
      <c r="M1194" s="107" t="s">
        <v>290</v>
      </c>
    </row>
    <row r="1195" spans="1:13" x14ac:dyDescent="0.15">
      <c r="A1195" s="107">
        <v>1665</v>
      </c>
      <c r="B1195" s="107" t="s">
        <v>197</v>
      </c>
      <c r="C1195" s="107" t="s">
        <v>274</v>
      </c>
      <c r="D1195" s="107">
        <v>24704</v>
      </c>
      <c r="E1195" s="107" t="s">
        <v>193</v>
      </c>
      <c r="F1195" s="107" t="s">
        <v>551</v>
      </c>
      <c r="G1195" s="107">
        <v>16469</v>
      </c>
      <c r="H1195" s="107">
        <v>6</v>
      </c>
      <c r="I1195" s="107">
        <v>10</v>
      </c>
      <c r="J1195" s="107">
        <f t="shared" si="18"/>
        <v>0.66666658233484455</v>
      </c>
      <c r="K1195" s="107">
        <v>4000</v>
      </c>
      <c r="L1195" s="107">
        <v>1798</v>
      </c>
      <c r="M1195" s="107">
        <v>61</v>
      </c>
    </row>
    <row r="1196" spans="1:13" x14ac:dyDescent="0.15">
      <c r="A1196" s="107">
        <v>1666</v>
      </c>
      <c r="B1196" s="107" t="s">
        <v>196</v>
      </c>
      <c r="C1196" s="107" t="s">
        <v>274</v>
      </c>
      <c r="D1196" s="107">
        <v>955</v>
      </c>
      <c r="E1196" s="107" t="s">
        <v>193</v>
      </c>
      <c r="F1196" s="107" t="s">
        <v>551</v>
      </c>
      <c r="G1196" s="107">
        <v>658</v>
      </c>
      <c r="H1196" s="107">
        <v>17</v>
      </c>
      <c r="I1196" s="107">
        <v>0</v>
      </c>
      <c r="J1196" s="107">
        <f t="shared" si="18"/>
        <v>0.68989528795811517</v>
      </c>
      <c r="K1196" s="107">
        <v>4001</v>
      </c>
      <c r="L1196" s="107">
        <v>1800</v>
      </c>
      <c r="M1196" s="107">
        <v>47</v>
      </c>
    </row>
    <row r="1197" spans="1:13" x14ac:dyDescent="0.15">
      <c r="A1197" s="107">
        <v>1667</v>
      </c>
      <c r="B1197" s="107" t="s">
        <v>197</v>
      </c>
      <c r="C1197" s="107" t="s">
        <v>274</v>
      </c>
      <c r="D1197" s="107">
        <v>27962</v>
      </c>
      <c r="E1197" s="107" t="s">
        <v>193</v>
      </c>
      <c r="F1197" s="107" t="s">
        <v>551</v>
      </c>
      <c r="G1197" s="107">
        <v>20132</v>
      </c>
      <c r="H1197" s="107">
        <v>12</v>
      </c>
      <c r="I1197" s="107">
        <v>12</v>
      </c>
      <c r="J1197" s="107">
        <f t="shared" si="18"/>
        <v>0.71999991059294743</v>
      </c>
      <c r="K1197" s="107">
        <v>4002</v>
      </c>
      <c r="L1197" s="107">
        <v>1802</v>
      </c>
      <c r="M1197" s="107">
        <v>760</v>
      </c>
    </row>
    <row r="1198" spans="1:13" x14ac:dyDescent="0.15">
      <c r="A1198" s="107">
        <v>1668</v>
      </c>
      <c r="B1198" s="107" t="s">
        <v>197</v>
      </c>
      <c r="C1198" s="107" t="s">
        <v>274</v>
      </c>
      <c r="D1198" s="107">
        <v>31185</v>
      </c>
      <c r="E1198" s="107" t="s">
        <v>193</v>
      </c>
      <c r="F1198" s="107" t="s">
        <v>551</v>
      </c>
      <c r="G1198" s="107">
        <v>21829</v>
      </c>
      <c r="H1198" s="107">
        <v>10</v>
      </c>
      <c r="I1198" s="107">
        <v>0</v>
      </c>
      <c r="J1198" s="107">
        <f t="shared" si="18"/>
        <v>0.7</v>
      </c>
      <c r="K1198" s="107">
        <v>4003</v>
      </c>
      <c r="L1198" s="107">
        <v>1802</v>
      </c>
      <c r="M1198" s="107">
        <v>30</v>
      </c>
    </row>
    <row r="1199" spans="1:13" x14ac:dyDescent="0.15">
      <c r="A1199" s="107">
        <v>1669</v>
      </c>
      <c r="B1199" s="107" t="s">
        <v>197</v>
      </c>
      <c r="C1199" s="107" t="s">
        <v>274</v>
      </c>
      <c r="D1199" s="107">
        <v>31753</v>
      </c>
      <c r="E1199" s="107" t="s">
        <v>193</v>
      </c>
      <c r="F1199" s="107" t="s">
        <v>551</v>
      </c>
      <c r="G1199" s="107">
        <v>22227</v>
      </c>
      <c r="H1199" s="107">
        <v>2</v>
      </c>
      <c r="I1199" s="107">
        <v>0</v>
      </c>
      <c r="J1199" s="107">
        <f t="shared" si="18"/>
        <v>0.7</v>
      </c>
      <c r="K1199" s="107">
        <v>4004</v>
      </c>
      <c r="L1199" s="107">
        <v>1805</v>
      </c>
      <c r="M1199" s="107">
        <v>558</v>
      </c>
    </row>
    <row r="1200" spans="1:13" x14ac:dyDescent="0.15">
      <c r="A1200" s="107">
        <v>1673</v>
      </c>
      <c r="B1200" s="107" t="s">
        <v>197</v>
      </c>
      <c r="C1200" s="107" t="s">
        <v>274</v>
      </c>
      <c r="D1200" s="107">
        <v>1</v>
      </c>
      <c r="E1200" s="107" t="s">
        <v>193</v>
      </c>
      <c r="F1200" s="107" t="s">
        <v>551</v>
      </c>
      <c r="G1200" s="107">
        <v>0</v>
      </c>
      <c r="H1200" s="107">
        <v>14</v>
      </c>
      <c r="I1200" s="107">
        <v>0</v>
      </c>
      <c r="J1200" s="107">
        <f t="shared" ref="J1200:J1263" si="19">(G1200+H1200/20+I1200/320)/D1200</f>
        <v>0.7</v>
      </c>
      <c r="K1200" s="107">
        <v>4010</v>
      </c>
      <c r="L1200" s="107">
        <v>1812</v>
      </c>
      <c r="M1200" s="107">
        <v>548</v>
      </c>
    </row>
    <row r="1201" spans="1:13" x14ac:dyDescent="0.15">
      <c r="A1201" s="107">
        <v>1676</v>
      </c>
      <c r="B1201" s="107" t="s">
        <v>197</v>
      </c>
      <c r="C1201" s="107" t="s">
        <v>274</v>
      </c>
      <c r="D1201" s="107">
        <v>103.5</v>
      </c>
      <c r="E1201" s="107" t="s">
        <v>193</v>
      </c>
      <c r="F1201" s="107" t="s">
        <v>551</v>
      </c>
      <c r="G1201" s="107">
        <v>72</v>
      </c>
      <c r="H1201" s="107">
        <v>9</v>
      </c>
      <c r="I1201" s="107">
        <v>0</v>
      </c>
      <c r="J1201" s="107">
        <f t="shared" si="19"/>
        <v>0.70000000000000007</v>
      </c>
      <c r="K1201" s="107">
        <v>4012</v>
      </c>
      <c r="L1201" s="107">
        <v>1814</v>
      </c>
      <c r="M1201" s="107">
        <v>429</v>
      </c>
    </row>
    <row r="1202" spans="1:13" x14ac:dyDescent="0.15">
      <c r="A1202" s="107">
        <v>1677</v>
      </c>
      <c r="B1202" s="107" t="s">
        <v>261</v>
      </c>
      <c r="C1202" s="107" t="s">
        <v>274</v>
      </c>
      <c r="D1202" s="107">
        <v>15.25</v>
      </c>
      <c r="E1202" s="107" t="s">
        <v>193</v>
      </c>
      <c r="F1202" s="107" t="s">
        <v>551</v>
      </c>
      <c r="G1202" s="107">
        <v>10</v>
      </c>
      <c r="H1202" s="107">
        <v>13</v>
      </c>
      <c r="I1202" s="107">
        <v>8</v>
      </c>
      <c r="J1202" s="107">
        <f t="shared" si="19"/>
        <v>0.70000000000000007</v>
      </c>
      <c r="K1202" s="107">
        <v>4013</v>
      </c>
      <c r="L1202" s="107">
        <v>1816</v>
      </c>
      <c r="M1202" s="107">
        <v>795</v>
      </c>
    </row>
    <row r="1203" spans="1:13" x14ac:dyDescent="0.15">
      <c r="A1203" s="107">
        <v>1681</v>
      </c>
      <c r="B1203" s="107" t="s">
        <v>197</v>
      </c>
      <c r="C1203" s="107" t="s">
        <v>271</v>
      </c>
      <c r="D1203" s="107">
        <v>4.75</v>
      </c>
      <c r="E1203" s="107" t="s">
        <v>193</v>
      </c>
      <c r="F1203" s="107" t="s">
        <v>551</v>
      </c>
      <c r="G1203" s="107">
        <v>3</v>
      </c>
      <c r="H1203" s="107">
        <v>16</v>
      </c>
      <c r="I1203" s="107">
        <v>0</v>
      </c>
      <c r="J1203" s="107">
        <f t="shared" si="19"/>
        <v>0.79999999999999993</v>
      </c>
      <c r="K1203" s="107">
        <v>4017</v>
      </c>
      <c r="L1203" s="107">
        <v>1819</v>
      </c>
      <c r="M1203" s="107">
        <v>427</v>
      </c>
    </row>
    <row r="1204" spans="1:13" x14ac:dyDescent="0.15">
      <c r="A1204" s="107">
        <v>1683</v>
      </c>
      <c r="B1204" s="107" t="s">
        <v>260</v>
      </c>
      <c r="C1204" s="107" t="s">
        <v>271</v>
      </c>
      <c r="D1204" s="107">
        <v>3.5</v>
      </c>
      <c r="E1204" s="107" t="s">
        <v>193</v>
      </c>
      <c r="F1204" s="107" t="s">
        <v>551</v>
      </c>
      <c r="G1204" s="107">
        <v>2</v>
      </c>
      <c r="H1204" s="107">
        <v>16</v>
      </c>
      <c r="I1204" s="107">
        <v>0</v>
      </c>
      <c r="J1204" s="107">
        <f t="shared" si="19"/>
        <v>0.79999999999999993</v>
      </c>
      <c r="K1204" s="107">
        <v>4019</v>
      </c>
      <c r="L1204" s="107">
        <v>1822</v>
      </c>
      <c r="M1204" s="107">
        <v>630</v>
      </c>
    </row>
    <row r="1205" spans="1:13" x14ac:dyDescent="0.15">
      <c r="A1205" s="107">
        <v>1684</v>
      </c>
      <c r="B1205" s="107" t="s">
        <v>197</v>
      </c>
      <c r="C1205" s="107" t="s">
        <v>271</v>
      </c>
      <c r="D1205" s="107">
        <v>7</v>
      </c>
      <c r="E1205" s="107" t="s">
        <v>193</v>
      </c>
      <c r="F1205" s="107" t="s">
        <v>551</v>
      </c>
      <c r="G1205" s="107">
        <v>5</v>
      </c>
      <c r="H1205" s="107">
        <v>19</v>
      </c>
      <c r="I1205" s="107">
        <v>0</v>
      </c>
      <c r="J1205" s="107">
        <f t="shared" si="19"/>
        <v>0.85</v>
      </c>
      <c r="K1205" s="107">
        <v>4021</v>
      </c>
      <c r="L1205" s="107">
        <v>1825</v>
      </c>
      <c r="M1205" s="107">
        <v>669</v>
      </c>
    </row>
    <row r="1206" spans="1:13" x14ac:dyDescent="0.15">
      <c r="A1206" s="107">
        <v>1685</v>
      </c>
      <c r="B1206" s="107" t="s">
        <v>196</v>
      </c>
      <c r="C1206" s="107" t="s">
        <v>271</v>
      </c>
      <c r="D1206" s="107">
        <v>27.5</v>
      </c>
      <c r="E1206" s="107" t="s">
        <v>193</v>
      </c>
      <c r="F1206" s="107" t="s">
        <v>551</v>
      </c>
      <c r="G1206" s="107">
        <v>21</v>
      </c>
      <c r="H1206" s="107">
        <v>18</v>
      </c>
      <c r="I1206" s="107">
        <v>0</v>
      </c>
      <c r="J1206" s="107">
        <f t="shared" si="19"/>
        <v>0.79636363636363627</v>
      </c>
      <c r="K1206" s="107">
        <v>4022</v>
      </c>
      <c r="L1206" s="107">
        <v>1827</v>
      </c>
      <c r="M1206" s="107">
        <v>600</v>
      </c>
    </row>
    <row r="1207" spans="1:13" x14ac:dyDescent="0.15">
      <c r="A1207" s="107">
        <v>1686</v>
      </c>
      <c r="B1207" s="107" t="s">
        <v>197</v>
      </c>
      <c r="C1207" s="107" t="s">
        <v>271</v>
      </c>
      <c r="D1207" s="107">
        <v>12</v>
      </c>
      <c r="E1207" s="107" t="s">
        <v>193</v>
      </c>
      <c r="F1207" s="107" t="s">
        <v>551</v>
      </c>
      <c r="G1207" s="107">
        <v>8</v>
      </c>
      <c r="H1207" s="107">
        <v>11</v>
      </c>
      <c r="I1207" s="107">
        <v>12</v>
      </c>
      <c r="J1207" s="107">
        <f t="shared" si="19"/>
        <v>0.71562500000000007</v>
      </c>
      <c r="K1207" s="107">
        <v>4023</v>
      </c>
      <c r="L1207" s="107">
        <v>1829</v>
      </c>
      <c r="M1207" s="107">
        <v>706</v>
      </c>
    </row>
    <row r="1208" spans="1:13" x14ac:dyDescent="0.15">
      <c r="A1208" s="107">
        <v>1686</v>
      </c>
      <c r="B1208" s="107" t="s">
        <v>247</v>
      </c>
      <c r="C1208" s="107" t="s">
        <v>295</v>
      </c>
      <c r="D1208" s="107">
        <v>9</v>
      </c>
      <c r="E1208" s="107" t="s">
        <v>193</v>
      </c>
      <c r="F1208" s="107" t="s">
        <v>551</v>
      </c>
      <c r="G1208" s="107">
        <v>7</v>
      </c>
      <c r="H1208" s="107">
        <v>4</v>
      </c>
      <c r="I1208" s="107">
        <v>0</v>
      </c>
      <c r="J1208" s="107">
        <f t="shared" si="19"/>
        <v>0.8</v>
      </c>
      <c r="K1208" s="107">
        <v>4023</v>
      </c>
      <c r="L1208" s="107">
        <v>1829</v>
      </c>
      <c r="M1208" s="107">
        <v>830</v>
      </c>
    </row>
    <row r="1209" spans="1:13" x14ac:dyDescent="0.15">
      <c r="A1209" s="107">
        <v>1688</v>
      </c>
      <c r="B1209" s="107" t="s">
        <v>260</v>
      </c>
      <c r="C1209" s="107" t="s">
        <v>271</v>
      </c>
      <c r="D1209" s="107">
        <v>3</v>
      </c>
      <c r="E1209" s="107" t="s">
        <v>193</v>
      </c>
      <c r="F1209" s="107" t="s">
        <v>551</v>
      </c>
      <c r="G1209" s="107">
        <v>2</v>
      </c>
      <c r="H1209" s="107">
        <v>4</v>
      </c>
      <c r="I1209" s="107">
        <v>1</v>
      </c>
      <c r="J1209" s="107">
        <f t="shared" si="19"/>
        <v>0.734375</v>
      </c>
      <c r="K1209" s="107">
        <v>4025</v>
      </c>
      <c r="L1209" s="107">
        <v>1831</v>
      </c>
      <c r="M1209" s="107">
        <v>573</v>
      </c>
    </row>
    <row r="1210" spans="1:13" x14ac:dyDescent="0.15">
      <c r="A1210" s="107">
        <v>1689</v>
      </c>
      <c r="B1210" s="107" t="s">
        <v>197</v>
      </c>
      <c r="C1210" s="107" t="s">
        <v>271</v>
      </c>
      <c r="D1210" s="107">
        <v>6</v>
      </c>
      <c r="E1210" s="107" t="s">
        <v>193</v>
      </c>
      <c r="F1210" s="107" t="s">
        <v>551</v>
      </c>
      <c r="G1210" s="107">
        <v>4</v>
      </c>
      <c r="H1210" s="107">
        <v>10</v>
      </c>
      <c r="I1210" s="107">
        <v>0</v>
      </c>
      <c r="J1210" s="107">
        <f t="shared" si="19"/>
        <v>0.75</v>
      </c>
      <c r="K1210" s="107">
        <v>4027</v>
      </c>
      <c r="L1210" s="107">
        <v>1832</v>
      </c>
      <c r="M1210" s="107">
        <v>483</v>
      </c>
    </row>
    <row r="1211" spans="1:13" x14ac:dyDescent="0.15">
      <c r="A1211" s="107">
        <v>1690</v>
      </c>
      <c r="B1211" s="107" t="s">
        <v>192</v>
      </c>
      <c r="C1211" s="107" t="s">
        <v>271</v>
      </c>
      <c r="D1211" s="107">
        <v>2</v>
      </c>
      <c r="E1211" s="107" t="s">
        <v>193</v>
      </c>
      <c r="F1211" s="107" t="s">
        <v>551</v>
      </c>
      <c r="G1211" s="107">
        <v>1</v>
      </c>
      <c r="H1211" s="107">
        <v>10</v>
      </c>
      <c r="I1211" s="107">
        <v>0</v>
      </c>
      <c r="J1211" s="107">
        <f t="shared" si="19"/>
        <v>0.75</v>
      </c>
      <c r="K1211" s="107">
        <v>4028</v>
      </c>
      <c r="L1211" s="107">
        <v>1834</v>
      </c>
      <c r="M1211" s="107">
        <v>396</v>
      </c>
    </row>
    <row r="1212" spans="1:13" x14ac:dyDescent="0.15">
      <c r="A1212" s="107">
        <v>1691</v>
      </c>
      <c r="B1212" s="107" t="s">
        <v>244</v>
      </c>
      <c r="C1212" s="107" t="s">
        <v>271</v>
      </c>
      <c r="D1212" s="107">
        <v>26</v>
      </c>
      <c r="E1212" s="107" t="s">
        <v>193</v>
      </c>
      <c r="F1212" s="107" t="s">
        <v>551</v>
      </c>
      <c r="G1212" s="107">
        <v>19</v>
      </c>
      <c r="H1212" s="107">
        <v>10</v>
      </c>
      <c r="I1212" s="107">
        <v>0</v>
      </c>
      <c r="J1212" s="107">
        <f t="shared" si="19"/>
        <v>0.75</v>
      </c>
      <c r="K1212" s="107">
        <v>4028</v>
      </c>
      <c r="L1212" s="107">
        <v>1834</v>
      </c>
      <c r="M1212" s="107">
        <v>379</v>
      </c>
    </row>
    <row r="1213" spans="1:13" x14ac:dyDescent="0.15">
      <c r="A1213" s="107">
        <v>1692</v>
      </c>
      <c r="B1213" s="107" t="s">
        <v>200</v>
      </c>
      <c r="C1213" s="107" t="s">
        <v>271</v>
      </c>
      <c r="D1213" s="107">
        <v>8</v>
      </c>
      <c r="E1213" s="107" t="s">
        <v>193</v>
      </c>
      <c r="F1213" s="107" t="s">
        <v>551</v>
      </c>
      <c r="G1213" s="107">
        <v>6</v>
      </c>
      <c r="H1213" s="107">
        <v>0</v>
      </c>
      <c r="I1213" s="107">
        <v>0</v>
      </c>
      <c r="J1213" s="107">
        <f t="shared" si="19"/>
        <v>0.75</v>
      </c>
      <c r="K1213" s="107">
        <v>4030</v>
      </c>
      <c r="L1213" s="107">
        <v>1836</v>
      </c>
      <c r="M1213" s="107">
        <v>240</v>
      </c>
    </row>
    <row r="1214" spans="1:13" x14ac:dyDescent="0.15">
      <c r="A1214" s="107">
        <v>1693</v>
      </c>
      <c r="B1214" s="107" t="s">
        <v>261</v>
      </c>
      <c r="C1214" s="107" t="s">
        <v>271</v>
      </c>
      <c r="D1214" s="107">
        <v>12</v>
      </c>
      <c r="E1214" s="107" t="s">
        <v>193</v>
      </c>
      <c r="F1214" s="107" t="s">
        <v>551</v>
      </c>
      <c r="G1214" s="107">
        <v>10</v>
      </c>
      <c r="H1214" s="107">
        <v>4</v>
      </c>
      <c r="I1214" s="107">
        <v>0</v>
      </c>
      <c r="J1214" s="107">
        <f t="shared" si="19"/>
        <v>0.85</v>
      </c>
      <c r="K1214" s="107">
        <v>4030</v>
      </c>
      <c r="L1214" s="107">
        <v>1836</v>
      </c>
      <c r="M1214" s="107">
        <v>230</v>
      </c>
    </row>
    <row r="1215" spans="1:13" x14ac:dyDescent="0.15">
      <c r="A1215" s="107">
        <v>1694</v>
      </c>
      <c r="B1215" s="107" t="s">
        <v>261</v>
      </c>
      <c r="C1215" s="107" t="s">
        <v>271</v>
      </c>
      <c r="D1215" s="107">
        <v>23</v>
      </c>
      <c r="E1215" s="107" t="s">
        <v>193</v>
      </c>
      <c r="F1215" s="107" t="s">
        <v>551</v>
      </c>
      <c r="G1215" s="107">
        <v>23</v>
      </c>
      <c r="H1215" s="107">
        <v>0</v>
      </c>
      <c r="I1215" s="107">
        <v>0</v>
      </c>
      <c r="J1215" s="107">
        <f t="shared" si="19"/>
        <v>1</v>
      </c>
      <c r="K1215" s="107">
        <v>4032</v>
      </c>
      <c r="L1215" s="107">
        <v>1839</v>
      </c>
      <c r="M1215" s="107">
        <v>252</v>
      </c>
    </row>
    <row r="1216" spans="1:13" x14ac:dyDescent="0.15">
      <c r="A1216" s="107">
        <v>1695</v>
      </c>
      <c r="B1216" s="107" t="s">
        <v>260</v>
      </c>
      <c r="C1216" s="107" t="s">
        <v>271</v>
      </c>
      <c r="D1216" s="107">
        <v>13</v>
      </c>
      <c r="E1216" s="107" t="s">
        <v>193</v>
      </c>
      <c r="F1216" s="107" t="s">
        <v>551</v>
      </c>
      <c r="G1216" s="107">
        <v>13</v>
      </c>
      <c r="H1216" s="107">
        <v>0</v>
      </c>
      <c r="I1216" s="107">
        <v>0</v>
      </c>
      <c r="J1216" s="107">
        <f t="shared" si="19"/>
        <v>1</v>
      </c>
      <c r="K1216" s="107">
        <v>4034</v>
      </c>
      <c r="L1216" s="107">
        <v>1841</v>
      </c>
      <c r="M1216" s="107">
        <v>490</v>
      </c>
    </row>
    <row r="1217" spans="1:13" x14ac:dyDescent="0.15">
      <c r="A1217" s="107">
        <v>1696</v>
      </c>
      <c r="B1217" s="107" t="s">
        <v>260</v>
      </c>
      <c r="C1217" s="107" t="s">
        <v>271</v>
      </c>
      <c r="D1217" s="107">
        <v>15</v>
      </c>
      <c r="E1217" s="107" t="s">
        <v>193</v>
      </c>
      <c r="F1217" s="107" t="s">
        <v>551</v>
      </c>
      <c r="G1217" s="107">
        <v>15</v>
      </c>
      <c r="H1217" s="107">
        <v>0</v>
      </c>
      <c r="I1217" s="107">
        <v>0</v>
      </c>
      <c r="J1217" s="107">
        <f t="shared" si="19"/>
        <v>1</v>
      </c>
      <c r="K1217" s="107">
        <v>4035</v>
      </c>
      <c r="L1217" s="107">
        <v>1841</v>
      </c>
      <c r="M1217" s="107">
        <v>67</v>
      </c>
    </row>
    <row r="1218" spans="1:13" x14ac:dyDescent="0.15">
      <c r="A1218" s="107">
        <v>1698</v>
      </c>
      <c r="B1218" s="107" t="s">
        <v>192</v>
      </c>
      <c r="C1218" s="107" t="s">
        <v>271</v>
      </c>
      <c r="D1218" s="107">
        <v>13</v>
      </c>
      <c r="E1218" s="107" t="s">
        <v>193</v>
      </c>
      <c r="F1218" s="107" t="s">
        <v>551</v>
      </c>
      <c r="G1218" s="107">
        <v>11</v>
      </c>
      <c r="H1218" s="107">
        <v>14</v>
      </c>
      <c r="I1218" s="107">
        <v>0</v>
      </c>
      <c r="J1218" s="107">
        <f t="shared" si="19"/>
        <v>0.89999999999999991</v>
      </c>
      <c r="K1218" s="107">
        <v>4043</v>
      </c>
      <c r="L1218" s="107">
        <v>1851</v>
      </c>
      <c r="M1218" s="107">
        <v>838</v>
      </c>
    </row>
    <row r="1219" spans="1:13" x14ac:dyDescent="0.15">
      <c r="A1219" s="107">
        <v>1699</v>
      </c>
      <c r="B1219" s="107" t="s">
        <v>196</v>
      </c>
      <c r="C1219" s="107" t="s">
        <v>271</v>
      </c>
      <c r="D1219" s="107">
        <v>18.5</v>
      </c>
      <c r="E1219" s="107" t="s">
        <v>193</v>
      </c>
      <c r="F1219" s="107" t="s">
        <v>551</v>
      </c>
      <c r="G1219" s="107">
        <v>16</v>
      </c>
      <c r="H1219" s="107">
        <v>13</v>
      </c>
      <c r="I1219" s="107">
        <v>0</v>
      </c>
      <c r="J1219" s="107">
        <f t="shared" si="19"/>
        <v>0.89999999999999991</v>
      </c>
      <c r="K1219" s="107">
        <v>4043</v>
      </c>
      <c r="L1219" s="107">
        <v>1851</v>
      </c>
      <c r="M1219" s="107">
        <v>860</v>
      </c>
    </row>
    <row r="1220" spans="1:13" x14ac:dyDescent="0.15">
      <c r="A1220" s="107">
        <v>1702</v>
      </c>
      <c r="B1220" s="107" t="s">
        <v>244</v>
      </c>
      <c r="C1220" s="107" t="s">
        <v>271</v>
      </c>
      <c r="D1220" s="107">
        <v>6</v>
      </c>
      <c r="E1220" s="107" t="s">
        <v>193</v>
      </c>
      <c r="F1220" s="107" t="s">
        <v>551</v>
      </c>
      <c r="G1220" s="107">
        <v>5</v>
      </c>
      <c r="H1220" s="107">
        <v>17</v>
      </c>
      <c r="I1220" s="107">
        <v>0</v>
      </c>
      <c r="J1220" s="107">
        <f t="shared" si="19"/>
        <v>0.97499999999999998</v>
      </c>
      <c r="K1220" s="107">
        <v>4049</v>
      </c>
      <c r="L1220" s="107">
        <v>1856</v>
      </c>
      <c r="M1220" s="107">
        <v>497</v>
      </c>
    </row>
    <row r="1221" spans="1:13" x14ac:dyDescent="0.15">
      <c r="A1221" s="107">
        <v>1703</v>
      </c>
      <c r="B1221" s="107" t="s">
        <v>261</v>
      </c>
      <c r="C1221" s="107" t="s">
        <v>271</v>
      </c>
      <c r="D1221" s="107">
        <v>16</v>
      </c>
      <c r="E1221" s="107" t="s">
        <v>193</v>
      </c>
      <c r="F1221" s="107" t="s">
        <v>551</v>
      </c>
      <c r="G1221" s="107">
        <v>16</v>
      </c>
      <c r="H1221" s="107">
        <v>0</v>
      </c>
      <c r="I1221" s="107">
        <v>0</v>
      </c>
      <c r="J1221" s="107">
        <f t="shared" si="19"/>
        <v>1</v>
      </c>
      <c r="K1221" s="107">
        <v>4049</v>
      </c>
      <c r="L1221" s="107">
        <v>1856</v>
      </c>
      <c r="M1221" s="107">
        <v>541</v>
      </c>
    </row>
    <row r="1222" spans="1:13" x14ac:dyDescent="0.15">
      <c r="A1222" s="107">
        <v>1704</v>
      </c>
      <c r="B1222" s="107" t="s">
        <v>253</v>
      </c>
      <c r="C1222" s="107" t="s">
        <v>271</v>
      </c>
      <c r="D1222" s="107">
        <v>30</v>
      </c>
      <c r="E1222" s="107" t="s">
        <v>193</v>
      </c>
      <c r="F1222" s="107" t="s">
        <v>551</v>
      </c>
      <c r="G1222" s="107">
        <v>30</v>
      </c>
      <c r="H1222" s="107">
        <v>0</v>
      </c>
      <c r="I1222" s="107">
        <v>0</v>
      </c>
      <c r="J1222" s="107">
        <f t="shared" si="19"/>
        <v>1</v>
      </c>
      <c r="K1222" s="107">
        <v>4050</v>
      </c>
      <c r="L1222" s="107">
        <v>1858</v>
      </c>
      <c r="M1222" s="107">
        <v>503</v>
      </c>
    </row>
    <row r="1223" spans="1:13" x14ac:dyDescent="0.15">
      <c r="A1223" s="107">
        <v>1705</v>
      </c>
      <c r="B1223" s="107" t="s">
        <v>260</v>
      </c>
      <c r="C1223" s="107" t="s">
        <v>271</v>
      </c>
      <c r="D1223" s="107">
        <v>22</v>
      </c>
      <c r="E1223" s="107" t="s">
        <v>193</v>
      </c>
      <c r="F1223" s="107" t="s">
        <v>551</v>
      </c>
      <c r="G1223" s="107">
        <v>22</v>
      </c>
      <c r="H1223" s="107">
        <v>5</v>
      </c>
      <c r="I1223" s="107">
        <v>8</v>
      </c>
      <c r="J1223" s="107">
        <f t="shared" si="19"/>
        <v>1.0125</v>
      </c>
      <c r="K1223" s="107">
        <v>4051</v>
      </c>
      <c r="L1223" s="107">
        <v>1860</v>
      </c>
      <c r="M1223" s="107">
        <v>675</v>
      </c>
    </row>
    <row r="1224" spans="1:13" x14ac:dyDescent="0.15">
      <c r="A1224" s="107">
        <v>1702</v>
      </c>
      <c r="B1224" s="107" t="s">
        <v>226</v>
      </c>
      <c r="C1224" s="107" t="s">
        <v>268</v>
      </c>
      <c r="D1224" s="25">
        <v>18</v>
      </c>
      <c r="E1224" s="107" t="s">
        <v>193</v>
      </c>
      <c r="F1224" s="107" t="s">
        <v>552</v>
      </c>
      <c r="G1224" s="107">
        <v>17</v>
      </c>
      <c r="H1224" s="107">
        <v>11</v>
      </c>
      <c r="I1224" s="107">
        <v>0</v>
      </c>
      <c r="J1224" s="107">
        <f t="shared" si="19"/>
        <v>0.97500000000000009</v>
      </c>
      <c r="K1224" s="107">
        <v>5503</v>
      </c>
      <c r="L1224" s="107"/>
      <c r="M1224" s="107"/>
    </row>
    <row r="1225" spans="1:13" x14ac:dyDescent="0.15">
      <c r="A1225" s="107">
        <v>1705</v>
      </c>
      <c r="B1225" s="107" t="s">
        <v>197</v>
      </c>
      <c r="C1225" s="107" t="s">
        <v>268</v>
      </c>
      <c r="D1225" s="25">
        <v>3</v>
      </c>
      <c r="E1225" s="107" t="s">
        <v>193</v>
      </c>
      <c r="F1225" s="107" t="s">
        <v>552</v>
      </c>
      <c r="G1225" s="107">
        <v>3</v>
      </c>
      <c r="H1225" s="107">
        <v>0</v>
      </c>
      <c r="I1225" s="107">
        <v>0</v>
      </c>
      <c r="J1225" s="107">
        <f t="shared" si="19"/>
        <v>1</v>
      </c>
      <c r="K1225" s="107">
        <v>5536</v>
      </c>
      <c r="L1225" s="107"/>
      <c r="M1225" s="107"/>
    </row>
    <row r="1226" spans="1:13" x14ac:dyDescent="0.15">
      <c r="A1226" s="107">
        <v>1706</v>
      </c>
      <c r="B1226" s="107" t="s">
        <v>186</v>
      </c>
      <c r="C1226" s="107" t="s">
        <v>268</v>
      </c>
      <c r="D1226" s="25">
        <v>1</v>
      </c>
      <c r="E1226" s="107" t="s">
        <v>193</v>
      </c>
      <c r="F1226" s="107" t="s">
        <v>552</v>
      </c>
      <c r="G1226" s="107">
        <v>0</v>
      </c>
      <c r="H1226" s="107">
        <v>19</v>
      </c>
      <c r="I1226" s="107">
        <v>0</v>
      </c>
      <c r="J1226" s="107">
        <f t="shared" si="19"/>
        <v>0.95</v>
      </c>
      <c r="K1226" s="107">
        <v>5558</v>
      </c>
      <c r="L1226" s="107"/>
      <c r="M1226" s="107"/>
    </row>
    <row r="1227" spans="1:13" x14ac:dyDescent="0.15">
      <c r="A1227" s="107">
        <v>1707</v>
      </c>
      <c r="B1227" s="107" t="s">
        <v>244</v>
      </c>
      <c r="C1227" s="107" t="s">
        <v>268</v>
      </c>
      <c r="D1227" s="25">
        <v>25</v>
      </c>
      <c r="E1227" s="107" t="s">
        <v>193</v>
      </c>
      <c r="F1227" s="107" t="s">
        <v>552</v>
      </c>
      <c r="G1227" s="107">
        <v>23</v>
      </c>
      <c r="H1227" s="107">
        <v>15</v>
      </c>
      <c r="I1227" s="107">
        <v>0</v>
      </c>
      <c r="J1227" s="107">
        <f t="shared" si="19"/>
        <v>0.95</v>
      </c>
      <c r="K1227" s="107">
        <v>5570</v>
      </c>
      <c r="L1227" s="107"/>
      <c r="M1227" s="107"/>
    </row>
    <row r="1228" spans="1:13" x14ac:dyDescent="0.15">
      <c r="A1228" s="107">
        <v>1708</v>
      </c>
      <c r="B1228" s="107" t="s">
        <v>253</v>
      </c>
      <c r="C1228" s="107" t="s">
        <v>268</v>
      </c>
      <c r="D1228" s="25">
        <v>1</v>
      </c>
      <c r="E1228" s="107" t="s">
        <v>193</v>
      </c>
      <c r="F1228" s="107" t="s">
        <v>552</v>
      </c>
      <c r="G1228" s="107">
        <v>0</v>
      </c>
      <c r="H1228" s="107">
        <v>18</v>
      </c>
      <c r="I1228" s="107">
        <v>0</v>
      </c>
      <c r="J1228" s="107">
        <f t="shared" si="19"/>
        <v>0.9</v>
      </c>
      <c r="K1228" s="107">
        <v>5571</v>
      </c>
      <c r="L1228" s="107"/>
      <c r="M1228" s="107"/>
    </row>
    <row r="1229" spans="1:13" x14ac:dyDescent="0.15">
      <c r="A1229" s="107">
        <v>1709</v>
      </c>
      <c r="B1229" s="107" t="s">
        <v>192</v>
      </c>
      <c r="C1229" s="107" t="s">
        <v>268</v>
      </c>
      <c r="D1229" s="25">
        <v>4</v>
      </c>
      <c r="E1229" s="107" t="s">
        <v>193</v>
      </c>
      <c r="F1229" s="107" t="s">
        <v>552</v>
      </c>
      <c r="G1229" s="107">
        <v>3</v>
      </c>
      <c r="H1229" s="107">
        <v>14</v>
      </c>
      <c r="I1229" s="107">
        <v>0</v>
      </c>
      <c r="J1229" s="107">
        <f t="shared" si="19"/>
        <v>0.92500000000000004</v>
      </c>
      <c r="K1229" s="107">
        <v>5600</v>
      </c>
      <c r="L1229" s="107"/>
      <c r="M1229" s="107"/>
    </row>
    <row r="1230" spans="1:13" x14ac:dyDescent="0.15">
      <c r="A1230" s="107">
        <v>1711</v>
      </c>
      <c r="B1230" s="107" t="s">
        <v>260</v>
      </c>
      <c r="C1230" s="107" t="s">
        <v>268</v>
      </c>
      <c r="D1230" s="25">
        <v>8</v>
      </c>
      <c r="E1230" s="107" t="s">
        <v>193</v>
      </c>
      <c r="F1230" s="107" t="s">
        <v>552</v>
      </c>
      <c r="G1230" s="107">
        <v>6</v>
      </c>
      <c r="H1230" s="107">
        <v>19</v>
      </c>
      <c r="I1230" s="107">
        <v>0</v>
      </c>
      <c r="J1230" s="107">
        <f t="shared" si="19"/>
        <v>0.86875000000000002</v>
      </c>
      <c r="K1230" s="107">
        <v>5612</v>
      </c>
      <c r="L1230" s="107"/>
      <c r="M1230" s="107"/>
    </row>
    <row r="1231" spans="1:13" x14ac:dyDescent="0.15">
      <c r="A1231" s="107">
        <v>1712</v>
      </c>
      <c r="B1231" s="107" t="s">
        <v>261</v>
      </c>
      <c r="C1231" s="107" t="s">
        <v>268</v>
      </c>
      <c r="D1231" s="25">
        <v>3</v>
      </c>
      <c r="E1231" s="107" t="s">
        <v>193</v>
      </c>
      <c r="F1231" s="107" t="s">
        <v>552</v>
      </c>
      <c r="G1231" s="107">
        <v>2</v>
      </c>
      <c r="H1231" s="107">
        <v>12</v>
      </c>
      <c r="I1231" s="107">
        <v>0</v>
      </c>
      <c r="J1231" s="107">
        <f t="shared" si="19"/>
        <v>0.8666666666666667</v>
      </c>
      <c r="K1231" s="107">
        <v>5628</v>
      </c>
      <c r="L1231" s="107"/>
      <c r="M1231" s="107"/>
    </row>
    <row r="1232" spans="1:13" x14ac:dyDescent="0.15">
      <c r="A1232" s="107">
        <v>1713</v>
      </c>
      <c r="B1232" s="107" t="s">
        <v>260</v>
      </c>
      <c r="C1232" s="107" t="s">
        <v>268</v>
      </c>
      <c r="D1232" s="25">
        <v>4</v>
      </c>
      <c r="E1232" s="107" t="s">
        <v>193</v>
      </c>
      <c r="F1232" s="107" t="s">
        <v>552</v>
      </c>
      <c r="G1232" s="107">
        <v>3</v>
      </c>
      <c r="H1232" s="107">
        <v>9</v>
      </c>
      <c r="I1232" s="107">
        <v>8</v>
      </c>
      <c r="J1232" s="107">
        <f t="shared" si="19"/>
        <v>0.86875000000000002</v>
      </c>
      <c r="K1232" s="107">
        <v>5644</v>
      </c>
      <c r="L1232" s="107"/>
      <c r="M1232" s="107"/>
    </row>
    <row r="1233" spans="1:11" x14ac:dyDescent="0.15">
      <c r="A1233" s="107">
        <v>1714</v>
      </c>
      <c r="B1233" s="107" t="s">
        <v>247</v>
      </c>
      <c r="C1233" s="107" t="s">
        <v>268</v>
      </c>
      <c r="D1233" s="25">
        <v>2</v>
      </c>
      <c r="E1233" s="107" t="s">
        <v>193</v>
      </c>
      <c r="F1233" s="107" t="s">
        <v>552</v>
      </c>
      <c r="G1233" s="107">
        <v>1</v>
      </c>
      <c r="H1233" s="107">
        <v>15</v>
      </c>
      <c r="I1233" s="107">
        <v>0</v>
      </c>
      <c r="J1233" s="107">
        <f t="shared" si="19"/>
        <v>0.875</v>
      </c>
      <c r="K1233" s="107">
        <v>5655</v>
      </c>
    </row>
    <row r="1234" spans="1:11" x14ac:dyDescent="0.15">
      <c r="A1234" s="107">
        <v>1715</v>
      </c>
      <c r="B1234" s="107" t="s">
        <v>197</v>
      </c>
      <c r="C1234" s="107" t="s">
        <v>268</v>
      </c>
      <c r="D1234" s="25">
        <v>2</v>
      </c>
      <c r="E1234" s="107" t="s">
        <v>193</v>
      </c>
      <c r="F1234" s="107" t="s">
        <v>552</v>
      </c>
      <c r="G1234" s="107">
        <v>1</v>
      </c>
      <c r="H1234" s="107">
        <v>15</v>
      </c>
      <c r="I1234" s="107">
        <v>8</v>
      </c>
      <c r="J1234" s="107">
        <f t="shared" si="19"/>
        <v>0.88749999999999996</v>
      </c>
      <c r="K1234" s="107">
        <v>5663</v>
      </c>
    </row>
    <row r="1235" spans="1:11" x14ac:dyDescent="0.15">
      <c r="A1235" s="107">
        <v>1716</v>
      </c>
      <c r="B1235" s="107" t="s">
        <v>197</v>
      </c>
      <c r="C1235" s="107" t="s">
        <v>268</v>
      </c>
      <c r="D1235" s="25">
        <v>6</v>
      </c>
      <c r="E1235" s="107" t="s">
        <v>193</v>
      </c>
      <c r="F1235" s="107" t="s">
        <v>552</v>
      </c>
      <c r="G1235" s="107">
        <v>5</v>
      </c>
      <c r="H1235" s="107">
        <v>3</v>
      </c>
      <c r="I1235" s="107">
        <v>0</v>
      </c>
      <c r="J1235" s="107">
        <f t="shared" si="19"/>
        <v>0.85833333333333339</v>
      </c>
      <c r="K1235" s="107">
        <v>5670</v>
      </c>
    </row>
    <row r="1236" spans="1:11" x14ac:dyDescent="0.15">
      <c r="A1236" s="107">
        <v>1717</v>
      </c>
      <c r="B1236" s="107" t="s">
        <v>192</v>
      </c>
      <c r="C1236" s="107" t="s">
        <v>268</v>
      </c>
      <c r="D1236" s="25">
        <v>4</v>
      </c>
      <c r="E1236" s="107" t="s">
        <v>193</v>
      </c>
      <c r="F1236" s="107" t="s">
        <v>552</v>
      </c>
      <c r="G1236" s="107">
        <v>3</v>
      </c>
      <c r="H1236" s="107">
        <v>13</v>
      </c>
      <c r="I1236" s="107">
        <v>0</v>
      </c>
      <c r="J1236" s="107">
        <f t="shared" si="19"/>
        <v>0.91249999999999998</v>
      </c>
      <c r="K1236" s="107">
        <v>5683</v>
      </c>
    </row>
    <row r="1237" spans="1:11" x14ac:dyDescent="0.15">
      <c r="A1237" s="107">
        <v>1718</v>
      </c>
      <c r="B1237" s="107" t="s">
        <v>253</v>
      </c>
      <c r="C1237" s="107" t="s">
        <v>268</v>
      </c>
      <c r="D1237" s="25">
        <v>21</v>
      </c>
      <c r="E1237" s="107" t="s">
        <v>193</v>
      </c>
      <c r="F1237" s="107" t="s">
        <v>552</v>
      </c>
      <c r="G1237" s="107">
        <v>20</v>
      </c>
      <c r="H1237" s="107">
        <v>11</v>
      </c>
      <c r="I1237" s="107">
        <v>0</v>
      </c>
      <c r="J1237" s="107">
        <f t="shared" si="19"/>
        <v>0.97857142857142865</v>
      </c>
      <c r="K1237" s="107">
        <v>5702</v>
      </c>
    </row>
    <row r="1238" spans="1:11" x14ac:dyDescent="0.15">
      <c r="A1238" s="107">
        <v>1720</v>
      </c>
      <c r="B1238" s="107" t="s">
        <v>253</v>
      </c>
      <c r="C1238" s="107" t="s">
        <v>268</v>
      </c>
      <c r="D1238" s="25">
        <v>100</v>
      </c>
      <c r="E1238" s="107" t="s">
        <v>193</v>
      </c>
      <c r="F1238" s="107" t="s">
        <v>552</v>
      </c>
      <c r="G1238" s="107">
        <v>97</v>
      </c>
      <c r="H1238" s="107">
        <v>16</v>
      </c>
      <c r="I1238" s="107">
        <v>0</v>
      </c>
      <c r="J1238" s="107">
        <f t="shared" si="19"/>
        <v>0.97799999999999998</v>
      </c>
      <c r="K1238" s="107">
        <v>5731</v>
      </c>
    </row>
    <row r="1239" spans="1:11" x14ac:dyDescent="0.15">
      <c r="A1239" s="107">
        <v>1721</v>
      </c>
      <c r="B1239" s="107" t="s">
        <v>192</v>
      </c>
      <c r="C1239" s="107" t="s">
        <v>268</v>
      </c>
      <c r="D1239" s="25">
        <v>8</v>
      </c>
      <c r="E1239" s="107" t="s">
        <v>193</v>
      </c>
      <c r="F1239" s="107" t="s">
        <v>552</v>
      </c>
      <c r="G1239" s="107">
        <v>7</v>
      </c>
      <c r="H1239" s="107">
        <v>16</v>
      </c>
      <c r="I1239" s="107">
        <v>8</v>
      </c>
      <c r="J1239" s="107">
        <f t="shared" si="19"/>
        <v>0.97812500000000002</v>
      </c>
      <c r="K1239" s="107">
        <v>5753</v>
      </c>
    </row>
    <row r="1240" spans="1:11" x14ac:dyDescent="0.15">
      <c r="A1240" s="107">
        <v>1722</v>
      </c>
      <c r="B1240" s="107" t="s">
        <v>260</v>
      </c>
      <c r="C1240" s="107" t="s">
        <v>268</v>
      </c>
      <c r="D1240" s="25">
        <v>16</v>
      </c>
      <c r="E1240" s="107" t="s">
        <v>193</v>
      </c>
      <c r="F1240" s="107" t="s">
        <v>552</v>
      </c>
      <c r="G1240" s="107">
        <v>15</v>
      </c>
      <c r="H1240" s="107">
        <v>13</v>
      </c>
      <c r="I1240" s="107">
        <v>0</v>
      </c>
      <c r="J1240" s="107">
        <f t="shared" si="19"/>
        <v>0.97812500000000002</v>
      </c>
      <c r="K1240" s="107">
        <v>5772</v>
      </c>
    </row>
    <row r="1241" spans="1:11" x14ac:dyDescent="0.15">
      <c r="A1241" s="107">
        <v>1723</v>
      </c>
      <c r="B1241" s="107" t="s">
        <v>236</v>
      </c>
      <c r="C1241" s="107" t="s">
        <v>268</v>
      </c>
      <c r="D1241" s="25">
        <v>12</v>
      </c>
      <c r="E1241" s="107" t="s">
        <v>193</v>
      </c>
      <c r="F1241" s="107" t="s">
        <v>552</v>
      </c>
      <c r="G1241" s="107">
        <v>10</v>
      </c>
      <c r="H1241" s="107">
        <v>16</v>
      </c>
      <c r="I1241" s="107">
        <v>0</v>
      </c>
      <c r="J1241" s="107">
        <f t="shared" si="19"/>
        <v>0.9</v>
      </c>
      <c r="K1241" s="107">
        <v>6808</v>
      </c>
    </row>
    <row r="1242" spans="1:11" x14ac:dyDescent="0.15">
      <c r="A1242" s="107">
        <v>1724</v>
      </c>
      <c r="B1242" s="107" t="s">
        <v>197</v>
      </c>
      <c r="C1242" s="107" t="s">
        <v>268</v>
      </c>
      <c r="D1242" s="25">
        <v>45</v>
      </c>
      <c r="E1242" s="107" t="s">
        <v>193</v>
      </c>
      <c r="F1242" s="107" t="s">
        <v>552</v>
      </c>
      <c r="G1242" s="107">
        <v>40</v>
      </c>
      <c r="H1242" s="107">
        <v>7</v>
      </c>
      <c r="I1242" s="107">
        <v>0</v>
      </c>
      <c r="J1242" s="107">
        <f t="shared" si="19"/>
        <v>0.89666666666666672</v>
      </c>
      <c r="K1242" s="107">
        <v>6807</v>
      </c>
    </row>
    <row r="1243" spans="1:11" x14ac:dyDescent="0.15">
      <c r="A1243" s="107">
        <v>1725</v>
      </c>
      <c r="B1243" s="107" t="s">
        <v>200</v>
      </c>
      <c r="C1243" s="107" t="s">
        <v>268</v>
      </c>
      <c r="D1243" s="25">
        <v>30</v>
      </c>
      <c r="E1243" s="107" t="s">
        <v>193</v>
      </c>
      <c r="F1243" s="107" t="s">
        <v>552</v>
      </c>
      <c r="G1243" s="107">
        <v>26</v>
      </c>
      <c r="H1243" s="107">
        <v>18</v>
      </c>
      <c r="I1243" s="107">
        <v>0</v>
      </c>
      <c r="J1243" s="107">
        <f t="shared" si="19"/>
        <v>0.89666666666666661</v>
      </c>
      <c r="K1243" s="107">
        <v>5838</v>
      </c>
    </row>
    <row r="1244" spans="1:11" x14ac:dyDescent="0.15">
      <c r="A1244" s="107">
        <v>1726</v>
      </c>
      <c r="B1244" s="107" t="s">
        <v>261</v>
      </c>
      <c r="C1244" s="107" t="s">
        <v>268</v>
      </c>
      <c r="D1244" s="25">
        <v>25</v>
      </c>
      <c r="E1244" s="107" t="s">
        <v>193</v>
      </c>
      <c r="F1244" s="107" t="s">
        <v>552</v>
      </c>
      <c r="G1244" s="107">
        <v>22</v>
      </c>
      <c r="H1244" s="107">
        <v>19</v>
      </c>
      <c r="I1244" s="107">
        <v>8</v>
      </c>
      <c r="J1244" s="107">
        <f t="shared" si="19"/>
        <v>0.91899999999999993</v>
      </c>
      <c r="K1244" s="107">
        <v>5855</v>
      </c>
    </row>
    <row r="1245" spans="1:11" x14ac:dyDescent="0.15">
      <c r="A1245" s="107">
        <v>1727</v>
      </c>
      <c r="B1245" s="107" t="s">
        <v>192</v>
      </c>
      <c r="C1245" s="107" t="s">
        <v>268</v>
      </c>
      <c r="D1245" s="25">
        <v>14</v>
      </c>
      <c r="E1245" s="107" t="s">
        <v>193</v>
      </c>
      <c r="F1245" s="107" t="s">
        <v>552</v>
      </c>
      <c r="G1245" s="107">
        <v>13</v>
      </c>
      <c r="H1245" s="107">
        <v>1</v>
      </c>
      <c r="I1245" s="107">
        <v>8</v>
      </c>
      <c r="J1245" s="107">
        <f t="shared" si="19"/>
        <v>0.93392857142857155</v>
      </c>
      <c r="K1245" s="107">
        <v>5871</v>
      </c>
    </row>
    <row r="1246" spans="1:11" x14ac:dyDescent="0.15">
      <c r="A1246" s="107">
        <v>1728</v>
      </c>
      <c r="B1246" s="107" t="s">
        <v>186</v>
      </c>
      <c r="C1246" s="107" t="s">
        <v>268</v>
      </c>
      <c r="D1246" s="25">
        <v>10</v>
      </c>
      <c r="E1246" s="107" t="s">
        <v>193</v>
      </c>
      <c r="F1246" s="107" t="s">
        <v>552</v>
      </c>
      <c r="G1246" s="107">
        <v>9</v>
      </c>
      <c r="H1246" s="107">
        <v>7</v>
      </c>
      <c r="I1246" s="107">
        <v>0</v>
      </c>
      <c r="J1246" s="107">
        <f t="shared" si="19"/>
        <v>0.93499999999999994</v>
      </c>
      <c r="K1246" s="107">
        <v>5900</v>
      </c>
    </row>
    <row r="1247" spans="1:11" x14ac:dyDescent="0.15">
      <c r="A1247" s="107">
        <v>1730</v>
      </c>
      <c r="B1247" s="107" t="s">
        <v>226</v>
      </c>
      <c r="C1247" s="107" t="s">
        <v>268</v>
      </c>
      <c r="D1247" s="25">
        <v>1</v>
      </c>
      <c r="E1247" s="107" t="s">
        <v>193</v>
      </c>
      <c r="F1247" s="107" t="s">
        <v>552</v>
      </c>
      <c r="G1247" s="107">
        <v>0</v>
      </c>
      <c r="H1247" s="107">
        <v>19</v>
      </c>
      <c r="I1247" s="107">
        <v>0</v>
      </c>
      <c r="J1247" s="107">
        <f t="shared" si="19"/>
        <v>0.95</v>
      </c>
      <c r="K1247" s="107">
        <v>5935</v>
      </c>
    </row>
    <row r="1248" spans="1:11" x14ac:dyDescent="0.15">
      <c r="A1248" s="107">
        <v>1731</v>
      </c>
      <c r="B1248" s="107" t="s">
        <v>261</v>
      </c>
      <c r="C1248" s="107" t="s">
        <v>268</v>
      </c>
      <c r="D1248" s="25">
        <v>8</v>
      </c>
      <c r="E1248" s="107" t="s">
        <v>193</v>
      </c>
      <c r="F1248" s="107" t="s">
        <v>552</v>
      </c>
      <c r="G1248" s="107">
        <v>7</v>
      </c>
      <c r="H1248" s="107">
        <v>7</v>
      </c>
      <c r="I1248" s="107">
        <v>8</v>
      </c>
      <c r="J1248" s="107">
        <f t="shared" si="19"/>
        <v>0.921875</v>
      </c>
      <c r="K1248" s="107">
        <v>5938</v>
      </c>
    </row>
    <row r="1249" spans="1:11" x14ac:dyDescent="0.15">
      <c r="A1249" s="107">
        <v>1732</v>
      </c>
      <c r="B1249" s="107" t="s">
        <v>186</v>
      </c>
      <c r="C1249" s="107" t="s">
        <v>268</v>
      </c>
      <c r="D1249" s="25">
        <v>11</v>
      </c>
      <c r="E1249" s="107" t="s">
        <v>193</v>
      </c>
      <c r="F1249" s="107" t="s">
        <v>552</v>
      </c>
      <c r="G1249" s="107">
        <v>10</v>
      </c>
      <c r="H1249" s="107">
        <v>3</v>
      </c>
      <c r="I1249" s="107">
        <v>0</v>
      </c>
      <c r="J1249" s="107">
        <f t="shared" si="19"/>
        <v>0.92272727272727273</v>
      </c>
      <c r="K1249" s="107">
        <v>5957</v>
      </c>
    </row>
    <row r="1250" spans="1:11" x14ac:dyDescent="0.15">
      <c r="A1250" s="107">
        <v>1733</v>
      </c>
      <c r="B1250" s="107" t="s">
        <v>253</v>
      </c>
      <c r="C1250" s="107" t="s">
        <v>268</v>
      </c>
      <c r="D1250" s="25">
        <v>31</v>
      </c>
      <c r="E1250" s="107" t="s">
        <v>193</v>
      </c>
      <c r="F1250" s="107" t="s">
        <v>552</v>
      </c>
      <c r="G1250" s="107">
        <v>28</v>
      </c>
      <c r="H1250" s="107">
        <v>11</v>
      </c>
      <c r="I1250" s="107">
        <v>8</v>
      </c>
      <c r="J1250" s="107">
        <f t="shared" si="19"/>
        <v>0.92177419354838708</v>
      </c>
      <c r="K1250" s="107">
        <v>5956</v>
      </c>
    </row>
    <row r="1251" spans="1:11" x14ac:dyDescent="0.15">
      <c r="A1251" s="107">
        <v>1734</v>
      </c>
      <c r="B1251" s="107" t="s">
        <v>196</v>
      </c>
      <c r="C1251" s="107" t="s">
        <v>268</v>
      </c>
      <c r="D1251" s="25">
        <v>8</v>
      </c>
      <c r="E1251" s="107" t="s">
        <v>193</v>
      </c>
      <c r="F1251" s="107" t="s">
        <v>552</v>
      </c>
      <c r="G1251" s="107">
        <v>7</v>
      </c>
      <c r="H1251" s="107">
        <v>7</v>
      </c>
      <c r="I1251" s="107">
        <v>8</v>
      </c>
      <c r="J1251" s="107">
        <f t="shared" si="19"/>
        <v>0.921875</v>
      </c>
      <c r="K1251" s="107">
        <v>5981</v>
      </c>
    </row>
    <row r="1252" spans="1:11" x14ac:dyDescent="0.15">
      <c r="A1252" s="107">
        <v>1734</v>
      </c>
      <c r="B1252" s="107" t="s">
        <v>196</v>
      </c>
      <c r="C1252" s="107" t="s">
        <v>268</v>
      </c>
      <c r="D1252" s="25">
        <v>8</v>
      </c>
      <c r="E1252" s="107" t="s">
        <v>193</v>
      </c>
      <c r="F1252" s="107" t="s">
        <v>552</v>
      </c>
      <c r="G1252" s="107">
        <v>7</v>
      </c>
      <c r="H1252" s="107">
        <v>7</v>
      </c>
      <c r="I1252" s="107">
        <v>8</v>
      </c>
      <c r="J1252" s="107">
        <f t="shared" si="19"/>
        <v>0.921875</v>
      </c>
      <c r="K1252" s="107">
        <v>5981</v>
      </c>
    </row>
    <row r="1253" spans="1:11" x14ac:dyDescent="0.15">
      <c r="A1253" s="107">
        <v>1735</v>
      </c>
      <c r="B1253" s="107" t="s">
        <v>244</v>
      </c>
      <c r="C1253" s="107" t="s">
        <v>268</v>
      </c>
      <c r="D1253" s="25">
        <v>6</v>
      </c>
      <c r="E1253" s="107" t="s">
        <v>193</v>
      </c>
      <c r="F1253" s="107" t="s">
        <v>552</v>
      </c>
      <c r="G1253" s="107">
        <v>5</v>
      </c>
      <c r="H1253" s="107">
        <v>8</v>
      </c>
      <c r="I1253" s="107">
        <v>8</v>
      </c>
      <c r="J1253" s="107">
        <f t="shared" si="19"/>
        <v>0.90416666666666679</v>
      </c>
      <c r="K1253" s="107">
        <v>6015</v>
      </c>
    </row>
    <row r="1254" spans="1:11" x14ac:dyDescent="0.15">
      <c r="A1254" s="107">
        <v>1737</v>
      </c>
      <c r="B1254" s="107" t="s">
        <v>226</v>
      </c>
      <c r="C1254" s="107" t="s">
        <v>268</v>
      </c>
      <c r="D1254" s="25">
        <v>24</v>
      </c>
      <c r="E1254" s="107" t="s">
        <v>193</v>
      </c>
      <c r="F1254" s="107" t="s">
        <v>552</v>
      </c>
      <c r="G1254" s="107">
        <v>21</v>
      </c>
      <c r="H1254" s="107">
        <v>16</v>
      </c>
      <c r="I1254" s="107">
        <v>8</v>
      </c>
      <c r="J1254" s="107">
        <f t="shared" si="19"/>
        <v>0.90937499999999993</v>
      </c>
      <c r="K1254" s="107">
        <v>6035</v>
      </c>
    </row>
    <row r="1255" spans="1:11" x14ac:dyDescent="0.15">
      <c r="A1255" s="107">
        <v>1738</v>
      </c>
      <c r="B1255" s="107" t="s">
        <v>196</v>
      </c>
      <c r="C1255" s="107" t="s">
        <v>268</v>
      </c>
      <c r="D1255" s="25">
        <v>10</v>
      </c>
      <c r="E1255" s="107" t="s">
        <v>193</v>
      </c>
      <c r="F1255" s="107" t="s">
        <v>552</v>
      </c>
      <c r="G1255" s="107">
        <v>8</v>
      </c>
      <c r="H1255" s="107">
        <v>19</v>
      </c>
      <c r="I1255" s="107">
        <v>0</v>
      </c>
      <c r="J1255" s="107">
        <f t="shared" si="19"/>
        <v>0.89499999999999991</v>
      </c>
      <c r="K1255" s="107">
        <v>6060</v>
      </c>
    </row>
    <row r="1256" spans="1:11" x14ac:dyDescent="0.15">
      <c r="A1256" s="107">
        <v>1739</v>
      </c>
      <c r="B1256" s="107" t="s">
        <v>226</v>
      </c>
      <c r="C1256" s="107" t="s">
        <v>268</v>
      </c>
      <c r="D1256" s="25">
        <v>18</v>
      </c>
      <c r="E1256" s="107" t="s">
        <v>193</v>
      </c>
      <c r="F1256" s="107" t="s">
        <v>552</v>
      </c>
      <c r="G1256" s="107">
        <v>15</v>
      </c>
      <c r="H1256" s="107">
        <v>17</v>
      </c>
      <c r="I1256" s="107">
        <v>0</v>
      </c>
      <c r="J1256" s="107">
        <f t="shared" si="19"/>
        <v>0.88055555555555554</v>
      </c>
      <c r="K1256" s="107">
        <v>6089</v>
      </c>
    </row>
    <row r="1257" spans="1:11" x14ac:dyDescent="0.15">
      <c r="A1257" s="107">
        <v>1740</v>
      </c>
      <c r="B1257" s="107" t="s">
        <v>197</v>
      </c>
      <c r="C1257" s="107" t="s">
        <v>268</v>
      </c>
      <c r="D1257" s="25">
        <v>5</v>
      </c>
      <c r="E1257" s="107" t="s">
        <v>193</v>
      </c>
      <c r="F1257" s="107" t="s">
        <v>552</v>
      </c>
      <c r="G1257" s="107">
        <v>4</v>
      </c>
      <c r="H1257" s="107">
        <v>8</v>
      </c>
      <c r="I1257" s="107">
        <v>0</v>
      </c>
      <c r="J1257" s="107">
        <f t="shared" si="19"/>
        <v>0.88000000000000012</v>
      </c>
      <c r="K1257" s="107">
        <v>6098</v>
      </c>
    </row>
    <row r="1258" spans="1:11" x14ac:dyDescent="0.15">
      <c r="A1258" s="107">
        <v>1741</v>
      </c>
      <c r="B1258" s="107" t="s">
        <v>196</v>
      </c>
      <c r="C1258" s="107" t="s">
        <v>268</v>
      </c>
      <c r="D1258" s="25">
        <v>6</v>
      </c>
      <c r="E1258" s="107" t="s">
        <v>193</v>
      </c>
      <c r="F1258" s="107" t="s">
        <v>552</v>
      </c>
      <c r="G1258" s="107">
        <v>5</v>
      </c>
      <c r="H1258" s="107">
        <v>6</v>
      </c>
      <c r="I1258" s="107">
        <v>0</v>
      </c>
      <c r="J1258" s="107">
        <f t="shared" si="19"/>
        <v>0.8833333333333333</v>
      </c>
      <c r="K1258" s="107">
        <v>6115</v>
      </c>
    </row>
    <row r="1259" spans="1:11" x14ac:dyDescent="0.15">
      <c r="A1259" s="107">
        <v>1744</v>
      </c>
      <c r="B1259" s="107" t="s">
        <v>253</v>
      </c>
      <c r="C1259" s="107" t="s">
        <v>268</v>
      </c>
      <c r="D1259" s="25">
        <v>76</v>
      </c>
      <c r="E1259" s="107" t="s">
        <v>193</v>
      </c>
      <c r="F1259" s="107" t="s">
        <v>552</v>
      </c>
      <c r="G1259" s="107">
        <v>51</v>
      </c>
      <c r="H1259" s="107">
        <v>11</v>
      </c>
      <c r="I1259" s="107">
        <v>0</v>
      </c>
      <c r="J1259" s="107">
        <f t="shared" si="19"/>
        <v>0.67828947368421044</v>
      </c>
      <c r="K1259" s="107">
        <v>6160</v>
      </c>
    </row>
    <row r="1260" spans="1:11" x14ac:dyDescent="0.15">
      <c r="A1260" s="107">
        <v>1745</v>
      </c>
      <c r="B1260" s="107" t="s">
        <v>261</v>
      </c>
      <c r="C1260" s="107" t="s">
        <v>268</v>
      </c>
      <c r="D1260" s="25">
        <v>28</v>
      </c>
      <c r="E1260" s="107" t="s">
        <v>193</v>
      </c>
      <c r="F1260" s="107" t="s">
        <v>552</v>
      </c>
      <c r="G1260" s="107">
        <v>18</v>
      </c>
      <c r="H1260" s="107">
        <v>13</v>
      </c>
      <c r="I1260" s="107">
        <v>0</v>
      </c>
      <c r="J1260" s="107">
        <f t="shared" si="19"/>
        <v>0.66607142857142854</v>
      </c>
      <c r="K1260" s="107">
        <v>6176</v>
      </c>
    </row>
    <row r="1261" spans="1:11" x14ac:dyDescent="0.15">
      <c r="A1261" s="107">
        <v>1747</v>
      </c>
      <c r="B1261" s="107" t="s">
        <v>247</v>
      </c>
      <c r="C1261" s="107" t="s">
        <v>268</v>
      </c>
      <c r="D1261" s="25">
        <v>10</v>
      </c>
      <c r="E1261" s="107" t="s">
        <v>193</v>
      </c>
      <c r="F1261" s="107" t="s">
        <v>552</v>
      </c>
      <c r="G1261" s="107">
        <v>6</v>
      </c>
      <c r="H1261" s="107">
        <v>12</v>
      </c>
      <c r="I1261" s="107">
        <v>0</v>
      </c>
      <c r="J1261" s="107">
        <f t="shared" si="19"/>
        <v>0.65999999999999992</v>
      </c>
      <c r="K1261" s="107">
        <v>6207</v>
      </c>
    </row>
    <row r="1262" spans="1:11" x14ac:dyDescent="0.15">
      <c r="A1262" s="107">
        <v>1749</v>
      </c>
      <c r="B1262" s="107" t="s">
        <v>253</v>
      </c>
      <c r="C1262" s="107" t="s">
        <v>268</v>
      </c>
      <c r="D1262" s="25">
        <v>6</v>
      </c>
      <c r="E1262" s="107" t="s">
        <v>193</v>
      </c>
      <c r="F1262" s="107" t="s">
        <v>552</v>
      </c>
      <c r="G1262" s="107">
        <v>3</v>
      </c>
      <c r="H1262" s="107">
        <v>18</v>
      </c>
      <c r="I1262" s="107">
        <v>0</v>
      </c>
      <c r="J1262" s="107">
        <f t="shared" si="19"/>
        <v>0.65</v>
      </c>
      <c r="K1262" s="107">
        <v>6233</v>
      </c>
    </row>
    <row r="1263" spans="1:11" x14ac:dyDescent="0.15">
      <c r="A1263" s="107">
        <v>1750</v>
      </c>
      <c r="B1263" s="107" t="s">
        <v>197</v>
      </c>
      <c r="C1263" s="107" t="s">
        <v>268</v>
      </c>
      <c r="D1263" s="25">
        <v>6</v>
      </c>
      <c r="E1263" s="107" t="s">
        <v>193</v>
      </c>
      <c r="F1263" s="107" t="s">
        <v>552</v>
      </c>
      <c r="G1263" s="107">
        <v>3</v>
      </c>
      <c r="H1263" s="107">
        <v>18</v>
      </c>
      <c r="I1263" s="107">
        <v>0</v>
      </c>
      <c r="J1263" s="107">
        <f t="shared" si="19"/>
        <v>0.65</v>
      </c>
      <c r="K1263" s="107">
        <v>6254</v>
      </c>
    </row>
    <row r="1264" spans="1:11" x14ac:dyDescent="0.15">
      <c r="A1264" s="107">
        <v>1751</v>
      </c>
      <c r="B1264" s="107" t="s">
        <v>196</v>
      </c>
      <c r="C1264" s="107" t="s">
        <v>268</v>
      </c>
      <c r="D1264" s="25">
        <v>8</v>
      </c>
      <c r="E1264" s="107" t="s">
        <v>193</v>
      </c>
      <c r="F1264" s="107" t="s">
        <v>552</v>
      </c>
      <c r="G1264" s="107">
        <v>5</v>
      </c>
      <c r="H1264" s="107">
        <v>4</v>
      </c>
      <c r="I1264" s="107">
        <v>8</v>
      </c>
      <c r="J1264" s="107">
        <f t="shared" ref="J1264:J1327" si="20">(G1264+H1264/20+I1264/320)/D1264</f>
        <v>0.65312500000000007</v>
      </c>
      <c r="K1264" s="107">
        <v>6270</v>
      </c>
    </row>
    <row r="1265" spans="1:11" x14ac:dyDescent="0.15">
      <c r="A1265" s="107">
        <v>1752</v>
      </c>
      <c r="B1265" s="107" t="s">
        <v>260</v>
      </c>
      <c r="C1265" s="107" t="s">
        <v>268</v>
      </c>
      <c r="D1265" s="25">
        <v>76</v>
      </c>
      <c r="E1265" s="107" t="s">
        <v>193</v>
      </c>
      <c r="F1265" s="107" t="s">
        <v>552</v>
      </c>
      <c r="G1265" s="107">
        <v>23</v>
      </c>
      <c r="H1265" s="107">
        <v>12</v>
      </c>
      <c r="I1265" s="107">
        <v>8</v>
      </c>
      <c r="J1265" s="107">
        <f t="shared" si="20"/>
        <v>0.31085526315789475</v>
      </c>
      <c r="K1265" s="107">
        <v>6286</v>
      </c>
    </row>
    <row r="1266" spans="1:11" x14ac:dyDescent="0.15">
      <c r="A1266" s="107">
        <v>1753</v>
      </c>
      <c r="B1266" s="107" t="s">
        <v>196</v>
      </c>
      <c r="C1266" s="107" t="s">
        <v>268</v>
      </c>
      <c r="D1266" s="25">
        <v>16</v>
      </c>
      <c r="E1266" s="107" t="s">
        <v>193</v>
      </c>
      <c r="F1266" s="107" t="s">
        <v>552</v>
      </c>
      <c r="G1266" s="107">
        <v>10</v>
      </c>
      <c r="H1266" s="107">
        <v>13</v>
      </c>
      <c r="I1266" s="107">
        <v>0</v>
      </c>
      <c r="J1266" s="107">
        <f t="shared" si="20"/>
        <v>0.66562500000000002</v>
      </c>
      <c r="K1266" s="107">
        <v>6303</v>
      </c>
    </row>
    <row r="1267" spans="1:11" x14ac:dyDescent="0.15">
      <c r="A1267" s="107">
        <v>1754</v>
      </c>
      <c r="B1267" s="107" t="s">
        <v>196</v>
      </c>
      <c r="C1267" s="107" t="s">
        <v>268</v>
      </c>
      <c r="D1267" s="25">
        <v>30</v>
      </c>
      <c r="E1267" s="107" t="s">
        <v>193</v>
      </c>
      <c r="F1267" s="107" t="s">
        <v>552</v>
      </c>
      <c r="G1267" s="107">
        <v>19</v>
      </c>
      <c r="H1267" s="107">
        <v>19</v>
      </c>
      <c r="I1267" s="107">
        <v>8</v>
      </c>
      <c r="J1267" s="107">
        <f t="shared" si="20"/>
        <v>0.66583333333333328</v>
      </c>
      <c r="K1267" s="107">
        <v>6314</v>
      </c>
    </row>
    <row r="1268" spans="1:11" x14ac:dyDescent="0.15">
      <c r="A1268" s="107">
        <v>1756</v>
      </c>
      <c r="B1268" s="107" t="s">
        <v>197</v>
      </c>
      <c r="C1268" s="107" t="s">
        <v>268</v>
      </c>
      <c r="D1268" s="25">
        <v>5</v>
      </c>
      <c r="E1268" s="107" t="s">
        <v>193</v>
      </c>
      <c r="F1268" s="107" t="s">
        <v>552</v>
      </c>
      <c r="G1268" s="107">
        <v>3</v>
      </c>
      <c r="H1268" s="107">
        <v>7</v>
      </c>
      <c r="I1268" s="107">
        <v>0</v>
      </c>
      <c r="J1268" s="107">
        <f t="shared" si="20"/>
        <v>0.67</v>
      </c>
      <c r="K1268" s="107">
        <v>6333</v>
      </c>
    </row>
    <row r="1269" spans="1:11" x14ac:dyDescent="0.15">
      <c r="A1269" s="107">
        <v>1757</v>
      </c>
      <c r="B1269" s="107" t="s">
        <v>186</v>
      </c>
      <c r="C1269" s="107" t="s">
        <v>268</v>
      </c>
      <c r="D1269" s="25">
        <v>5</v>
      </c>
      <c r="E1269" s="107" t="s">
        <v>193</v>
      </c>
      <c r="F1269" s="107" t="s">
        <v>552</v>
      </c>
      <c r="G1269" s="107">
        <v>3</v>
      </c>
      <c r="H1269" s="107">
        <v>6</v>
      </c>
      <c r="I1269" s="107">
        <v>8</v>
      </c>
      <c r="J1269" s="107">
        <f t="shared" si="20"/>
        <v>0.66499999999999992</v>
      </c>
      <c r="K1269" s="107">
        <v>6354</v>
      </c>
    </row>
    <row r="1270" spans="1:11" x14ac:dyDescent="0.15">
      <c r="A1270" s="107">
        <v>1759</v>
      </c>
      <c r="B1270" s="107" t="s">
        <v>261</v>
      </c>
      <c r="C1270" s="107" t="s">
        <v>268</v>
      </c>
      <c r="D1270" s="25">
        <v>7</v>
      </c>
      <c r="E1270" s="107" t="s">
        <v>193</v>
      </c>
      <c r="F1270" s="107" t="s">
        <v>552</v>
      </c>
      <c r="G1270" s="107">
        <v>4</v>
      </c>
      <c r="H1270" s="107">
        <v>12</v>
      </c>
      <c r="I1270" s="107">
        <v>0</v>
      </c>
      <c r="J1270" s="107">
        <f t="shared" si="20"/>
        <v>0.65714285714285714</v>
      </c>
      <c r="K1270" s="107">
        <v>6364</v>
      </c>
    </row>
    <row r="1271" spans="1:11" x14ac:dyDescent="0.15">
      <c r="A1271" s="107">
        <v>1760</v>
      </c>
      <c r="B1271" s="107" t="s">
        <v>253</v>
      </c>
      <c r="C1271" s="107" t="s">
        <v>268</v>
      </c>
      <c r="D1271" s="25">
        <v>22</v>
      </c>
      <c r="E1271" s="107" t="s">
        <v>193</v>
      </c>
      <c r="F1271" s="107" t="s">
        <v>552</v>
      </c>
      <c r="G1271" s="107">
        <v>14</v>
      </c>
      <c r="H1271" s="107">
        <v>9</v>
      </c>
      <c r="I1271" s="107">
        <v>0</v>
      </c>
      <c r="J1271" s="107">
        <f t="shared" si="20"/>
        <v>0.65681818181818175</v>
      </c>
      <c r="K1271" s="107">
        <v>6387</v>
      </c>
    </row>
    <row r="1272" spans="1:11" x14ac:dyDescent="0.15">
      <c r="A1272" s="107">
        <v>1760</v>
      </c>
      <c r="B1272" s="107" t="s">
        <v>244</v>
      </c>
      <c r="C1272" s="107" t="s">
        <v>268</v>
      </c>
      <c r="D1272" s="25">
        <v>19</v>
      </c>
      <c r="E1272" s="107" t="s">
        <v>193</v>
      </c>
      <c r="F1272" s="107" t="s">
        <v>552</v>
      </c>
      <c r="G1272" s="107">
        <v>12</v>
      </c>
      <c r="H1272" s="107">
        <v>9</v>
      </c>
      <c r="I1272" s="107">
        <v>8</v>
      </c>
      <c r="J1272" s="107">
        <f t="shared" si="20"/>
        <v>0.65657894736842104</v>
      </c>
      <c r="K1272" s="107">
        <v>6374</v>
      </c>
    </row>
    <row r="1273" spans="1:11" x14ac:dyDescent="0.15">
      <c r="A1273" s="107">
        <v>1761</v>
      </c>
      <c r="B1273" s="107" t="s">
        <v>260</v>
      </c>
      <c r="C1273" s="107" t="s">
        <v>268</v>
      </c>
      <c r="D1273" s="25">
        <v>8</v>
      </c>
      <c r="E1273" s="107" t="s">
        <v>193</v>
      </c>
      <c r="F1273" s="107" t="s">
        <v>552</v>
      </c>
      <c r="G1273" s="107">
        <v>5</v>
      </c>
      <c r="H1273" s="107">
        <v>5</v>
      </c>
      <c r="I1273" s="107">
        <v>0</v>
      </c>
      <c r="J1273" s="107">
        <f t="shared" si="20"/>
        <v>0.65625</v>
      </c>
      <c r="K1273" s="107">
        <v>6394</v>
      </c>
    </row>
    <row r="1274" spans="1:11" x14ac:dyDescent="0.15">
      <c r="A1274" s="107">
        <v>1761</v>
      </c>
      <c r="B1274" s="107" t="s">
        <v>260</v>
      </c>
      <c r="C1274" s="107" t="s">
        <v>268</v>
      </c>
      <c r="D1274" s="25">
        <v>66</v>
      </c>
      <c r="E1274" s="107" t="s">
        <v>193</v>
      </c>
      <c r="F1274" s="107" t="s">
        <v>552</v>
      </c>
      <c r="G1274" s="107">
        <v>43</v>
      </c>
      <c r="H1274" s="107">
        <v>6</v>
      </c>
      <c r="I1274" s="107">
        <v>0</v>
      </c>
      <c r="J1274" s="107">
        <f t="shared" si="20"/>
        <v>0.65606060606060601</v>
      </c>
      <c r="K1274" s="107">
        <v>6388</v>
      </c>
    </row>
    <row r="1275" spans="1:11" x14ac:dyDescent="0.15">
      <c r="A1275" s="107">
        <v>1761</v>
      </c>
      <c r="B1275" s="107" t="s">
        <v>261</v>
      </c>
      <c r="C1275" s="107" t="s">
        <v>268</v>
      </c>
      <c r="D1275" s="25">
        <v>29</v>
      </c>
      <c r="E1275" s="107" t="s">
        <v>193</v>
      </c>
      <c r="F1275" s="107" t="s">
        <v>552</v>
      </c>
      <c r="G1275" s="107">
        <v>19</v>
      </c>
      <c r="H1275" s="107">
        <v>0</v>
      </c>
      <c r="I1275" s="107">
        <v>8</v>
      </c>
      <c r="J1275" s="107">
        <f t="shared" si="20"/>
        <v>0.65603448275862064</v>
      </c>
      <c r="K1275" s="107">
        <v>6387</v>
      </c>
    </row>
    <row r="1276" spans="1:11" x14ac:dyDescent="0.15">
      <c r="A1276" s="107">
        <v>1762</v>
      </c>
      <c r="B1276" s="107" t="s">
        <v>261</v>
      </c>
      <c r="C1276" s="107" t="s">
        <v>268</v>
      </c>
      <c r="D1276" s="25">
        <v>12</v>
      </c>
      <c r="E1276" s="107" t="s">
        <v>193</v>
      </c>
      <c r="F1276" s="107" t="s">
        <v>552</v>
      </c>
      <c r="G1276" s="107">
        <v>7</v>
      </c>
      <c r="H1276" s="107">
        <v>18</v>
      </c>
      <c r="I1276" s="107">
        <v>0</v>
      </c>
      <c r="J1276" s="107">
        <f t="shared" si="20"/>
        <v>0.65833333333333333</v>
      </c>
      <c r="K1276" s="107">
        <v>6394</v>
      </c>
    </row>
    <row r="1277" spans="1:11" x14ac:dyDescent="0.15">
      <c r="A1277" s="107">
        <v>1763</v>
      </c>
      <c r="B1277" s="107" t="s">
        <v>244</v>
      </c>
      <c r="C1277" s="107" t="s">
        <v>268</v>
      </c>
      <c r="D1277" s="25">
        <v>15</v>
      </c>
      <c r="E1277" s="107" t="s">
        <v>193</v>
      </c>
      <c r="F1277" s="107" t="s">
        <v>552</v>
      </c>
      <c r="G1277" s="107">
        <v>9</v>
      </c>
      <c r="H1277" s="107">
        <v>17</v>
      </c>
      <c r="I1277" s="107">
        <v>0</v>
      </c>
      <c r="J1277" s="107">
        <f t="shared" si="20"/>
        <v>0.65666666666666662</v>
      </c>
      <c r="K1277" s="107">
        <v>6413</v>
      </c>
    </row>
    <row r="1278" spans="1:11" x14ac:dyDescent="0.15">
      <c r="A1278" s="107">
        <v>1763</v>
      </c>
      <c r="B1278" s="107" t="s">
        <v>197</v>
      </c>
      <c r="C1278" s="107" t="s">
        <v>268</v>
      </c>
      <c r="D1278" s="25">
        <v>9</v>
      </c>
      <c r="E1278" s="107" t="s">
        <v>193</v>
      </c>
      <c r="F1278" s="107" t="s">
        <v>552</v>
      </c>
      <c r="G1278" s="107">
        <v>5</v>
      </c>
      <c r="H1278" s="107">
        <v>18</v>
      </c>
      <c r="I1278" s="107">
        <v>0</v>
      </c>
      <c r="J1278" s="107">
        <f t="shared" si="20"/>
        <v>0.65555555555555556</v>
      </c>
      <c r="K1278" s="107">
        <v>6423</v>
      </c>
    </row>
    <row r="1279" spans="1:11" x14ac:dyDescent="0.15">
      <c r="A1279" s="107">
        <v>1764</v>
      </c>
      <c r="B1279" s="107" t="s">
        <v>261</v>
      </c>
      <c r="C1279" s="107" t="s">
        <v>268</v>
      </c>
      <c r="D1279" s="25">
        <v>59</v>
      </c>
      <c r="E1279" s="107" t="s">
        <v>193</v>
      </c>
      <c r="F1279" s="107" t="s">
        <v>552</v>
      </c>
      <c r="G1279" s="107">
        <v>39</v>
      </c>
      <c r="H1279" s="107">
        <v>13</v>
      </c>
      <c r="I1279" s="107">
        <v>0</v>
      </c>
      <c r="J1279" s="107">
        <f t="shared" si="20"/>
        <v>0.67203389830508475</v>
      </c>
      <c r="K1279" s="107">
        <v>6423</v>
      </c>
    </row>
    <row r="1280" spans="1:11" x14ac:dyDescent="0.15">
      <c r="A1280" s="107">
        <v>1765</v>
      </c>
      <c r="B1280" s="107" t="s">
        <v>196</v>
      </c>
      <c r="C1280" s="107" t="s">
        <v>268</v>
      </c>
      <c r="D1280" s="25">
        <v>14</v>
      </c>
      <c r="E1280" s="107" t="s">
        <v>193</v>
      </c>
      <c r="F1280" s="107" t="s">
        <v>552</v>
      </c>
      <c r="G1280" s="107">
        <v>9</v>
      </c>
      <c r="H1280" s="107">
        <v>8</v>
      </c>
      <c r="I1280" s="107">
        <v>0</v>
      </c>
      <c r="J1280" s="107">
        <f t="shared" si="20"/>
        <v>0.67142857142857149</v>
      </c>
      <c r="K1280" s="107">
        <v>6454</v>
      </c>
    </row>
    <row r="1281" spans="1:11" x14ac:dyDescent="0.15">
      <c r="A1281" s="107">
        <v>1766</v>
      </c>
      <c r="B1281" s="107" t="s">
        <v>261</v>
      </c>
      <c r="C1281" s="107" t="s">
        <v>268</v>
      </c>
      <c r="D1281" s="25">
        <v>5</v>
      </c>
      <c r="E1281" s="107" t="s">
        <v>193</v>
      </c>
      <c r="F1281" s="107" t="s">
        <v>552</v>
      </c>
      <c r="G1281" s="107">
        <v>3</v>
      </c>
      <c r="H1281" s="107">
        <v>9</v>
      </c>
      <c r="I1281" s="107">
        <v>0</v>
      </c>
      <c r="J1281" s="107">
        <f t="shared" si="20"/>
        <v>0.69000000000000006</v>
      </c>
      <c r="K1281" s="107">
        <v>6457</v>
      </c>
    </row>
    <row r="1282" spans="1:11" x14ac:dyDescent="0.15">
      <c r="A1282" s="107">
        <v>1767</v>
      </c>
      <c r="B1282" s="107" t="s">
        <v>197</v>
      </c>
      <c r="C1282" s="107" t="s">
        <v>268</v>
      </c>
      <c r="D1282" s="25">
        <v>31</v>
      </c>
      <c r="E1282" s="107" t="s">
        <v>193</v>
      </c>
      <c r="F1282" s="107" t="s">
        <v>552</v>
      </c>
      <c r="G1282" s="107">
        <v>21</v>
      </c>
      <c r="H1282" s="107">
        <v>6</v>
      </c>
      <c r="I1282" s="107">
        <v>0</v>
      </c>
      <c r="J1282" s="107">
        <f t="shared" si="20"/>
        <v>0.68709677419354842</v>
      </c>
      <c r="K1282" s="107">
        <v>6475</v>
      </c>
    </row>
    <row r="1283" spans="1:11" x14ac:dyDescent="0.15">
      <c r="A1283" s="107">
        <v>1768</v>
      </c>
      <c r="B1283" s="107" t="s">
        <v>260</v>
      </c>
      <c r="C1283" s="107" t="s">
        <v>268</v>
      </c>
      <c r="D1283" s="25">
        <v>65</v>
      </c>
      <c r="E1283" s="107" t="s">
        <v>193</v>
      </c>
      <c r="F1283" s="107" t="s">
        <v>552</v>
      </c>
      <c r="G1283" s="107">
        <v>45</v>
      </c>
      <c r="H1283" s="107">
        <v>18</v>
      </c>
      <c r="I1283" s="107">
        <v>0</v>
      </c>
      <c r="J1283" s="107">
        <f t="shared" si="20"/>
        <v>0.70615384615384613</v>
      </c>
      <c r="K1283" s="107">
        <v>6489</v>
      </c>
    </row>
    <row r="1284" spans="1:11" x14ac:dyDescent="0.15">
      <c r="A1284" s="107">
        <v>1769</v>
      </c>
      <c r="B1284" s="107" t="s">
        <v>260</v>
      </c>
      <c r="C1284" s="107" t="s">
        <v>268</v>
      </c>
      <c r="D1284" s="25">
        <v>28</v>
      </c>
      <c r="E1284" s="107" t="s">
        <v>193</v>
      </c>
      <c r="F1284" s="107" t="s">
        <v>552</v>
      </c>
      <c r="G1284" s="107">
        <v>19</v>
      </c>
      <c r="H1284" s="107">
        <v>19</v>
      </c>
      <c r="I1284" s="107">
        <v>0</v>
      </c>
      <c r="J1284" s="107">
        <f t="shared" si="20"/>
        <v>0.71250000000000002</v>
      </c>
      <c r="K1284" s="107">
        <v>6518</v>
      </c>
    </row>
    <row r="1285" spans="1:11" x14ac:dyDescent="0.15">
      <c r="A1285" s="107">
        <v>1770</v>
      </c>
      <c r="B1285" s="107" t="s">
        <v>200</v>
      </c>
      <c r="C1285" s="107" t="s">
        <v>268</v>
      </c>
      <c r="D1285" s="25">
        <v>39</v>
      </c>
      <c r="E1285" s="107" t="s">
        <v>193</v>
      </c>
      <c r="F1285" s="107" t="s">
        <v>552</v>
      </c>
      <c r="G1285" s="107">
        <v>27</v>
      </c>
      <c r="H1285" s="107">
        <v>6</v>
      </c>
      <c r="I1285" s="107">
        <v>0</v>
      </c>
      <c r="J1285" s="107">
        <f t="shared" si="20"/>
        <v>0.70000000000000007</v>
      </c>
      <c r="K1285" s="107">
        <v>6535</v>
      </c>
    </row>
    <row r="1286" spans="1:11" x14ac:dyDescent="0.15">
      <c r="A1286" s="107">
        <v>1772</v>
      </c>
      <c r="B1286" s="107" t="s">
        <v>197</v>
      </c>
      <c r="C1286" s="107" t="s">
        <v>268</v>
      </c>
      <c r="D1286" s="25">
        <v>63</v>
      </c>
      <c r="E1286" s="107" t="s">
        <v>193</v>
      </c>
      <c r="F1286" s="107" t="s">
        <v>552</v>
      </c>
      <c r="G1286" s="107">
        <v>43</v>
      </c>
      <c r="H1286" s="107">
        <v>18</v>
      </c>
      <c r="I1286" s="107">
        <v>0</v>
      </c>
      <c r="J1286" s="107">
        <f t="shared" si="20"/>
        <v>0.69682539682539679</v>
      </c>
      <c r="K1286" s="107">
        <v>6551</v>
      </c>
    </row>
    <row r="1287" spans="1:11" x14ac:dyDescent="0.15">
      <c r="A1287" s="107">
        <v>1774</v>
      </c>
      <c r="B1287" s="107" t="s">
        <v>260</v>
      </c>
      <c r="C1287" s="107" t="s">
        <v>268</v>
      </c>
      <c r="D1287" s="25">
        <v>19</v>
      </c>
      <c r="E1287" s="107" t="s">
        <v>193</v>
      </c>
      <c r="F1287" s="107" t="s">
        <v>552</v>
      </c>
      <c r="G1287" s="107">
        <v>12</v>
      </c>
      <c r="H1287" s="107">
        <v>12</v>
      </c>
      <c r="I1287" s="107">
        <v>0</v>
      </c>
      <c r="J1287" s="107">
        <f t="shared" si="20"/>
        <v>0.66315789473684206</v>
      </c>
      <c r="K1287" s="25">
        <v>6589</v>
      </c>
    </row>
    <row r="1288" spans="1:11" x14ac:dyDescent="0.15">
      <c r="A1288" s="107">
        <v>1775</v>
      </c>
      <c r="B1288" s="107" t="s">
        <v>196</v>
      </c>
      <c r="C1288" s="107" t="s">
        <v>268</v>
      </c>
      <c r="D1288" s="25">
        <v>17</v>
      </c>
      <c r="E1288" s="107" t="s">
        <v>193</v>
      </c>
      <c r="F1288" s="107" t="s">
        <v>552</v>
      </c>
      <c r="G1288" s="107">
        <v>11</v>
      </c>
      <c r="H1288" s="107">
        <v>6</v>
      </c>
      <c r="I1288" s="107">
        <v>8</v>
      </c>
      <c r="J1288" s="107">
        <f t="shared" si="20"/>
        <v>0.66617647058823537</v>
      </c>
      <c r="K1288" s="107">
        <v>6611</v>
      </c>
    </row>
    <row r="1289" spans="1:11" x14ac:dyDescent="0.15">
      <c r="A1289" s="107">
        <v>1776</v>
      </c>
      <c r="B1289" s="107" t="s">
        <v>253</v>
      </c>
      <c r="C1289" s="107" t="s">
        <v>268</v>
      </c>
      <c r="D1289" s="25">
        <v>27</v>
      </c>
      <c r="E1289" s="107" t="s">
        <v>193</v>
      </c>
      <c r="F1289" s="107" t="s">
        <v>552</v>
      </c>
      <c r="G1289" s="107">
        <v>15</v>
      </c>
      <c r="H1289" s="107">
        <v>14</v>
      </c>
      <c r="I1289" s="107">
        <v>0</v>
      </c>
      <c r="J1289" s="107">
        <f t="shared" si="20"/>
        <v>0.58148148148148149</v>
      </c>
      <c r="K1289" s="107">
        <v>6627</v>
      </c>
    </row>
    <row r="1290" spans="1:11" x14ac:dyDescent="0.15">
      <c r="A1290" s="107">
        <v>1777</v>
      </c>
      <c r="B1290" s="107" t="s">
        <v>253</v>
      </c>
      <c r="C1290" s="107" t="s">
        <v>268</v>
      </c>
      <c r="D1290" s="25">
        <v>36</v>
      </c>
      <c r="E1290" s="107" t="s">
        <v>193</v>
      </c>
      <c r="F1290" s="107" t="s">
        <v>552</v>
      </c>
      <c r="G1290" s="107">
        <v>22</v>
      </c>
      <c r="H1290" s="107">
        <v>19</v>
      </c>
      <c r="I1290" s="107">
        <v>0</v>
      </c>
      <c r="J1290" s="107">
        <f t="shared" si="20"/>
        <v>0.63749999999999996</v>
      </c>
      <c r="K1290" s="107">
        <v>6643</v>
      </c>
    </row>
    <row r="1291" spans="1:11" x14ac:dyDescent="0.15">
      <c r="A1291" s="107">
        <v>1778</v>
      </c>
      <c r="B1291" s="107" t="s">
        <v>192</v>
      </c>
      <c r="C1291" s="107" t="s">
        <v>268</v>
      </c>
      <c r="D1291" s="25">
        <v>39</v>
      </c>
      <c r="E1291" s="107" t="s">
        <v>193</v>
      </c>
      <c r="F1291" s="107" t="s">
        <v>552</v>
      </c>
      <c r="G1291" s="107">
        <v>23</v>
      </c>
      <c r="H1291" s="107">
        <v>18</v>
      </c>
      <c r="I1291" s="107">
        <v>0</v>
      </c>
      <c r="J1291" s="107">
        <f t="shared" si="20"/>
        <v>0.61282051282051275</v>
      </c>
      <c r="K1291" s="107">
        <v>6663</v>
      </c>
    </row>
    <row r="1292" spans="1:11" x14ac:dyDescent="0.15">
      <c r="A1292" s="107">
        <v>1779</v>
      </c>
      <c r="B1292" s="107" t="s">
        <v>260</v>
      </c>
      <c r="C1292" s="107" t="s">
        <v>268</v>
      </c>
      <c r="D1292" s="25">
        <v>24</v>
      </c>
      <c r="E1292" s="107" t="s">
        <v>193</v>
      </c>
      <c r="F1292" s="107" t="s">
        <v>552</v>
      </c>
      <c r="G1292" s="107">
        <v>15</v>
      </c>
      <c r="H1292" s="107">
        <v>9</v>
      </c>
      <c r="I1292" s="107">
        <v>0</v>
      </c>
      <c r="J1292" s="107">
        <f t="shared" si="20"/>
        <v>0.64374999999999993</v>
      </c>
      <c r="K1292" s="107">
        <v>6669</v>
      </c>
    </row>
    <row r="1293" spans="1:11" x14ac:dyDescent="0.15">
      <c r="A1293" s="107">
        <v>1780</v>
      </c>
      <c r="B1293" s="107" t="s">
        <v>196</v>
      </c>
      <c r="C1293" s="107" t="s">
        <v>268</v>
      </c>
      <c r="D1293" s="25">
        <v>20</v>
      </c>
      <c r="E1293" s="107" t="s">
        <v>193</v>
      </c>
      <c r="F1293" s="107" t="s">
        <v>552</v>
      </c>
      <c r="G1293" s="107">
        <v>12</v>
      </c>
      <c r="H1293" s="107">
        <v>5</v>
      </c>
      <c r="I1293" s="107">
        <v>0</v>
      </c>
      <c r="J1293" s="107">
        <f t="shared" si="20"/>
        <v>0.61250000000000004</v>
      </c>
      <c r="K1293" s="107">
        <v>6679</v>
      </c>
    </row>
    <row r="1294" spans="1:11" x14ac:dyDescent="0.15">
      <c r="A1294" s="107">
        <v>1783</v>
      </c>
      <c r="B1294" s="107" t="s">
        <v>236</v>
      </c>
      <c r="C1294" s="107" t="s">
        <v>268</v>
      </c>
      <c r="D1294" s="25">
        <v>106</v>
      </c>
      <c r="E1294" s="107" t="s">
        <v>193</v>
      </c>
      <c r="F1294" s="107" t="s">
        <v>552</v>
      </c>
      <c r="G1294" s="107">
        <v>63</v>
      </c>
      <c r="H1294" s="107">
        <v>18</v>
      </c>
      <c r="I1294" s="107">
        <v>8</v>
      </c>
      <c r="J1294" s="107">
        <f t="shared" si="20"/>
        <v>0.60306603773584899</v>
      </c>
      <c r="K1294" s="107">
        <v>6714</v>
      </c>
    </row>
    <row r="1295" spans="1:11" x14ac:dyDescent="0.15">
      <c r="A1295" s="107">
        <v>1785</v>
      </c>
      <c r="B1295" s="107" t="s">
        <v>186</v>
      </c>
      <c r="C1295" s="107" t="s">
        <v>268</v>
      </c>
      <c r="D1295" s="25">
        <v>59</v>
      </c>
      <c r="E1295" s="107" t="s">
        <v>193</v>
      </c>
      <c r="F1295" s="107" t="s">
        <v>552</v>
      </c>
      <c r="G1295" s="107">
        <v>34</v>
      </c>
      <c r="H1295" s="107">
        <v>17</v>
      </c>
      <c r="I1295" s="107">
        <v>0</v>
      </c>
      <c r="J1295" s="107">
        <f t="shared" si="20"/>
        <v>0.59067796610169498</v>
      </c>
      <c r="K1295" s="107">
        <v>6736</v>
      </c>
    </row>
    <row r="1296" spans="1:11" x14ac:dyDescent="0.15">
      <c r="A1296" s="107">
        <v>1786</v>
      </c>
      <c r="B1296" s="107" t="s">
        <v>261</v>
      </c>
      <c r="C1296" s="107" t="s">
        <v>268</v>
      </c>
      <c r="D1296" s="25">
        <v>26</v>
      </c>
      <c r="E1296" s="107" t="s">
        <v>193</v>
      </c>
      <c r="F1296" s="107" t="s">
        <v>552</v>
      </c>
      <c r="G1296" s="107">
        <v>19</v>
      </c>
      <c r="H1296" s="107">
        <v>2</v>
      </c>
      <c r="I1296" s="107">
        <v>8</v>
      </c>
      <c r="J1296" s="107">
        <f t="shared" si="20"/>
        <v>0.73557692307692313</v>
      </c>
      <c r="K1296" s="107">
        <v>6746</v>
      </c>
    </row>
    <row r="1297" spans="1:15" x14ac:dyDescent="0.15">
      <c r="A1297" s="107">
        <v>1787</v>
      </c>
      <c r="B1297" s="107" t="s">
        <v>197</v>
      </c>
      <c r="C1297" s="107" t="s">
        <v>268</v>
      </c>
      <c r="D1297" s="25">
        <v>128</v>
      </c>
      <c r="E1297" s="107" t="s">
        <v>193</v>
      </c>
      <c r="F1297" s="107" t="s">
        <v>552</v>
      </c>
      <c r="G1297" s="107">
        <v>77</v>
      </c>
      <c r="H1297" s="107">
        <v>12</v>
      </c>
      <c r="I1297" s="107">
        <v>0</v>
      </c>
      <c r="J1297" s="107">
        <f t="shared" si="20"/>
        <v>0.60624999999999996</v>
      </c>
      <c r="K1297" s="107">
        <v>6752</v>
      </c>
      <c r="L1297" s="107"/>
      <c r="M1297" s="107"/>
      <c r="N1297" s="107"/>
      <c r="O1297" s="107"/>
    </row>
    <row r="1298" spans="1:15" x14ac:dyDescent="0.15">
      <c r="A1298" s="107">
        <v>1789</v>
      </c>
      <c r="B1298" s="107" t="s">
        <v>226</v>
      </c>
      <c r="C1298" s="107" t="s">
        <v>268</v>
      </c>
      <c r="D1298" s="25">
        <v>27</v>
      </c>
      <c r="E1298" s="107" t="s">
        <v>193</v>
      </c>
      <c r="F1298" s="107" t="s">
        <v>552</v>
      </c>
      <c r="G1298" s="107">
        <v>16</v>
      </c>
      <c r="H1298" s="107">
        <v>9</v>
      </c>
      <c r="I1298" s="107">
        <v>0</v>
      </c>
      <c r="J1298" s="107">
        <f t="shared" si="20"/>
        <v>0.60925925925925928</v>
      </c>
      <c r="K1298" s="25">
        <v>6785</v>
      </c>
      <c r="L1298" s="107"/>
      <c r="M1298" s="107"/>
      <c r="N1298" s="107"/>
      <c r="O1298" s="107"/>
    </row>
    <row r="1299" spans="1:15" x14ac:dyDescent="0.15">
      <c r="A1299" s="107">
        <v>1790</v>
      </c>
      <c r="B1299" s="107" t="s">
        <v>196</v>
      </c>
      <c r="C1299" s="107" t="s">
        <v>268</v>
      </c>
      <c r="D1299" s="25">
        <v>12</v>
      </c>
      <c r="E1299" s="107" t="s">
        <v>193</v>
      </c>
      <c r="F1299" s="107" t="s">
        <v>552</v>
      </c>
      <c r="G1299" s="107">
        <v>7</v>
      </c>
      <c r="H1299" s="107">
        <v>18</v>
      </c>
      <c r="I1299" s="107">
        <v>0</v>
      </c>
      <c r="J1299" s="107">
        <f t="shared" si="20"/>
        <v>0.65833333333333333</v>
      </c>
      <c r="K1299" s="25">
        <v>6790</v>
      </c>
      <c r="L1299" s="107"/>
      <c r="M1299" s="107"/>
      <c r="N1299" s="107"/>
      <c r="O1299" s="107"/>
    </row>
    <row r="1300" spans="1:15" x14ac:dyDescent="0.15">
      <c r="A1300" s="107">
        <v>1792</v>
      </c>
      <c r="B1300" s="107" t="s">
        <v>196</v>
      </c>
      <c r="C1300" s="107" t="s">
        <v>268</v>
      </c>
      <c r="D1300" s="25">
        <v>3</v>
      </c>
      <c r="E1300" s="107" t="s">
        <v>193</v>
      </c>
      <c r="F1300" s="107" t="s">
        <v>552</v>
      </c>
      <c r="G1300" s="107">
        <v>1</v>
      </c>
      <c r="H1300" s="107">
        <v>12</v>
      </c>
      <c r="I1300" s="107">
        <v>8</v>
      </c>
      <c r="J1300" s="107">
        <f t="shared" si="20"/>
        <v>0.54166666666666663</v>
      </c>
      <c r="K1300" s="107">
        <v>6811</v>
      </c>
      <c r="L1300" s="107"/>
      <c r="M1300" s="107"/>
      <c r="N1300" s="107"/>
      <c r="O1300" s="107"/>
    </row>
    <row r="1301" spans="1:15" x14ac:dyDescent="0.15">
      <c r="A1301" s="107">
        <v>1793</v>
      </c>
      <c r="B1301" s="107" t="s">
        <v>192</v>
      </c>
      <c r="C1301" s="107" t="s">
        <v>268</v>
      </c>
      <c r="D1301" s="25">
        <v>4</v>
      </c>
      <c r="E1301" s="107" t="s">
        <v>193</v>
      </c>
      <c r="F1301" s="107" t="s">
        <v>552</v>
      </c>
      <c r="G1301" s="107">
        <v>2</v>
      </c>
      <c r="H1301" s="107">
        <v>7</v>
      </c>
      <c r="I1301" s="107">
        <v>8</v>
      </c>
      <c r="J1301" s="107">
        <f t="shared" si="20"/>
        <v>0.59375</v>
      </c>
      <c r="K1301" s="107">
        <v>6826</v>
      </c>
      <c r="L1301" s="107"/>
      <c r="M1301" s="107"/>
      <c r="N1301" s="107"/>
      <c r="O1301" s="107"/>
    </row>
    <row r="1302" spans="1:15" x14ac:dyDescent="0.15">
      <c r="A1302" s="107">
        <v>1793</v>
      </c>
      <c r="B1302" s="107" t="s">
        <v>247</v>
      </c>
      <c r="C1302" s="107" t="s">
        <v>270</v>
      </c>
      <c r="D1302" s="25">
        <v>3</v>
      </c>
      <c r="E1302" s="107" t="s">
        <v>193</v>
      </c>
      <c r="F1302" s="107" t="s">
        <v>552</v>
      </c>
      <c r="G1302" s="107">
        <v>1</v>
      </c>
      <c r="H1302" s="107">
        <v>15</v>
      </c>
      <c r="I1302" s="107">
        <v>8</v>
      </c>
      <c r="J1302" s="107">
        <f t="shared" si="20"/>
        <v>0.59166666666666667</v>
      </c>
      <c r="K1302" s="107">
        <v>6826</v>
      </c>
      <c r="L1302" s="107"/>
      <c r="M1302" s="107"/>
      <c r="N1302" s="107"/>
      <c r="O1302" s="107"/>
    </row>
    <row r="1303" spans="1:15" x14ac:dyDescent="0.15">
      <c r="A1303" s="107">
        <v>1794</v>
      </c>
      <c r="B1303" s="107" t="s">
        <v>260</v>
      </c>
      <c r="C1303" s="107" t="s">
        <v>270</v>
      </c>
      <c r="D1303" s="25">
        <v>6</v>
      </c>
      <c r="E1303" s="107" t="s">
        <v>193</v>
      </c>
      <c r="F1303" s="107" t="s">
        <v>552</v>
      </c>
      <c r="G1303" s="107">
        <v>3</v>
      </c>
      <c r="H1303" s="107">
        <v>11</v>
      </c>
      <c r="I1303" s="107">
        <v>8</v>
      </c>
      <c r="J1303" s="107">
        <f t="shared" si="20"/>
        <v>0.59583333333333333</v>
      </c>
      <c r="K1303" s="107">
        <v>6840</v>
      </c>
      <c r="L1303" s="107"/>
      <c r="M1303" s="107"/>
      <c r="N1303" s="107"/>
      <c r="O1303" s="107"/>
    </row>
    <row r="1304" spans="1:15" x14ac:dyDescent="0.15">
      <c r="A1304" s="107">
        <v>1794</v>
      </c>
      <c r="B1304" s="107" t="s">
        <v>261</v>
      </c>
      <c r="C1304" s="107" t="s">
        <v>268</v>
      </c>
      <c r="D1304" s="25">
        <v>38</v>
      </c>
      <c r="E1304" s="107" t="s">
        <v>193</v>
      </c>
      <c r="F1304" s="107" t="s">
        <v>552</v>
      </c>
      <c r="G1304" s="107">
        <v>22</v>
      </c>
      <c r="H1304" s="107">
        <v>11</v>
      </c>
      <c r="I1304" s="107">
        <v>8</v>
      </c>
      <c r="J1304" s="107">
        <f t="shared" si="20"/>
        <v>0.59407894736842104</v>
      </c>
      <c r="K1304" s="107">
        <v>6839</v>
      </c>
      <c r="L1304" s="107"/>
      <c r="M1304" s="107"/>
      <c r="N1304" s="107"/>
      <c r="O1304" s="107"/>
    </row>
    <row r="1305" spans="1:15" x14ac:dyDescent="0.15">
      <c r="A1305" s="107">
        <v>1656</v>
      </c>
      <c r="B1305" s="107" t="s">
        <v>283</v>
      </c>
      <c r="C1305" s="107" t="s">
        <v>274</v>
      </c>
      <c r="D1305" s="107">
        <v>15.5</v>
      </c>
      <c r="E1305" s="107" t="s">
        <v>315</v>
      </c>
      <c r="F1305" s="107" t="s">
        <v>553</v>
      </c>
      <c r="G1305" s="107">
        <v>18</v>
      </c>
      <c r="H1305" s="107">
        <v>5</v>
      </c>
      <c r="I1305" s="107">
        <v>8</v>
      </c>
      <c r="J1305" s="107">
        <f t="shared" si="20"/>
        <v>1.1790322580645161</v>
      </c>
      <c r="K1305" s="107">
        <v>3991</v>
      </c>
      <c r="L1305" s="107">
        <v>1788</v>
      </c>
      <c r="M1305" s="107">
        <v>149</v>
      </c>
      <c r="N1305" s="107" t="s">
        <v>284</v>
      </c>
      <c r="O1305" s="107"/>
    </row>
    <row r="1306" spans="1:15" x14ac:dyDescent="0.15">
      <c r="A1306" s="107">
        <v>1659</v>
      </c>
      <c r="B1306" s="107" t="s">
        <v>197</v>
      </c>
      <c r="C1306" s="107" t="s">
        <v>274</v>
      </c>
      <c r="D1306" s="107">
        <v>15.5</v>
      </c>
      <c r="E1306" s="107" t="s">
        <v>315</v>
      </c>
      <c r="F1306" s="107" t="s">
        <v>553</v>
      </c>
      <c r="G1306" s="107">
        <v>18</v>
      </c>
      <c r="H1306" s="107">
        <v>5</v>
      </c>
      <c r="I1306" s="107">
        <v>8</v>
      </c>
      <c r="J1306" s="107">
        <f t="shared" si="20"/>
        <v>1.1790322580645161</v>
      </c>
      <c r="K1306" s="107">
        <v>3993</v>
      </c>
      <c r="L1306" s="107">
        <v>1792</v>
      </c>
      <c r="M1306" s="107">
        <v>167</v>
      </c>
      <c r="N1306" s="107" t="s">
        <v>317</v>
      </c>
      <c r="O1306" s="107"/>
    </row>
    <row r="1307" spans="1:15" x14ac:dyDescent="0.15">
      <c r="A1307" s="107">
        <v>1697</v>
      </c>
      <c r="B1307" s="107" t="s">
        <v>197</v>
      </c>
      <c r="C1307" s="107" t="s">
        <v>271</v>
      </c>
      <c r="D1307" s="107">
        <v>84</v>
      </c>
      <c r="E1307" s="107" t="s">
        <v>204</v>
      </c>
      <c r="F1307" s="107" t="s">
        <v>554</v>
      </c>
      <c r="G1307" s="107">
        <v>25</v>
      </c>
      <c r="H1307" s="107">
        <v>4</v>
      </c>
      <c r="I1307" s="107">
        <v>0</v>
      </c>
      <c r="J1307" s="107">
        <f t="shared" si="20"/>
        <v>0.3</v>
      </c>
      <c r="K1307" s="107">
        <v>4038</v>
      </c>
      <c r="L1307" s="107">
        <v>1846</v>
      </c>
      <c r="M1307" s="107">
        <v>717</v>
      </c>
      <c r="N1307" s="107" t="s">
        <v>273</v>
      </c>
      <c r="O1307" s="107"/>
    </row>
    <row r="1308" spans="1:15" x14ac:dyDescent="0.15">
      <c r="A1308" s="107">
        <v>1655</v>
      </c>
      <c r="B1308" s="107" t="s">
        <v>196</v>
      </c>
      <c r="C1308" s="107" t="s">
        <v>274</v>
      </c>
      <c r="D1308" s="107">
        <v>3</v>
      </c>
      <c r="E1308" s="107" t="s">
        <v>315</v>
      </c>
      <c r="F1308" s="107" t="s">
        <v>555</v>
      </c>
      <c r="G1308" s="107">
        <v>15</v>
      </c>
      <c r="H1308" s="107">
        <v>0</v>
      </c>
      <c r="I1308" s="107">
        <v>0</v>
      </c>
      <c r="J1308" s="107">
        <f t="shared" si="20"/>
        <v>5</v>
      </c>
      <c r="K1308" s="107">
        <v>3990</v>
      </c>
      <c r="L1308" s="107">
        <v>1788</v>
      </c>
      <c r="M1308" s="107">
        <v>206</v>
      </c>
      <c r="N1308" s="107" t="s">
        <v>406</v>
      </c>
      <c r="O1308" s="107" t="s">
        <v>277</v>
      </c>
    </row>
    <row r="1309" spans="1:15" x14ac:dyDescent="0.15">
      <c r="A1309" s="107">
        <v>1655</v>
      </c>
      <c r="B1309" s="107" t="s">
        <v>196</v>
      </c>
      <c r="C1309" s="107" t="s">
        <v>274</v>
      </c>
      <c r="D1309" s="107">
        <v>3.5</v>
      </c>
      <c r="E1309" s="107" t="s">
        <v>315</v>
      </c>
      <c r="F1309" s="107" t="s">
        <v>555</v>
      </c>
      <c r="G1309" s="107">
        <v>17</v>
      </c>
      <c r="H1309" s="107">
        <v>10</v>
      </c>
      <c r="I1309" s="107">
        <v>0</v>
      </c>
      <c r="J1309" s="107">
        <f t="shared" si="20"/>
        <v>5</v>
      </c>
      <c r="K1309" s="107">
        <v>3990</v>
      </c>
      <c r="L1309" s="107">
        <v>1788</v>
      </c>
      <c r="M1309" s="107">
        <v>206</v>
      </c>
      <c r="N1309" s="107" t="s">
        <v>406</v>
      </c>
      <c r="O1309" s="107" t="s">
        <v>277</v>
      </c>
    </row>
    <row r="1310" spans="1:15" x14ac:dyDescent="0.15">
      <c r="A1310" s="107">
        <v>1656</v>
      </c>
      <c r="B1310" s="107" t="s">
        <v>197</v>
      </c>
      <c r="C1310" s="107" t="s">
        <v>274</v>
      </c>
      <c r="D1310" s="107">
        <v>15.75</v>
      </c>
      <c r="E1310" s="107" t="s">
        <v>315</v>
      </c>
      <c r="F1310" s="107" t="s">
        <v>555</v>
      </c>
      <c r="G1310" s="107">
        <v>66</v>
      </c>
      <c r="H1310" s="107">
        <v>0</v>
      </c>
      <c r="I1310" s="107">
        <v>0</v>
      </c>
      <c r="J1310" s="107">
        <f t="shared" si="20"/>
        <v>4.1904761904761907</v>
      </c>
      <c r="K1310" s="107">
        <v>3991</v>
      </c>
      <c r="L1310" s="107">
        <v>1788</v>
      </c>
      <c r="M1310" s="107">
        <v>149</v>
      </c>
      <c r="N1310" s="107" t="s">
        <v>284</v>
      </c>
      <c r="O1310" s="107"/>
    </row>
    <row r="1311" spans="1:15" x14ac:dyDescent="0.15">
      <c r="A1311" s="107">
        <v>1656</v>
      </c>
      <c r="B1311" s="107" t="s">
        <v>253</v>
      </c>
      <c r="C1311" s="107" t="s">
        <v>274</v>
      </c>
      <c r="D1311" s="107">
        <v>209.5</v>
      </c>
      <c r="E1311" s="107" t="s">
        <v>315</v>
      </c>
      <c r="F1311" s="107" t="s">
        <v>555</v>
      </c>
      <c r="G1311" s="107">
        <v>942</v>
      </c>
      <c r="H1311" s="107">
        <v>15</v>
      </c>
      <c r="I1311" s="107">
        <v>0</v>
      </c>
      <c r="J1311" s="107">
        <f t="shared" si="20"/>
        <v>4.5</v>
      </c>
      <c r="K1311" s="107">
        <v>3991</v>
      </c>
      <c r="L1311" s="107">
        <v>1788</v>
      </c>
      <c r="M1311" s="107">
        <v>151</v>
      </c>
      <c r="N1311" s="107" t="s">
        <v>383</v>
      </c>
      <c r="O1311" s="107"/>
    </row>
    <row r="1312" spans="1:15" x14ac:dyDescent="0.15">
      <c r="A1312" s="107">
        <v>1660</v>
      </c>
      <c r="B1312" s="107" t="s">
        <v>197</v>
      </c>
      <c r="C1312" s="107" t="s">
        <v>274</v>
      </c>
      <c r="D1312" s="107">
        <v>243.375</v>
      </c>
      <c r="E1312" s="107" t="s">
        <v>315</v>
      </c>
      <c r="F1312" s="107" t="s">
        <v>555</v>
      </c>
      <c r="G1312" s="107">
        <v>1347</v>
      </c>
      <c r="H1312" s="107">
        <v>0</v>
      </c>
      <c r="I1312" s="107">
        <v>0</v>
      </c>
      <c r="J1312" s="107">
        <f t="shared" si="20"/>
        <v>5.5346687211093988</v>
      </c>
      <c r="K1312" s="107">
        <v>3995</v>
      </c>
      <c r="L1312" s="107">
        <v>1793</v>
      </c>
      <c r="M1312" s="107">
        <v>196</v>
      </c>
      <c r="N1312" s="107"/>
      <c r="O1312" s="107"/>
    </row>
    <row r="1313" spans="1:14" x14ac:dyDescent="0.15">
      <c r="A1313" s="107">
        <v>1666</v>
      </c>
      <c r="B1313" s="107" t="s">
        <v>197</v>
      </c>
      <c r="C1313" s="107" t="s">
        <v>274</v>
      </c>
      <c r="D1313" s="107">
        <v>388.875</v>
      </c>
      <c r="E1313" s="107" t="s">
        <v>315</v>
      </c>
      <c r="F1313" s="107" t="s">
        <v>555</v>
      </c>
      <c r="G1313" s="107">
        <v>1478</v>
      </c>
      <c r="H1313" s="107">
        <v>19</v>
      </c>
      <c r="I1313" s="107">
        <v>12</v>
      </c>
      <c r="J1313" s="107">
        <f t="shared" si="20"/>
        <v>3.803246544519447</v>
      </c>
      <c r="K1313" s="107">
        <v>4001</v>
      </c>
      <c r="L1313" s="107">
        <v>1800</v>
      </c>
      <c r="M1313" s="107">
        <v>38</v>
      </c>
      <c r="N1313" s="107"/>
    </row>
    <row r="1314" spans="1:14" x14ac:dyDescent="0.15">
      <c r="A1314" s="107">
        <v>1667</v>
      </c>
      <c r="B1314" s="107" t="s">
        <v>197</v>
      </c>
      <c r="C1314" s="107" t="s">
        <v>274</v>
      </c>
      <c r="D1314" s="107">
        <v>1051.5</v>
      </c>
      <c r="E1314" s="107" t="s">
        <v>315</v>
      </c>
      <c r="F1314" s="107" t="s">
        <v>555</v>
      </c>
      <c r="G1314" s="107">
        <v>3527</v>
      </c>
      <c r="H1314" s="107">
        <v>7</v>
      </c>
      <c r="I1314" s="107">
        <v>18</v>
      </c>
      <c r="J1314" s="107">
        <f t="shared" si="20"/>
        <v>3.3546421778411792</v>
      </c>
      <c r="K1314" s="107">
        <v>4002</v>
      </c>
      <c r="L1314" s="107">
        <v>1802</v>
      </c>
      <c r="M1314" s="107">
        <v>760</v>
      </c>
      <c r="N1314" s="107"/>
    </row>
    <row r="1315" spans="1:14" x14ac:dyDescent="0.15">
      <c r="A1315" s="107">
        <v>1668</v>
      </c>
      <c r="B1315" s="107" t="s">
        <v>197</v>
      </c>
      <c r="C1315" s="107" t="s">
        <v>274</v>
      </c>
      <c r="D1315" s="107">
        <v>879</v>
      </c>
      <c r="E1315" s="107" t="s">
        <v>315</v>
      </c>
      <c r="F1315" s="107" t="s">
        <v>555</v>
      </c>
      <c r="G1315" s="107">
        <v>3124</v>
      </c>
      <c r="H1315" s="107">
        <v>4</v>
      </c>
      <c r="I1315" s="107">
        <v>6</v>
      </c>
      <c r="J1315" s="107">
        <f t="shared" si="20"/>
        <v>3.5542875426621161</v>
      </c>
      <c r="K1315" s="107">
        <v>4003</v>
      </c>
      <c r="L1315" s="107">
        <v>1802</v>
      </c>
      <c r="M1315" s="107">
        <v>30</v>
      </c>
      <c r="N1315" s="107"/>
    </row>
    <row r="1316" spans="1:14" x14ac:dyDescent="0.15">
      <c r="A1316" s="107">
        <v>1669</v>
      </c>
      <c r="B1316" s="107" t="s">
        <v>197</v>
      </c>
      <c r="C1316" s="107" t="s">
        <v>274</v>
      </c>
      <c r="D1316" s="107">
        <v>889.5</v>
      </c>
      <c r="E1316" s="107" t="s">
        <v>315</v>
      </c>
      <c r="F1316" s="107" t="s">
        <v>555</v>
      </c>
      <c r="G1316" s="107">
        <v>3952</v>
      </c>
      <c r="H1316" s="107">
        <v>8</v>
      </c>
      <c r="I1316" s="107">
        <v>0</v>
      </c>
      <c r="J1316" s="107">
        <f t="shared" si="20"/>
        <v>4.443395165823496</v>
      </c>
      <c r="K1316" s="107">
        <v>4004</v>
      </c>
      <c r="L1316" s="107">
        <v>1805</v>
      </c>
      <c r="M1316" s="107">
        <v>558</v>
      </c>
      <c r="N1316" s="107"/>
    </row>
    <row r="1317" spans="1:14" x14ac:dyDescent="0.15">
      <c r="A1317" s="107">
        <v>1670</v>
      </c>
      <c r="B1317" s="107" t="s">
        <v>260</v>
      </c>
      <c r="C1317" s="107" t="s">
        <v>274</v>
      </c>
      <c r="D1317" s="107">
        <v>185.25</v>
      </c>
      <c r="E1317" s="107" t="s">
        <v>315</v>
      </c>
      <c r="F1317" s="107" t="s">
        <v>555</v>
      </c>
      <c r="G1317" s="107">
        <v>979</v>
      </c>
      <c r="H1317" s="107">
        <v>7</v>
      </c>
      <c r="I1317" s="107">
        <v>8</v>
      </c>
      <c r="J1317" s="107">
        <f t="shared" si="20"/>
        <v>5.2867746288798925</v>
      </c>
      <c r="K1317" s="107">
        <v>4006</v>
      </c>
      <c r="L1317" s="107">
        <v>1808</v>
      </c>
      <c r="M1317" s="107">
        <v>792</v>
      </c>
      <c r="N1317" s="107"/>
    </row>
    <row r="1318" spans="1:14" x14ac:dyDescent="0.15">
      <c r="A1318" s="107">
        <v>1682</v>
      </c>
      <c r="B1318" s="107" t="s">
        <v>197</v>
      </c>
      <c r="C1318" s="107" t="s">
        <v>271</v>
      </c>
      <c r="D1318" s="107">
        <v>3</v>
      </c>
      <c r="E1318" s="107" t="s">
        <v>204</v>
      </c>
      <c r="F1318" s="107" t="s">
        <v>555</v>
      </c>
      <c r="G1318" s="107">
        <v>0</v>
      </c>
      <c r="H1318" s="107">
        <v>19</v>
      </c>
      <c r="I1318" s="107">
        <v>8</v>
      </c>
      <c r="J1318" s="107">
        <f t="shared" si="20"/>
        <v>0.32500000000000001</v>
      </c>
      <c r="K1318" s="107">
        <v>4018</v>
      </c>
      <c r="L1318" s="107">
        <v>1820</v>
      </c>
      <c r="M1318" s="107">
        <v>759</v>
      </c>
      <c r="N1318" s="107" t="s">
        <v>273</v>
      </c>
    </row>
    <row r="1319" spans="1:14" x14ac:dyDescent="0.15">
      <c r="A1319" s="107">
        <v>1655</v>
      </c>
      <c r="B1319" s="107" t="s">
        <v>197</v>
      </c>
      <c r="C1319" s="107" t="s">
        <v>274</v>
      </c>
      <c r="D1319" s="107">
        <v>13.5</v>
      </c>
      <c r="E1319" s="107" t="s">
        <v>315</v>
      </c>
      <c r="F1319" s="107" t="s">
        <v>556</v>
      </c>
      <c r="G1319" s="107">
        <v>67</v>
      </c>
      <c r="H1319" s="107">
        <v>10</v>
      </c>
      <c r="I1319" s="107">
        <v>0</v>
      </c>
      <c r="J1319" s="107">
        <f t="shared" si="20"/>
        <v>5</v>
      </c>
      <c r="K1319" s="107">
        <v>3990</v>
      </c>
      <c r="L1319" s="107">
        <v>1788</v>
      </c>
      <c r="M1319" s="107">
        <v>146</v>
      </c>
      <c r="N1319" s="107"/>
    </row>
    <row r="1320" spans="1:14" x14ac:dyDescent="0.15">
      <c r="A1320" s="107">
        <v>1656</v>
      </c>
      <c r="B1320" s="107" t="s">
        <v>197</v>
      </c>
      <c r="C1320" s="107" t="s">
        <v>274</v>
      </c>
      <c r="D1320" s="107">
        <v>15.75</v>
      </c>
      <c r="E1320" s="107" t="s">
        <v>315</v>
      </c>
      <c r="F1320" s="107" t="s">
        <v>556</v>
      </c>
      <c r="G1320" s="107">
        <v>66</v>
      </c>
      <c r="H1320" s="107">
        <v>0</v>
      </c>
      <c r="I1320" s="107">
        <v>0</v>
      </c>
      <c r="J1320" s="107">
        <f t="shared" si="20"/>
        <v>4.1904761904761907</v>
      </c>
      <c r="K1320" s="107">
        <v>3991</v>
      </c>
      <c r="L1320" s="107">
        <v>1788</v>
      </c>
      <c r="M1320" s="107">
        <v>149</v>
      </c>
      <c r="N1320" s="107"/>
    </row>
    <row r="1321" spans="1:14" x14ac:dyDescent="0.15">
      <c r="A1321" s="107">
        <v>1657</v>
      </c>
      <c r="B1321" s="107" t="s">
        <v>197</v>
      </c>
      <c r="C1321" s="107" t="s">
        <v>274</v>
      </c>
      <c r="D1321" s="107">
        <v>209</v>
      </c>
      <c r="E1321" s="107" t="s">
        <v>315</v>
      </c>
      <c r="F1321" s="107" t="s">
        <v>556</v>
      </c>
      <c r="G1321" s="107">
        <v>1180</v>
      </c>
      <c r="H1321" s="107">
        <v>8</v>
      </c>
      <c r="I1321" s="107">
        <v>0</v>
      </c>
      <c r="J1321" s="107">
        <f t="shared" si="20"/>
        <v>5.6478468899521532</v>
      </c>
      <c r="K1321" s="107">
        <v>3992</v>
      </c>
      <c r="L1321" s="107">
        <v>1789</v>
      </c>
      <c r="M1321" s="107">
        <v>228</v>
      </c>
      <c r="N1321" s="107"/>
    </row>
    <row r="1322" spans="1:14" x14ac:dyDescent="0.15">
      <c r="A1322" s="107">
        <v>1658</v>
      </c>
      <c r="B1322" s="107" t="s">
        <v>197</v>
      </c>
      <c r="C1322" s="107" t="s">
        <v>274</v>
      </c>
      <c r="D1322" s="107">
        <v>463.25</v>
      </c>
      <c r="E1322" s="107" t="s">
        <v>315</v>
      </c>
      <c r="F1322" s="107" t="s">
        <v>556</v>
      </c>
      <c r="G1322" s="107">
        <v>2345</v>
      </c>
      <c r="H1322" s="107">
        <v>0</v>
      </c>
      <c r="I1322" s="107">
        <v>0</v>
      </c>
      <c r="J1322" s="107">
        <f t="shared" si="20"/>
        <v>5.0620615218564486</v>
      </c>
      <c r="K1322" s="107">
        <v>3993</v>
      </c>
      <c r="L1322" s="107">
        <v>1791</v>
      </c>
      <c r="M1322" s="107">
        <v>269</v>
      </c>
      <c r="N1322" s="107"/>
    </row>
    <row r="1323" spans="1:14" x14ac:dyDescent="0.15">
      <c r="A1323" s="107">
        <v>1659</v>
      </c>
      <c r="B1323" s="107" t="s">
        <v>197</v>
      </c>
      <c r="C1323" s="107" t="s">
        <v>274</v>
      </c>
      <c r="D1323" s="107">
        <v>541.25</v>
      </c>
      <c r="E1323" s="107" t="s">
        <v>315</v>
      </c>
      <c r="F1323" s="107" t="s">
        <v>556</v>
      </c>
      <c r="G1323" s="107">
        <v>2760</v>
      </c>
      <c r="H1323" s="107">
        <v>15</v>
      </c>
      <c r="I1323" s="107">
        <v>8</v>
      </c>
      <c r="J1323" s="107">
        <f t="shared" si="20"/>
        <v>5.100739030023095</v>
      </c>
      <c r="K1323" s="107">
        <v>3994</v>
      </c>
      <c r="L1323" s="107">
        <v>1792</v>
      </c>
      <c r="M1323" s="107">
        <v>167</v>
      </c>
      <c r="N1323" s="107"/>
    </row>
    <row r="1324" spans="1:14" x14ac:dyDescent="0.15">
      <c r="A1324" s="107">
        <v>1672</v>
      </c>
      <c r="B1324" s="107" t="s">
        <v>197</v>
      </c>
      <c r="C1324" s="107" t="s">
        <v>274</v>
      </c>
      <c r="D1324" s="107">
        <v>163.625</v>
      </c>
      <c r="E1324" s="107" t="s">
        <v>315</v>
      </c>
      <c r="F1324" s="107" t="s">
        <v>556</v>
      </c>
      <c r="G1324" s="107">
        <v>1574</v>
      </c>
      <c r="H1324" s="107">
        <v>7</v>
      </c>
      <c r="I1324" s="107">
        <v>8</v>
      </c>
      <c r="J1324" s="107">
        <f t="shared" si="20"/>
        <v>9.6218487394957979</v>
      </c>
      <c r="K1324" s="107">
        <v>4008</v>
      </c>
      <c r="L1324" s="107">
        <v>1810</v>
      </c>
      <c r="M1324" s="107">
        <v>586</v>
      </c>
      <c r="N1324" s="107"/>
    </row>
    <row r="1325" spans="1:14" x14ac:dyDescent="0.15">
      <c r="A1325" s="107">
        <v>1674</v>
      </c>
      <c r="B1325" s="107" t="s">
        <v>197</v>
      </c>
      <c r="C1325" s="107" t="s">
        <v>274</v>
      </c>
      <c r="D1325" s="107">
        <v>1</v>
      </c>
      <c r="E1325" s="107" t="s">
        <v>204</v>
      </c>
      <c r="F1325" s="107" t="s">
        <v>557</v>
      </c>
      <c r="G1325" s="107">
        <v>40</v>
      </c>
      <c r="H1325" s="107">
        <v>0</v>
      </c>
      <c r="I1325" s="107">
        <v>0</v>
      </c>
      <c r="J1325" s="107">
        <f t="shared" si="20"/>
        <v>40</v>
      </c>
      <c r="K1325" s="107">
        <v>4011</v>
      </c>
      <c r="L1325" s="107">
        <v>1814</v>
      </c>
      <c r="M1325" s="107">
        <v>596</v>
      </c>
      <c r="N1325" s="107" t="s">
        <v>294</v>
      </c>
    </row>
    <row r="1326" spans="1:14" x14ac:dyDescent="0.15">
      <c r="A1326" s="107">
        <v>1654</v>
      </c>
      <c r="B1326" s="107" t="s">
        <v>244</v>
      </c>
      <c r="C1326" s="107" t="s">
        <v>274</v>
      </c>
      <c r="D1326" s="107">
        <v>1</v>
      </c>
      <c r="E1326" s="107"/>
      <c r="F1326" s="107" t="s">
        <v>558</v>
      </c>
      <c r="G1326" s="107">
        <v>0</v>
      </c>
      <c r="H1326" s="107">
        <v>4</v>
      </c>
      <c r="I1326" s="107">
        <v>9</v>
      </c>
      <c r="J1326" s="107">
        <f t="shared" si="20"/>
        <v>0.22812500000000002</v>
      </c>
      <c r="K1326" s="107">
        <v>3990</v>
      </c>
      <c r="L1326" s="107">
        <v>1788</v>
      </c>
      <c r="M1326" s="107">
        <v>202</v>
      </c>
      <c r="N1326" s="107" t="s">
        <v>394</v>
      </c>
    </row>
    <row r="1327" spans="1:14" x14ac:dyDescent="0.15">
      <c r="A1327" s="107">
        <v>1654</v>
      </c>
      <c r="B1327" s="107" t="s">
        <v>247</v>
      </c>
      <c r="C1327" s="107" t="s">
        <v>274</v>
      </c>
      <c r="D1327" s="107">
        <v>1</v>
      </c>
      <c r="E1327" s="107"/>
      <c r="F1327" s="107" t="s">
        <v>558</v>
      </c>
      <c r="G1327" s="107">
        <v>0</v>
      </c>
      <c r="H1327" s="107">
        <v>3</v>
      </c>
      <c r="I1327" s="107">
        <v>0</v>
      </c>
      <c r="J1327" s="107">
        <f t="shared" si="20"/>
        <v>0.15</v>
      </c>
      <c r="K1327" s="107">
        <v>3990</v>
      </c>
      <c r="L1327" s="107">
        <v>1788</v>
      </c>
      <c r="M1327" s="107">
        <v>202</v>
      </c>
      <c r="N1327" s="107" t="s">
        <v>394</v>
      </c>
    </row>
    <row r="1328" spans="1:14" x14ac:dyDescent="0.15">
      <c r="A1328" s="107">
        <v>1657</v>
      </c>
      <c r="B1328" s="107" t="s">
        <v>226</v>
      </c>
      <c r="C1328" s="107" t="s">
        <v>274</v>
      </c>
      <c r="D1328" s="107">
        <v>3</v>
      </c>
      <c r="E1328" s="107" t="s">
        <v>212</v>
      </c>
      <c r="F1328" s="107" t="s">
        <v>559</v>
      </c>
      <c r="G1328" s="107">
        <v>0</v>
      </c>
      <c r="H1328" s="107">
        <v>15</v>
      </c>
      <c r="I1328" s="107">
        <v>0</v>
      </c>
      <c r="J1328" s="107">
        <f t="shared" ref="J1328:J1391" si="21">(G1328+H1328/20+I1328/320)/D1328</f>
        <v>0.25</v>
      </c>
      <c r="K1328" s="107">
        <v>3992</v>
      </c>
      <c r="L1328" s="107">
        <v>1789</v>
      </c>
      <c r="M1328" s="107">
        <v>252</v>
      </c>
      <c r="N1328" s="107"/>
    </row>
    <row r="1329" spans="1:14" x14ac:dyDescent="0.15">
      <c r="A1329" s="107">
        <v>1658</v>
      </c>
      <c r="B1329" s="107" t="s">
        <v>197</v>
      </c>
      <c r="C1329" s="107" t="s">
        <v>274</v>
      </c>
      <c r="D1329" s="107">
        <v>0.5</v>
      </c>
      <c r="E1329" s="107" t="s">
        <v>296</v>
      </c>
      <c r="F1329" s="107" t="s">
        <v>559</v>
      </c>
      <c r="G1329" s="107">
        <v>8</v>
      </c>
      <c r="H1329" s="107">
        <v>0</v>
      </c>
      <c r="I1329" s="107">
        <v>0</v>
      </c>
      <c r="J1329" s="107">
        <f t="shared" si="21"/>
        <v>16</v>
      </c>
      <c r="K1329" s="107">
        <v>3993</v>
      </c>
      <c r="L1329" s="107">
        <v>1791</v>
      </c>
      <c r="M1329" s="107">
        <v>278</v>
      </c>
      <c r="N1329" s="107"/>
    </row>
    <row r="1330" spans="1:14" x14ac:dyDescent="0.15">
      <c r="A1330" s="107">
        <v>1659</v>
      </c>
      <c r="B1330" s="107" t="s">
        <v>244</v>
      </c>
      <c r="C1330" s="107" t="s">
        <v>274</v>
      </c>
      <c r="D1330" s="107">
        <v>4</v>
      </c>
      <c r="E1330" s="107" t="s">
        <v>212</v>
      </c>
      <c r="F1330" s="107" t="s">
        <v>559</v>
      </c>
      <c r="G1330" s="107">
        <v>1</v>
      </c>
      <c r="H1330" s="107">
        <v>4</v>
      </c>
      <c r="I1330" s="107">
        <v>0</v>
      </c>
      <c r="J1330" s="107">
        <f t="shared" si="21"/>
        <v>0.3</v>
      </c>
      <c r="K1330" s="107">
        <v>3994</v>
      </c>
      <c r="L1330" s="107">
        <v>1792</v>
      </c>
      <c r="M1330" s="107">
        <v>180</v>
      </c>
      <c r="N1330" s="107"/>
    </row>
    <row r="1331" spans="1:14" x14ac:dyDescent="0.15">
      <c r="A1331" s="107">
        <v>1674</v>
      </c>
      <c r="B1331" s="107" t="s">
        <v>197</v>
      </c>
      <c r="C1331" s="107" t="s">
        <v>274</v>
      </c>
      <c r="D1331" s="107">
        <v>82</v>
      </c>
      <c r="E1331" s="107" t="s">
        <v>293</v>
      </c>
      <c r="F1331" s="107" t="s">
        <v>559</v>
      </c>
      <c r="G1331" s="107">
        <v>13</v>
      </c>
      <c r="H1331" s="107">
        <v>6</v>
      </c>
      <c r="I1331" s="107">
        <v>8</v>
      </c>
      <c r="J1331" s="107">
        <f t="shared" si="21"/>
        <v>0.16250000000000001</v>
      </c>
      <c r="K1331" s="107">
        <v>4011</v>
      </c>
      <c r="L1331" s="107">
        <v>1814</v>
      </c>
      <c r="M1331" s="107">
        <v>597</v>
      </c>
      <c r="N1331" s="107" t="s">
        <v>294</v>
      </c>
    </row>
    <row r="1332" spans="1:14" x14ac:dyDescent="0.15">
      <c r="A1332" s="107">
        <v>1676</v>
      </c>
      <c r="B1332" s="107" t="s">
        <v>197</v>
      </c>
      <c r="C1332" s="107" t="s">
        <v>274</v>
      </c>
      <c r="D1332" s="107">
        <v>132</v>
      </c>
      <c r="E1332" s="107" t="s">
        <v>293</v>
      </c>
      <c r="F1332" s="107" t="s">
        <v>559</v>
      </c>
      <c r="G1332" s="107">
        <v>21</v>
      </c>
      <c r="H1332" s="107">
        <v>9</v>
      </c>
      <c r="I1332" s="107">
        <v>0</v>
      </c>
      <c r="J1332" s="107">
        <f t="shared" si="21"/>
        <v>0.16250000000000001</v>
      </c>
      <c r="K1332" s="107">
        <v>4012</v>
      </c>
      <c r="L1332" s="107">
        <v>1814</v>
      </c>
      <c r="M1332" s="107">
        <v>428</v>
      </c>
      <c r="N1332" s="107"/>
    </row>
    <row r="1333" spans="1:14" x14ac:dyDescent="0.15">
      <c r="A1333" s="107">
        <v>1678</v>
      </c>
      <c r="B1333" s="107" t="s">
        <v>197</v>
      </c>
      <c r="C1333" s="107" t="s">
        <v>295</v>
      </c>
      <c r="D1333" s="107">
        <v>1</v>
      </c>
      <c r="E1333" s="107" t="s">
        <v>296</v>
      </c>
      <c r="F1333" s="107" t="s">
        <v>559</v>
      </c>
      <c r="G1333" s="107">
        <v>30</v>
      </c>
      <c r="H1333" s="107">
        <v>0</v>
      </c>
      <c r="I1333" s="107">
        <v>0</v>
      </c>
      <c r="J1333" s="107">
        <f t="shared" si="21"/>
        <v>30</v>
      </c>
      <c r="K1333" s="107">
        <v>4014</v>
      </c>
      <c r="L1333" s="107">
        <v>4903</v>
      </c>
      <c r="M1333" s="107">
        <v>666</v>
      </c>
      <c r="N1333" s="107"/>
    </row>
    <row r="1334" spans="1:14" x14ac:dyDescent="0.15">
      <c r="A1334" s="107">
        <v>1681</v>
      </c>
      <c r="B1334" s="107" t="s">
        <v>197</v>
      </c>
      <c r="C1334" s="107" t="s">
        <v>271</v>
      </c>
      <c r="D1334" s="107">
        <v>206</v>
      </c>
      <c r="E1334" s="107" t="s">
        <v>293</v>
      </c>
      <c r="F1334" s="107" t="s">
        <v>559</v>
      </c>
      <c r="G1334" s="107">
        <v>37</v>
      </c>
      <c r="H1334" s="107">
        <v>17</v>
      </c>
      <c r="I1334" s="107">
        <v>12</v>
      </c>
      <c r="J1334" s="107">
        <f t="shared" si="21"/>
        <v>0.18391990291262136</v>
      </c>
      <c r="K1334" s="107">
        <v>4017</v>
      </c>
      <c r="L1334" s="107">
        <v>1819</v>
      </c>
      <c r="M1334" s="107">
        <v>428</v>
      </c>
      <c r="N1334" s="107"/>
    </row>
    <row r="1335" spans="1:14" x14ac:dyDescent="0.15">
      <c r="A1335" s="107">
        <v>1683</v>
      </c>
      <c r="B1335" s="107" t="s">
        <v>197</v>
      </c>
      <c r="C1335" s="107" t="s">
        <v>271</v>
      </c>
      <c r="D1335" s="107">
        <v>240</v>
      </c>
      <c r="E1335" s="107" t="s">
        <v>293</v>
      </c>
      <c r="F1335" s="107" t="s">
        <v>559</v>
      </c>
      <c r="G1335" s="107">
        <v>43</v>
      </c>
      <c r="H1335" s="107">
        <v>10</v>
      </c>
      <c r="I1335" s="107">
        <v>0</v>
      </c>
      <c r="J1335" s="107">
        <f t="shared" si="21"/>
        <v>0.18124999999999999</v>
      </c>
      <c r="K1335" s="107">
        <v>4019</v>
      </c>
      <c r="L1335" s="107">
        <v>1822</v>
      </c>
      <c r="M1335" s="107">
        <v>600</v>
      </c>
      <c r="N1335" s="107"/>
    </row>
    <row r="1336" spans="1:14" x14ac:dyDescent="0.15">
      <c r="A1336" s="107">
        <v>1684</v>
      </c>
      <c r="B1336" s="107" t="s">
        <v>197</v>
      </c>
      <c r="C1336" s="107" t="s">
        <v>271</v>
      </c>
      <c r="D1336" s="107">
        <v>70</v>
      </c>
      <c r="E1336" s="107" t="s">
        <v>293</v>
      </c>
      <c r="F1336" s="107" t="s">
        <v>559</v>
      </c>
      <c r="G1336" s="107">
        <v>12</v>
      </c>
      <c r="H1336" s="107">
        <v>13</v>
      </c>
      <c r="I1336" s="107">
        <v>12</v>
      </c>
      <c r="J1336" s="107">
        <f t="shared" si="21"/>
        <v>0.18124999999999999</v>
      </c>
      <c r="K1336" s="107">
        <v>4021</v>
      </c>
      <c r="L1336" s="107">
        <v>1825</v>
      </c>
      <c r="M1336" s="107">
        <v>666</v>
      </c>
      <c r="N1336" s="107"/>
    </row>
    <row r="1337" spans="1:14" x14ac:dyDescent="0.15">
      <c r="A1337" s="107">
        <v>1685</v>
      </c>
      <c r="B1337" s="107" t="s">
        <v>197</v>
      </c>
      <c r="C1337" s="107" t="s">
        <v>271</v>
      </c>
      <c r="D1337" s="107">
        <v>10</v>
      </c>
      <c r="E1337" s="107" t="s">
        <v>293</v>
      </c>
      <c r="F1337" s="107" t="s">
        <v>559</v>
      </c>
      <c r="G1337" s="107">
        <v>3</v>
      </c>
      <c r="H1337" s="107">
        <v>0</v>
      </c>
      <c r="I1337" s="107">
        <v>0</v>
      </c>
      <c r="J1337" s="107">
        <f t="shared" si="21"/>
        <v>0.3</v>
      </c>
      <c r="K1337" s="107">
        <v>4022</v>
      </c>
      <c r="L1337" s="107">
        <v>1827</v>
      </c>
      <c r="M1337" s="107">
        <v>609</v>
      </c>
      <c r="N1337" s="107"/>
    </row>
    <row r="1338" spans="1:14" x14ac:dyDescent="0.15">
      <c r="A1338" s="107">
        <v>1685</v>
      </c>
      <c r="B1338" s="107" t="s">
        <v>196</v>
      </c>
      <c r="C1338" s="107" t="s">
        <v>271</v>
      </c>
      <c r="D1338" s="107">
        <v>7</v>
      </c>
      <c r="E1338" s="107" t="s">
        <v>291</v>
      </c>
      <c r="F1338" s="107" t="s">
        <v>559</v>
      </c>
      <c r="G1338" s="107">
        <v>70</v>
      </c>
      <c r="H1338" s="107">
        <v>0</v>
      </c>
      <c r="I1338" s="107">
        <v>0</v>
      </c>
      <c r="J1338" s="107">
        <f t="shared" si="21"/>
        <v>10</v>
      </c>
      <c r="K1338" s="107">
        <v>4022</v>
      </c>
      <c r="L1338" s="107">
        <v>1827</v>
      </c>
      <c r="M1338" s="107">
        <v>600</v>
      </c>
      <c r="N1338" s="107"/>
    </row>
    <row r="1339" spans="1:14" x14ac:dyDescent="0.15">
      <c r="A1339" s="107">
        <v>1686</v>
      </c>
      <c r="B1339" s="107" t="s">
        <v>197</v>
      </c>
      <c r="C1339" s="107" t="s">
        <v>271</v>
      </c>
      <c r="D1339" s="107">
        <v>192</v>
      </c>
      <c r="E1339" s="107" t="s">
        <v>293</v>
      </c>
      <c r="F1339" s="107" t="s">
        <v>559</v>
      </c>
      <c r="G1339" s="107">
        <v>15</v>
      </c>
      <c r="H1339" s="107">
        <v>0</v>
      </c>
      <c r="I1339" s="107">
        <v>0</v>
      </c>
      <c r="J1339" s="107">
        <f t="shared" si="21"/>
        <v>7.8125E-2</v>
      </c>
      <c r="K1339" s="107">
        <v>4023</v>
      </c>
      <c r="L1339" s="107">
        <v>1829</v>
      </c>
      <c r="M1339" s="107">
        <v>706</v>
      </c>
      <c r="N1339" s="107"/>
    </row>
    <row r="1340" spans="1:14" x14ac:dyDescent="0.15">
      <c r="A1340" s="107">
        <v>1688</v>
      </c>
      <c r="B1340" s="107" t="s">
        <v>260</v>
      </c>
      <c r="C1340" s="107" t="s">
        <v>271</v>
      </c>
      <c r="D1340" s="107">
        <v>128</v>
      </c>
      <c r="E1340" s="107" t="s">
        <v>293</v>
      </c>
      <c r="F1340" s="107" t="s">
        <v>559</v>
      </c>
      <c r="G1340" s="107">
        <v>10</v>
      </c>
      <c r="H1340" s="107">
        <v>0</v>
      </c>
      <c r="I1340" s="107">
        <v>0</v>
      </c>
      <c r="J1340" s="107">
        <f t="shared" si="21"/>
        <v>7.8125E-2</v>
      </c>
      <c r="K1340" s="107">
        <v>4025</v>
      </c>
      <c r="L1340" s="107">
        <v>1831</v>
      </c>
      <c r="M1340" s="107">
        <v>573</v>
      </c>
      <c r="N1340" s="107"/>
    </row>
    <row r="1341" spans="1:14" x14ac:dyDescent="0.15">
      <c r="A1341" s="107">
        <v>1689</v>
      </c>
      <c r="B1341" s="107" t="s">
        <v>197</v>
      </c>
      <c r="C1341" s="107" t="s">
        <v>271</v>
      </c>
      <c r="D1341" s="107">
        <v>18</v>
      </c>
      <c r="E1341" s="107" t="s">
        <v>293</v>
      </c>
      <c r="F1341" s="107" t="s">
        <v>559</v>
      </c>
      <c r="G1341" s="107">
        <v>1</v>
      </c>
      <c r="H1341" s="107">
        <v>7</v>
      </c>
      <c r="I1341" s="107">
        <v>0</v>
      </c>
      <c r="J1341" s="107">
        <f t="shared" si="21"/>
        <v>7.5000000000000011E-2</v>
      </c>
      <c r="K1341" s="107">
        <v>4027</v>
      </c>
      <c r="L1341" s="107">
        <v>1832</v>
      </c>
      <c r="M1341" s="107">
        <v>484</v>
      </c>
      <c r="N1341" s="107"/>
    </row>
    <row r="1342" spans="1:14" x14ac:dyDescent="0.15">
      <c r="A1342" s="107">
        <v>1690</v>
      </c>
      <c r="B1342" s="107" t="s">
        <v>192</v>
      </c>
      <c r="C1342" s="107" t="s">
        <v>271</v>
      </c>
      <c r="D1342" s="107">
        <v>128</v>
      </c>
      <c r="E1342" s="107" t="s">
        <v>293</v>
      </c>
      <c r="F1342" s="107" t="s">
        <v>559</v>
      </c>
      <c r="G1342" s="107">
        <v>10</v>
      </c>
      <c r="H1342" s="107">
        <v>0</v>
      </c>
      <c r="I1342" s="107">
        <v>0</v>
      </c>
      <c r="J1342" s="107">
        <f t="shared" si="21"/>
        <v>7.8125E-2</v>
      </c>
      <c r="K1342" s="107">
        <v>4028</v>
      </c>
      <c r="L1342" s="107">
        <v>1834</v>
      </c>
      <c r="M1342" s="107">
        <v>396</v>
      </c>
      <c r="N1342" s="107"/>
    </row>
    <row r="1343" spans="1:14" x14ac:dyDescent="0.15">
      <c r="A1343" s="107">
        <v>1691</v>
      </c>
      <c r="B1343" s="107" t="s">
        <v>244</v>
      </c>
      <c r="C1343" s="107" t="s">
        <v>271</v>
      </c>
      <c r="D1343" s="107">
        <v>384</v>
      </c>
      <c r="E1343" s="107" t="s">
        <v>293</v>
      </c>
      <c r="F1343" s="107" t="s">
        <v>559</v>
      </c>
      <c r="G1343" s="107">
        <v>30</v>
      </c>
      <c r="H1343" s="107">
        <v>0</v>
      </c>
      <c r="I1343" s="107">
        <v>0</v>
      </c>
      <c r="J1343" s="107">
        <f t="shared" si="21"/>
        <v>7.8125E-2</v>
      </c>
      <c r="K1343" s="107">
        <v>4028</v>
      </c>
      <c r="L1343" s="107">
        <v>1834</v>
      </c>
      <c r="M1343" s="107">
        <v>383</v>
      </c>
      <c r="N1343" s="107"/>
    </row>
    <row r="1344" spans="1:14" x14ac:dyDescent="0.15">
      <c r="A1344" s="107">
        <v>1692</v>
      </c>
      <c r="B1344" s="107" t="s">
        <v>247</v>
      </c>
      <c r="C1344" s="107" t="s">
        <v>271</v>
      </c>
      <c r="D1344" s="107">
        <v>5</v>
      </c>
      <c r="E1344" s="107" t="s">
        <v>291</v>
      </c>
      <c r="F1344" s="107" t="s">
        <v>559</v>
      </c>
      <c r="G1344" s="107">
        <v>32</v>
      </c>
      <c r="H1344" s="107">
        <v>0</v>
      </c>
      <c r="I1344" s="107">
        <v>0</v>
      </c>
      <c r="J1344" s="107">
        <f t="shared" si="21"/>
        <v>6.4</v>
      </c>
      <c r="K1344" s="107">
        <v>4030</v>
      </c>
      <c r="L1344" s="107">
        <v>1836</v>
      </c>
      <c r="M1344" s="107">
        <v>242</v>
      </c>
      <c r="N1344" s="107"/>
    </row>
    <row r="1345" spans="1:14" x14ac:dyDescent="0.15">
      <c r="A1345" s="107">
        <v>1693</v>
      </c>
      <c r="B1345" s="107" t="s">
        <v>261</v>
      </c>
      <c r="C1345" s="107" t="s">
        <v>271</v>
      </c>
      <c r="D1345" s="107">
        <v>2</v>
      </c>
      <c r="E1345" s="107" t="s">
        <v>291</v>
      </c>
      <c r="F1345" s="107" t="s">
        <v>559</v>
      </c>
      <c r="G1345" s="107">
        <v>10</v>
      </c>
      <c r="H1345" s="107">
        <v>0</v>
      </c>
      <c r="I1345" s="107">
        <v>0</v>
      </c>
      <c r="J1345" s="107">
        <f t="shared" si="21"/>
        <v>5</v>
      </c>
      <c r="K1345" s="107">
        <v>4030</v>
      </c>
      <c r="L1345" s="107">
        <v>1836</v>
      </c>
      <c r="M1345" s="107">
        <v>230</v>
      </c>
      <c r="N1345" s="107"/>
    </row>
    <row r="1346" spans="1:14" x14ac:dyDescent="0.15">
      <c r="A1346" s="107">
        <v>1694</v>
      </c>
      <c r="B1346" s="107" t="s">
        <v>261</v>
      </c>
      <c r="C1346" s="107" t="s">
        <v>271</v>
      </c>
      <c r="D1346" s="107">
        <v>2</v>
      </c>
      <c r="E1346" s="107" t="s">
        <v>291</v>
      </c>
      <c r="F1346" s="107" t="s">
        <v>559</v>
      </c>
      <c r="G1346" s="107">
        <v>18</v>
      </c>
      <c r="H1346" s="107">
        <v>0</v>
      </c>
      <c r="I1346" s="107">
        <v>0</v>
      </c>
      <c r="J1346" s="107">
        <f t="shared" si="21"/>
        <v>9</v>
      </c>
      <c r="K1346" s="107">
        <v>4032</v>
      </c>
      <c r="L1346" s="107">
        <v>1839</v>
      </c>
      <c r="M1346" s="107">
        <v>253</v>
      </c>
      <c r="N1346" s="107"/>
    </row>
    <row r="1347" spans="1:14" x14ac:dyDescent="0.15">
      <c r="A1347" s="107">
        <v>1695</v>
      </c>
      <c r="B1347" s="107" t="s">
        <v>260</v>
      </c>
      <c r="C1347" s="107" t="s">
        <v>271</v>
      </c>
      <c r="D1347" s="107">
        <v>1</v>
      </c>
      <c r="E1347" s="107" t="s">
        <v>296</v>
      </c>
      <c r="F1347" s="107" t="s">
        <v>559</v>
      </c>
      <c r="G1347" s="107">
        <v>25</v>
      </c>
      <c r="H1347" s="107">
        <v>0</v>
      </c>
      <c r="I1347" s="107">
        <v>0</v>
      </c>
      <c r="J1347" s="107">
        <f t="shared" si="21"/>
        <v>25</v>
      </c>
      <c r="K1347" s="107">
        <v>4034</v>
      </c>
      <c r="L1347" s="107">
        <v>1841</v>
      </c>
      <c r="M1347" s="107">
        <v>490</v>
      </c>
      <c r="N1347" s="107"/>
    </row>
    <row r="1348" spans="1:14" x14ac:dyDescent="0.15">
      <c r="A1348" s="107">
        <v>1696</v>
      </c>
      <c r="B1348" s="107" t="s">
        <v>260</v>
      </c>
      <c r="C1348" s="107" t="s">
        <v>271</v>
      </c>
      <c r="D1348" s="107">
        <v>1</v>
      </c>
      <c r="E1348" s="107" t="s">
        <v>296</v>
      </c>
      <c r="F1348" s="107" t="s">
        <v>559</v>
      </c>
      <c r="G1348" s="107">
        <v>12</v>
      </c>
      <c r="H1348" s="107">
        <v>0</v>
      </c>
      <c r="I1348" s="107">
        <v>0</v>
      </c>
      <c r="J1348" s="107">
        <f t="shared" si="21"/>
        <v>12</v>
      </c>
      <c r="K1348" s="107">
        <v>4035</v>
      </c>
      <c r="L1348" s="107">
        <v>1841</v>
      </c>
      <c r="M1348" s="107">
        <v>67</v>
      </c>
      <c r="N1348" s="107"/>
    </row>
    <row r="1349" spans="1:14" x14ac:dyDescent="0.15">
      <c r="A1349" s="107">
        <v>1697</v>
      </c>
      <c r="B1349" s="107" t="s">
        <v>197</v>
      </c>
      <c r="C1349" s="107" t="s">
        <v>271</v>
      </c>
      <c r="D1349" s="107">
        <v>16</v>
      </c>
      <c r="E1349" s="107" t="s">
        <v>293</v>
      </c>
      <c r="F1349" s="107" t="s">
        <v>559</v>
      </c>
      <c r="G1349" s="107">
        <v>1</v>
      </c>
      <c r="H1349" s="107">
        <v>12</v>
      </c>
      <c r="I1349" s="107">
        <v>0</v>
      </c>
      <c r="J1349" s="107">
        <f t="shared" si="21"/>
        <v>0.1</v>
      </c>
      <c r="K1349" s="107">
        <v>4038</v>
      </c>
      <c r="L1349" s="107">
        <v>1846</v>
      </c>
      <c r="M1349" s="107">
        <v>714</v>
      </c>
      <c r="N1349" s="107" t="s">
        <v>294</v>
      </c>
    </row>
    <row r="1350" spans="1:14" x14ac:dyDescent="0.15">
      <c r="A1350" s="107">
        <v>1698</v>
      </c>
      <c r="B1350" s="107" t="s">
        <v>200</v>
      </c>
      <c r="C1350" s="107" t="s">
        <v>271</v>
      </c>
      <c r="D1350" s="107">
        <v>20</v>
      </c>
      <c r="E1350" s="107" t="s">
        <v>293</v>
      </c>
      <c r="F1350" s="107" t="s">
        <v>559</v>
      </c>
      <c r="G1350" s="107">
        <v>2</v>
      </c>
      <c r="H1350" s="107">
        <v>0</v>
      </c>
      <c r="I1350" s="107">
        <v>0</v>
      </c>
      <c r="J1350" s="107">
        <f t="shared" si="21"/>
        <v>0.1</v>
      </c>
      <c r="K1350" s="107">
        <v>4043</v>
      </c>
      <c r="L1350" s="107">
        <v>1851</v>
      </c>
      <c r="M1350" s="107">
        <v>827</v>
      </c>
      <c r="N1350" s="107"/>
    </row>
    <row r="1351" spans="1:14" x14ac:dyDescent="0.15">
      <c r="A1351" s="107">
        <v>1699</v>
      </c>
      <c r="B1351" s="107" t="s">
        <v>197</v>
      </c>
      <c r="C1351" s="107" t="s">
        <v>271</v>
      </c>
      <c r="D1351" s="107">
        <v>20</v>
      </c>
      <c r="E1351" s="107" t="s">
        <v>293</v>
      </c>
      <c r="F1351" s="107" t="s">
        <v>559</v>
      </c>
      <c r="G1351" s="107">
        <v>2</v>
      </c>
      <c r="H1351" s="107">
        <v>0</v>
      </c>
      <c r="I1351" s="107">
        <v>0</v>
      </c>
      <c r="J1351" s="107">
        <f t="shared" si="21"/>
        <v>0.1</v>
      </c>
      <c r="K1351" s="107">
        <v>4043</v>
      </c>
      <c r="L1351" s="107">
        <v>1851</v>
      </c>
      <c r="M1351" s="107">
        <v>851</v>
      </c>
      <c r="N1351" s="107"/>
    </row>
    <row r="1352" spans="1:14" x14ac:dyDescent="0.15">
      <c r="A1352" s="107">
        <v>1700</v>
      </c>
      <c r="B1352" s="107" t="s">
        <v>200</v>
      </c>
      <c r="C1352" s="107" t="s">
        <v>271</v>
      </c>
      <c r="D1352" s="107">
        <v>42</v>
      </c>
      <c r="E1352" s="107" t="s">
        <v>293</v>
      </c>
      <c r="F1352" s="107" t="s">
        <v>559</v>
      </c>
      <c r="G1352" s="107">
        <v>3</v>
      </c>
      <c r="H1352" s="107">
        <v>13</v>
      </c>
      <c r="I1352" s="107">
        <v>8</v>
      </c>
      <c r="J1352" s="107">
        <f t="shared" si="21"/>
        <v>8.7499999999999994E-2</v>
      </c>
      <c r="K1352" s="107">
        <v>4047</v>
      </c>
      <c r="L1352" s="107">
        <v>1855</v>
      </c>
      <c r="M1352" s="107">
        <v>525</v>
      </c>
      <c r="N1352" s="107" t="s">
        <v>272</v>
      </c>
    </row>
    <row r="1353" spans="1:14" x14ac:dyDescent="0.15">
      <c r="A1353" s="107">
        <v>1701</v>
      </c>
      <c r="B1353" s="107" t="s">
        <v>197</v>
      </c>
      <c r="C1353" s="107" t="s">
        <v>271</v>
      </c>
      <c r="D1353" s="107">
        <v>12</v>
      </c>
      <c r="E1353" s="107" t="s">
        <v>293</v>
      </c>
      <c r="F1353" s="107" t="s">
        <v>559</v>
      </c>
      <c r="G1353" s="107">
        <v>3</v>
      </c>
      <c r="H1353" s="107">
        <v>13</v>
      </c>
      <c r="I1353" s="107">
        <v>8</v>
      </c>
      <c r="J1353" s="107">
        <f t="shared" si="21"/>
        <v>0.30624999999999997</v>
      </c>
      <c r="K1353" s="107">
        <v>4047</v>
      </c>
      <c r="L1353" s="107">
        <v>1855</v>
      </c>
      <c r="M1353" s="107">
        <v>556</v>
      </c>
      <c r="N1353" s="107" t="s">
        <v>294</v>
      </c>
    </row>
    <row r="1354" spans="1:14" x14ac:dyDescent="0.15">
      <c r="A1354" s="107">
        <v>1702</v>
      </c>
      <c r="B1354" s="107" t="s">
        <v>244</v>
      </c>
      <c r="C1354" s="107" t="s">
        <v>271</v>
      </c>
      <c r="D1354" s="107">
        <v>64</v>
      </c>
      <c r="E1354" s="107" t="s">
        <v>293</v>
      </c>
      <c r="F1354" s="107" t="s">
        <v>559</v>
      </c>
      <c r="G1354" s="107">
        <v>6</v>
      </c>
      <c r="H1354" s="107">
        <v>8</v>
      </c>
      <c r="I1354" s="107">
        <v>0</v>
      </c>
      <c r="J1354" s="107">
        <f t="shared" si="21"/>
        <v>0.1</v>
      </c>
      <c r="K1354" s="107">
        <v>4049</v>
      </c>
      <c r="L1354" s="107">
        <v>1856</v>
      </c>
      <c r="M1354" s="107">
        <v>497</v>
      </c>
      <c r="N1354" s="107"/>
    </row>
    <row r="1355" spans="1:14" x14ac:dyDescent="0.15">
      <c r="A1355" s="107">
        <v>1703</v>
      </c>
      <c r="B1355" s="107" t="s">
        <v>253</v>
      </c>
      <c r="C1355" s="107" t="s">
        <v>271</v>
      </c>
      <c r="D1355" s="107">
        <v>102</v>
      </c>
      <c r="E1355" s="107" t="s">
        <v>212</v>
      </c>
      <c r="F1355" s="107" t="s">
        <v>559</v>
      </c>
      <c r="G1355" s="107">
        <v>10</v>
      </c>
      <c r="H1355" s="107">
        <v>4</v>
      </c>
      <c r="I1355" s="107">
        <v>0</v>
      </c>
      <c r="J1355" s="107">
        <f t="shared" si="21"/>
        <v>9.9999999999999992E-2</v>
      </c>
      <c r="K1355" s="107">
        <v>4049</v>
      </c>
      <c r="L1355" s="107">
        <v>1856</v>
      </c>
      <c r="M1355" s="107">
        <v>537</v>
      </c>
      <c r="N1355" s="107"/>
    </row>
    <row r="1356" spans="1:14" x14ac:dyDescent="0.15">
      <c r="A1356" s="107">
        <v>1704</v>
      </c>
      <c r="B1356" s="107" t="s">
        <v>253</v>
      </c>
      <c r="C1356" s="107" t="s">
        <v>271</v>
      </c>
      <c r="D1356" s="107">
        <v>153</v>
      </c>
      <c r="E1356" s="107" t="s">
        <v>212</v>
      </c>
      <c r="F1356" s="107" t="s">
        <v>559</v>
      </c>
      <c r="G1356" s="107">
        <v>15</v>
      </c>
      <c r="H1356" s="107">
        <v>6</v>
      </c>
      <c r="I1356" s="107">
        <v>0</v>
      </c>
      <c r="J1356" s="107">
        <f t="shared" si="21"/>
        <v>0.1</v>
      </c>
      <c r="K1356" s="107">
        <v>4050</v>
      </c>
      <c r="L1356" s="107">
        <v>1858</v>
      </c>
      <c r="M1356" s="107">
        <v>503</v>
      </c>
      <c r="N1356" s="107"/>
    </row>
    <row r="1357" spans="1:14" x14ac:dyDescent="0.15">
      <c r="A1357" s="107">
        <v>1700</v>
      </c>
      <c r="B1357" s="107" t="s">
        <v>200</v>
      </c>
      <c r="C1357" s="107" t="s">
        <v>271</v>
      </c>
      <c r="D1357" s="107">
        <v>2</v>
      </c>
      <c r="E1357" s="107" t="s">
        <v>204</v>
      </c>
      <c r="F1357" s="107" t="s">
        <v>560</v>
      </c>
      <c r="G1357" s="107">
        <v>20</v>
      </c>
      <c r="H1357" s="107">
        <v>0</v>
      </c>
      <c r="I1357" s="107">
        <v>0</v>
      </c>
      <c r="J1357" s="107">
        <f t="shared" si="21"/>
        <v>10</v>
      </c>
      <c r="K1357" s="107">
        <v>4047</v>
      </c>
      <c r="L1357" s="107">
        <v>1855</v>
      </c>
      <c r="M1357" s="107">
        <v>527</v>
      </c>
      <c r="N1357" s="107" t="s">
        <v>272</v>
      </c>
    </row>
    <row r="1358" spans="1:14" x14ac:dyDescent="0.15">
      <c r="A1358" s="107">
        <v>1656</v>
      </c>
      <c r="B1358" s="107" t="s">
        <v>283</v>
      </c>
      <c r="C1358" s="107" t="s">
        <v>274</v>
      </c>
      <c r="D1358" s="107">
        <v>1</v>
      </c>
      <c r="E1358" s="107" t="s">
        <v>323</v>
      </c>
      <c r="F1358" s="107" t="s">
        <v>561</v>
      </c>
      <c r="G1358" s="107">
        <v>75</v>
      </c>
      <c r="H1358" s="107">
        <v>0</v>
      </c>
      <c r="I1358" s="107">
        <v>0</v>
      </c>
      <c r="J1358" s="107">
        <f t="shared" si="21"/>
        <v>75</v>
      </c>
      <c r="K1358" s="107">
        <v>3991</v>
      </c>
      <c r="L1358" s="107">
        <v>1788</v>
      </c>
      <c r="M1358" s="107">
        <v>149</v>
      </c>
      <c r="N1358" s="107" t="s">
        <v>284</v>
      </c>
    </row>
    <row r="1359" spans="1:14" x14ac:dyDescent="0.15">
      <c r="A1359" s="107">
        <v>1655</v>
      </c>
      <c r="B1359" s="107" t="s">
        <v>236</v>
      </c>
      <c r="C1359" s="107" t="s">
        <v>274</v>
      </c>
      <c r="D1359" s="107">
        <v>4</v>
      </c>
      <c r="E1359" s="107" t="s">
        <v>193</v>
      </c>
      <c r="F1359" s="107" t="s">
        <v>562</v>
      </c>
      <c r="G1359" s="107">
        <v>0</v>
      </c>
      <c r="H1359" s="107">
        <v>16</v>
      </c>
      <c r="I1359" s="107">
        <v>0</v>
      </c>
      <c r="J1359" s="107">
        <f t="shared" si="21"/>
        <v>0.2</v>
      </c>
      <c r="K1359" s="107">
        <v>3990</v>
      </c>
      <c r="L1359" s="107">
        <v>1788</v>
      </c>
      <c r="M1359" s="107">
        <v>204</v>
      </c>
      <c r="N1359" s="107" t="s">
        <v>349</v>
      </c>
    </row>
    <row r="1360" spans="1:14" x14ac:dyDescent="0.15">
      <c r="A1360" s="107">
        <v>1682</v>
      </c>
      <c r="B1360" s="107" t="s">
        <v>197</v>
      </c>
      <c r="C1360" s="107" t="s">
        <v>271</v>
      </c>
      <c r="D1360" s="107">
        <v>8.5</v>
      </c>
      <c r="E1360" s="107" t="s">
        <v>193</v>
      </c>
      <c r="F1360" s="107" t="s">
        <v>562</v>
      </c>
      <c r="G1360" s="107">
        <v>0</v>
      </c>
      <c r="H1360" s="107">
        <v>17</v>
      </c>
      <c r="I1360" s="107">
        <v>0</v>
      </c>
      <c r="J1360" s="107">
        <f t="shared" si="21"/>
        <v>9.9999999999999992E-2</v>
      </c>
      <c r="K1360" s="107">
        <v>4018</v>
      </c>
      <c r="L1360" s="107">
        <v>1820</v>
      </c>
      <c r="M1360" s="107">
        <v>759</v>
      </c>
      <c r="N1360" s="107" t="s">
        <v>273</v>
      </c>
    </row>
    <row r="1361" spans="1:15" x14ac:dyDescent="0.15">
      <c r="A1361" s="107">
        <v>1700</v>
      </c>
      <c r="B1361" s="107" t="s">
        <v>200</v>
      </c>
      <c r="C1361" s="107" t="s">
        <v>271</v>
      </c>
      <c r="D1361" s="107">
        <v>1</v>
      </c>
      <c r="E1361" s="107" t="s">
        <v>193</v>
      </c>
      <c r="F1361" s="107" t="s">
        <v>562</v>
      </c>
      <c r="G1361" s="107">
        <v>1</v>
      </c>
      <c r="H1361" s="107">
        <v>0</v>
      </c>
      <c r="I1361" s="107">
        <v>0</v>
      </c>
      <c r="J1361" s="107">
        <f t="shared" si="21"/>
        <v>1</v>
      </c>
      <c r="K1361" s="107">
        <v>4047</v>
      </c>
      <c r="L1361" s="107">
        <v>1855</v>
      </c>
      <c r="M1361" s="107">
        <v>529</v>
      </c>
      <c r="N1361" s="107" t="s">
        <v>272</v>
      </c>
      <c r="O1361" s="107"/>
    </row>
    <row r="1362" spans="1:15" x14ac:dyDescent="0.15">
      <c r="A1362" s="107">
        <v>1701</v>
      </c>
      <c r="B1362" s="107" t="s">
        <v>197</v>
      </c>
      <c r="C1362" s="107" t="s">
        <v>271</v>
      </c>
      <c r="D1362" s="107">
        <v>2</v>
      </c>
      <c r="E1362" s="107" t="s">
        <v>193</v>
      </c>
      <c r="F1362" s="107" t="s">
        <v>562</v>
      </c>
      <c r="G1362" s="107">
        <v>1</v>
      </c>
      <c r="H1362" s="107">
        <v>0</v>
      </c>
      <c r="I1362" s="107">
        <v>0</v>
      </c>
      <c r="J1362" s="107">
        <f t="shared" si="21"/>
        <v>0.5</v>
      </c>
      <c r="K1362" s="107">
        <v>4047</v>
      </c>
      <c r="L1362" s="107">
        <v>1855</v>
      </c>
      <c r="M1362" s="107">
        <v>557</v>
      </c>
      <c r="N1362" s="107" t="s">
        <v>273</v>
      </c>
      <c r="O1362" s="107"/>
    </row>
    <row r="1363" spans="1:15" x14ac:dyDescent="0.15">
      <c r="A1363" s="107">
        <v>1700</v>
      </c>
      <c r="B1363" s="107" t="s">
        <v>200</v>
      </c>
      <c r="C1363" s="107" t="s">
        <v>271</v>
      </c>
      <c r="D1363" s="107">
        <v>5</v>
      </c>
      <c r="E1363" s="107" t="s">
        <v>293</v>
      </c>
      <c r="F1363" s="107" t="s">
        <v>563</v>
      </c>
      <c r="G1363" s="107">
        <v>3</v>
      </c>
      <c r="H1363" s="107">
        <v>15</v>
      </c>
      <c r="I1363" s="107">
        <v>0</v>
      </c>
      <c r="J1363" s="107">
        <f t="shared" si="21"/>
        <v>0.75</v>
      </c>
      <c r="K1363" s="107">
        <v>4047</v>
      </c>
      <c r="L1363" s="107">
        <v>1855</v>
      </c>
      <c r="M1363" s="107">
        <v>527</v>
      </c>
      <c r="N1363" s="107" t="s">
        <v>272</v>
      </c>
      <c r="O1363" s="107"/>
    </row>
    <row r="1364" spans="1:15" x14ac:dyDescent="0.15">
      <c r="A1364" s="107">
        <v>1760</v>
      </c>
      <c r="B1364" s="107" t="s">
        <v>253</v>
      </c>
      <c r="C1364" s="107" t="s">
        <v>268</v>
      </c>
      <c r="D1364" s="25">
        <v>500</v>
      </c>
      <c r="E1364" s="107" t="s">
        <v>204</v>
      </c>
      <c r="F1364" s="107" t="s">
        <v>564</v>
      </c>
      <c r="G1364" s="107">
        <v>13</v>
      </c>
      <c r="H1364" s="107">
        <v>10</v>
      </c>
      <c r="I1364" s="107">
        <v>0</v>
      </c>
      <c r="J1364" s="107">
        <f t="shared" si="21"/>
        <v>2.7E-2</v>
      </c>
      <c r="K1364" s="107">
        <v>6388</v>
      </c>
      <c r="L1364" s="107"/>
      <c r="M1364" s="107"/>
      <c r="N1364" s="107"/>
      <c r="O1364" s="107"/>
    </row>
    <row r="1365" spans="1:15" x14ac:dyDescent="0.15">
      <c r="A1365" s="107">
        <v>1760</v>
      </c>
      <c r="B1365" s="107" t="s">
        <v>253</v>
      </c>
      <c r="C1365" s="107" t="s">
        <v>268</v>
      </c>
      <c r="D1365" s="25">
        <v>500</v>
      </c>
      <c r="E1365" s="107" t="s">
        <v>204</v>
      </c>
      <c r="F1365" s="107" t="s">
        <v>564</v>
      </c>
      <c r="G1365" s="107">
        <v>13</v>
      </c>
      <c r="H1365" s="107">
        <v>10</v>
      </c>
      <c r="I1365" s="107">
        <v>0</v>
      </c>
      <c r="J1365" s="107">
        <f t="shared" si="21"/>
        <v>2.7E-2</v>
      </c>
      <c r="K1365" s="107">
        <v>6387</v>
      </c>
      <c r="L1365" s="107"/>
      <c r="M1365" s="107"/>
      <c r="N1365" s="107"/>
      <c r="O1365" s="107"/>
    </row>
    <row r="1366" spans="1:15" x14ac:dyDescent="0.15">
      <c r="A1366" s="107">
        <v>1761</v>
      </c>
      <c r="B1366" s="107" t="s">
        <v>260</v>
      </c>
      <c r="C1366" s="107" t="s">
        <v>268</v>
      </c>
      <c r="D1366" s="25">
        <v>500</v>
      </c>
      <c r="E1366" s="107" t="s">
        <v>204</v>
      </c>
      <c r="F1366" s="107" t="s">
        <v>564</v>
      </c>
      <c r="G1366" s="107">
        <v>13</v>
      </c>
      <c r="H1366" s="107">
        <v>10</v>
      </c>
      <c r="I1366" s="107">
        <v>0</v>
      </c>
      <c r="J1366" s="107">
        <f t="shared" si="21"/>
        <v>2.7E-2</v>
      </c>
      <c r="K1366" s="107">
        <v>6394</v>
      </c>
      <c r="L1366" s="107"/>
      <c r="M1366" s="107"/>
      <c r="N1366" s="107"/>
      <c r="O1366" s="107"/>
    </row>
    <row r="1367" spans="1:15" x14ac:dyDescent="0.15">
      <c r="A1367" s="107">
        <v>1773</v>
      </c>
      <c r="B1367" s="107" t="s">
        <v>260</v>
      </c>
      <c r="C1367" s="107" t="s">
        <v>268</v>
      </c>
      <c r="D1367" s="25">
        <v>500</v>
      </c>
      <c r="E1367" s="107" t="s">
        <v>204</v>
      </c>
      <c r="F1367" s="107" t="s">
        <v>564</v>
      </c>
      <c r="G1367" s="107">
        <v>12</v>
      </c>
      <c r="H1367" s="107">
        <v>7</v>
      </c>
      <c r="I1367" s="107">
        <v>8</v>
      </c>
      <c r="J1367" s="107">
        <f t="shared" si="21"/>
        <v>2.4750000000000001E-2</v>
      </c>
      <c r="K1367" s="107">
        <v>6566</v>
      </c>
      <c r="L1367" s="107"/>
      <c r="M1367" s="107"/>
      <c r="N1367" s="107"/>
      <c r="O1367" s="107"/>
    </row>
    <row r="1368" spans="1:15" x14ac:dyDescent="0.15">
      <c r="A1368" s="107">
        <v>1774</v>
      </c>
      <c r="B1368" s="107" t="s">
        <v>260</v>
      </c>
      <c r="C1368" s="107" t="s">
        <v>268</v>
      </c>
      <c r="D1368" s="25">
        <v>600</v>
      </c>
      <c r="E1368" s="107" t="s">
        <v>204</v>
      </c>
      <c r="F1368" s="107" t="s">
        <v>564</v>
      </c>
      <c r="G1368" s="107">
        <v>14</v>
      </c>
      <c r="H1368" s="107">
        <v>17</v>
      </c>
      <c r="I1368" s="107">
        <v>0</v>
      </c>
      <c r="J1368" s="107">
        <f t="shared" si="21"/>
        <v>2.4749999999999998E-2</v>
      </c>
      <c r="K1368" s="25">
        <v>6589</v>
      </c>
      <c r="L1368" s="107"/>
      <c r="M1368" s="107"/>
      <c r="N1368" s="107"/>
      <c r="O1368" s="107"/>
    </row>
    <row r="1369" spans="1:15" x14ac:dyDescent="0.15">
      <c r="A1369" s="107">
        <v>1778</v>
      </c>
      <c r="B1369" s="107" t="s">
        <v>192</v>
      </c>
      <c r="C1369" s="107" t="s">
        <v>268</v>
      </c>
      <c r="D1369" s="25">
        <v>500</v>
      </c>
      <c r="E1369" s="107" t="s">
        <v>204</v>
      </c>
      <c r="F1369" s="107" t="s">
        <v>564</v>
      </c>
      <c r="G1369" s="107">
        <v>12</v>
      </c>
      <c r="H1369" s="107">
        <v>7</v>
      </c>
      <c r="I1369" s="107">
        <v>8</v>
      </c>
      <c r="J1369" s="107">
        <f t="shared" si="21"/>
        <v>2.4750000000000001E-2</v>
      </c>
      <c r="K1369" s="107">
        <v>6663</v>
      </c>
      <c r="L1369" s="107"/>
      <c r="M1369" s="107"/>
      <c r="N1369" s="107"/>
      <c r="O1369" s="107"/>
    </row>
    <row r="1370" spans="1:15" x14ac:dyDescent="0.15">
      <c r="A1370" s="107">
        <v>1780</v>
      </c>
      <c r="B1370" s="107" t="s">
        <v>200</v>
      </c>
      <c r="C1370" s="107" t="s">
        <v>268</v>
      </c>
      <c r="D1370" s="25">
        <v>500</v>
      </c>
      <c r="E1370" s="107" t="s">
        <v>204</v>
      </c>
      <c r="F1370" s="107" t="s">
        <v>564</v>
      </c>
      <c r="G1370" s="107">
        <v>12</v>
      </c>
      <c r="H1370" s="107">
        <v>7</v>
      </c>
      <c r="I1370" s="107">
        <v>8</v>
      </c>
      <c r="J1370" s="107">
        <f t="shared" si="21"/>
        <v>2.4750000000000001E-2</v>
      </c>
      <c r="K1370" s="107">
        <v>6689</v>
      </c>
      <c r="L1370" s="107"/>
      <c r="M1370" s="107"/>
      <c r="N1370" s="107"/>
      <c r="O1370" s="107"/>
    </row>
    <row r="1371" spans="1:15" x14ac:dyDescent="0.15">
      <c r="A1371" s="107">
        <v>1655</v>
      </c>
      <c r="B1371" s="107" t="s">
        <v>226</v>
      </c>
      <c r="C1371" s="107" t="s">
        <v>274</v>
      </c>
      <c r="D1371" s="107">
        <v>19</v>
      </c>
      <c r="E1371" s="107" t="s">
        <v>429</v>
      </c>
      <c r="F1371" s="107" t="s">
        <v>565</v>
      </c>
      <c r="G1371" s="107">
        <v>11</v>
      </c>
      <c r="H1371" s="107">
        <v>8</v>
      </c>
      <c r="I1371" s="107">
        <v>0</v>
      </c>
      <c r="J1371" s="107">
        <f t="shared" si="21"/>
        <v>0.6</v>
      </c>
      <c r="K1371" s="107">
        <v>3990</v>
      </c>
      <c r="L1371" s="107">
        <v>1788</v>
      </c>
      <c r="M1371" s="107">
        <v>208</v>
      </c>
      <c r="N1371" s="107" t="s">
        <v>276</v>
      </c>
      <c r="O1371" s="107" t="s">
        <v>277</v>
      </c>
    </row>
    <row r="1372" spans="1:15" x14ac:dyDescent="0.15">
      <c r="A1372" s="107">
        <v>1655</v>
      </c>
      <c r="B1372" s="107" t="s">
        <v>186</v>
      </c>
      <c r="C1372" s="107" t="s">
        <v>274</v>
      </c>
      <c r="D1372" s="107">
        <v>2</v>
      </c>
      <c r="E1372" s="107" t="s">
        <v>429</v>
      </c>
      <c r="F1372" s="107" t="s">
        <v>565</v>
      </c>
      <c r="G1372" s="107">
        <v>1</v>
      </c>
      <c r="H1372" s="107">
        <v>4</v>
      </c>
      <c r="I1372" s="107">
        <v>0</v>
      </c>
      <c r="J1372" s="107">
        <f t="shared" si="21"/>
        <v>0.6</v>
      </c>
      <c r="K1372" s="107">
        <v>3990</v>
      </c>
      <c r="L1372" s="107">
        <v>1788</v>
      </c>
      <c r="M1372" s="107">
        <v>228</v>
      </c>
      <c r="N1372" s="107" t="s">
        <v>287</v>
      </c>
      <c r="O1372" s="107" t="s">
        <v>397</v>
      </c>
    </row>
    <row r="1373" spans="1:15" x14ac:dyDescent="0.15">
      <c r="A1373" s="107">
        <v>1656</v>
      </c>
      <c r="B1373" s="107" t="s">
        <v>253</v>
      </c>
      <c r="C1373" s="107" t="s">
        <v>274</v>
      </c>
      <c r="D1373" s="107">
        <v>300</v>
      </c>
      <c r="E1373" s="107" t="s">
        <v>438</v>
      </c>
      <c r="F1373" s="107" t="s">
        <v>566</v>
      </c>
      <c r="G1373" s="107">
        <v>150</v>
      </c>
      <c r="H1373" s="107">
        <v>0</v>
      </c>
      <c r="I1373" s="107">
        <v>0</v>
      </c>
      <c r="J1373" s="107">
        <f t="shared" si="21"/>
        <v>0.5</v>
      </c>
      <c r="K1373" s="107">
        <v>3991</v>
      </c>
      <c r="L1373" s="107">
        <v>1788</v>
      </c>
      <c r="M1373" s="107">
        <v>151</v>
      </c>
      <c r="N1373" s="107" t="s">
        <v>383</v>
      </c>
      <c r="O1373" s="107"/>
    </row>
    <row r="1374" spans="1:15" x14ac:dyDescent="0.15">
      <c r="A1374" s="107">
        <v>1659</v>
      </c>
      <c r="B1374" s="107" t="s">
        <v>197</v>
      </c>
      <c r="C1374" s="107" t="s">
        <v>274</v>
      </c>
      <c r="D1374" s="107">
        <v>115</v>
      </c>
      <c r="E1374" s="107" t="s">
        <v>438</v>
      </c>
      <c r="F1374" s="107" t="s">
        <v>566</v>
      </c>
      <c r="G1374" s="107">
        <v>387</v>
      </c>
      <c r="H1374" s="107">
        <v>10</v>
      </c>
      <c r="I1374" s="107">
        <v>0</v>
      </c>
      <c r="J1374" s="107">
        <f t="shared" si="21"/>
        <v>3.3695652173913042</v>
      </c>
      <c r="K1374" s="107">
        <v>3993</v>
      </c>
      <c r="L1374" s="107">
        <v>1792</v>
      </c>
      <c r="M1374" s="107">
        <v>167</v>
      </c>
      <c r="N1374" s="107" t="s">
        <v>317</v>
      </c>
      <c r="O1374" s="107"/>
    </row>
    <row r="1375" spans="1:15" x14ac:dyDescent="0.15">
      <c r="A1375" s="107">
        <v>1708</v>
      </c>
      <c r="B1375" s="107" t="s">
        <v>253</v>
      </c>
      <c r="C1375" s="107" t="s">
        <v>268</v>
      </c>
      <c r="D1375" s="25">
        <v>1</v>
      </c>
      <c r="E1375" s="107" t="s">
        <v>193</v>
      </c>
      <c r="F1375" s="107" t="s">
        <v>567</v>
      </c>
      <c r="G1375" s="107">
        <v>0</v>
      </c>
      <c r="H1375" s="107">
        <v>2</v>
      </c>
      <c r="I1375" s="107">
        <v>0</v>
      </c>
      <c r="J1375" s="107">
        <f t="shared" si="21"/>
        <v>0.1</v>
      </c>
      <c r="K1375" s="107">
        <v>5571</v>
      </c>
      <c r="L1375" s="107"/>
      <c r="M1375" s="107"/>
      <c r="N1375" s="107"/>
      <c r="O1375" s="107"/>
    </row>
    <row r="1376" spans="1:15" x14ac:dyDescent="0.15">
      <c r="A1376" s="107">
        <v>1710</v>
      </c>
      <c r="B1376" s="107" t="s">
        <v>186</v>
      </c>
      <c r="C1376" s="107" t="s">
        <v>268</v>
      </c>
      <c r="D1376" s="25">
        <v>3</v>
      </c>
      <c r="E1376" s="107" t="s">
        <v>193</v>
      </c>
      <c r="F1376" s="107" t="s">
        <v>567</v>
      </c>
      <c r="G1376" s="107">
        <v>0</v>
      </c>
      <c r="H1376" s="107">
        <v>6</v>
      </c>
      <c r="I1376" s="107">
        <v>0</v>
      </c>
      <c r="J1376" s="107">
        <f t="shared" si="21"/>
        <v>9.9999999999999992E-2</v>
      </c>
      <c r="K1376" s="107">
        <v>5611</v>
      </c>
      <c r="L1376" s="107"/>
      <c r="M1376" s="107"/>
      <c r="N1376" s="107"/>
      <c r="O1376" s="107"/>
    </row>
    <row r="1377" spans="1:11" x14ac:dyDescent="0.15">
      <c r="A1377" s="107">
        <v>1711</v>
      </c>
      <c r="B1377" s="107" t="s">
        <v>260</v>
      </c>
      <c r="C1377" s="107" t="s">
        <v>268</v>
      </c>
      <c r="D1377" s="25">
        <v>2</v>
      </c>
      <c r="E1377" s="107" t="s">
        <v>193</v>
      </c>
      <c r="F1377" s="107" t="s">
        <v>567</v>
      </c>
      <c r="G1377" s="107">
        <v>0</v>
      </c>
      <c r="H1377" s="107">
        <v>4</v>
      </c>
      <c r="I1377" s="107">
        <v>0</v>
      </c>
      <c r="J1377" s="107">
        <f t="shared" si="21"/>
        <v>0.1</v>
      </c>
      <c r="K1377" s="107">
        <v>5612</v>
      </c>
    </row>
    <row r="1378" spans="1:11" x14ac:dyDescent="0.15">
      <c r="A1378" s="107">
        <v>1712</v>
      </c>
      <c r="B1378" s="107" t="s">
        <v>261</v>
      </c>
      <c r="C1378" s="107" t="s">
        <v>268</v>
      </c>
      <c r="D1378" s="25">
        <v>4</v>
      </c>
      <c r="E1378" s="107" t="s">
        <v>193</v>
      </c>
      <c r="F1378" s="107" t="s">
        <v>567</v>
      </c>
      <c r="G1378" s="107">
        <v>0</v>
      </c>
      <c r="H1378" s="107">
        <v>8</v>
      </c>
      <c r="I1378" s="107">
        <v>0</v>
      </c>
      <c r="J1378" s="107">
        <f t="shared" si="21"/>
        <v>0.1</v>
      </c>
      <c r="K1378" s="107">
        <v>5628</v>
      </c>
    </row>
    <row r="1379" spans="1:11" x14ac:dyDescent="0.15">
      <c r="A1379" s="107">
        <v>1713</v>
      </c>
      <c r="B1379" s="107" t="s">
        <v>260</v>
      </c>
      <c r="C1379" s="107" t="s">
        <v>268</v>
      </c>
      <c r="D1379" s="25">
        <v>4</v>
      </c>
      <c r="E1379" s="107" t="s">
        <v>193</v>
      </c>
      <c r="F1379" s="107" t="s">
        <v>567</v>
      </c>
      <c r="G1379" s="107">
        <v>0</v>
      </c>
      <c r="H1379" s="107">
        <v>8</v>
      </c>
      <c r="I1379" s="107">
        <v>0</v>
      </c>
      <c r="J1379" s="107">
        <f t="shared" si="21"/>
        <v>0.1</v>
      </c>
      <c r="K1379" s="107">
        <v>5644</v>
      </c>
    </row>
    <row r="1380" spans="1:11" x14ac:dyDescent="0.15">
      <c r="A1380" s="107">
        <v>1715</v>
      </c>
      <c r="B1380" s="107" t="s">
        <v>197</v>
      </c>
      <c r="C1380" s="107" t="s">
        <v>268</v>
      </c>
      <c r="D1380" s="25">
        <v>1</v>
      </c>
      <c r="E1380" s="107" t="s">
        <v>193</v>
      </c>
      <c r="F1380" s="107" t="s">
        <v>567</v>
      </c>
      <c r="G1380" s="107">
        <v>0</v>
      </c>
      <c r="H1380" s="107">
        <v>2</v>
      </c>
      <c r="I1380" s="107">
        <v>0</v>
      </c>
      <c r="J1380" s="107">
        <f t="shared" si="21"/>
        <v>0.1</v>
      </c>
      <c r="K1380" s="107">
        <v>5663</v>
      </c>
    </row>
    <row r="1381" spans="1:11" x14ac:dyDescent="0.15">
      <c r="A1381" s="107">
        <v>1717</v>
      </c>
      <c r="B1381" s="107" t="s">
        <v>192</v>
      </c>
      <c r="C1381" s="107" t="s">
        <v>268</v>
      </c>
      <c r="D1381" s="25">
        <v>2</v>
      </c>
      <c r="E1381" s="107" t="s">
        <v>193</v>
      </c>
      <c r="F1381" s="107" t="s">
        <v>567</v>
      </c>
      <c r="G1381" s="107">
        <v>0</v>
      </c>
      <c r="H1381" s="107">
        <v>4</v>
      </c>
      <c r="I1381" s="107">
        <v>0</v>
      </c>
      <c r="J1381" s="107">
        <f t="shared" si="21"/>
        <v>0.1</v>
      </c>
      <c r="K1381" s="107">
        <v>5683</v>
      </c>
    </row>
    <row r="1382" spans="1:11" x14ac:dyDescent="0.15">
      <c r="A1382" s="107">
        <v>1718</v>
      </c>
      <c r="B1382" s="107" t="s">
        <v>253</v>
      </c>
      <c r="C1382" s="107" t="s">
        <v>268</v>
      </c>
      <c r="D1382" s="25">
        <v>2</v>
      </c>
      <c r="E1382" s="107" t="s">
        <v>193</v>
      </c>
      <c r="F1382" s="107" t="s">
        <v>567</v>
      </c>
      <c r="G1382" s="107">
        <v>0</v>
      </c>
      <c r="H1382" s="107">
        <v>4</v>
      </c>
      <c r="I1382" s="107">
        <v>0</v>
      </c>
      <c r="J1382" s="107">
        <f t="shared" si="21"/>
        <v>0.1</v>
      </c>
      <c r="K1382" s="107">
        <v>5702</v>
      </c>
    </row>
    <row r="1383" spans="1:11" x14ac:dyDescent="0.15">
      <c r="A1383" s="107">
        <v>1720</v>
      </c>
      <c r="B1383" s="107" t="s">
        <v>253</v>
      </c>
      <c r="C1383" s="107" t="s">
        <v>268</v>
      </c>
      <c r="D1383" s="25">
        <v>254</v>
      </c>
      <c r="E1383" s="107" t="s">
        <v>193</v>
      </c>
      <c r="F1383" s="107" t="s">
        <v>567</v>
      </c>
      <c r="G1383" s="107">
        <v>25</v>
      </c>
      <c r="H1383" s="107">
        <v>8</v>
      </c>
      <c r="I1383" s="107">
        <v>0</v>
      </c>
      <c r="J1383" s="107">
        <f t="shared" si="21"/>
        <v>9.9999999999999992E-2</v>
      </c>
      <c r="K1383" s="107">
        <v>5731</v>
      </c>
    </row>
    <row r="1384" spans="1:11" x14ac:dyDescent="0.15">
      <c r="A1384" s="107">
        <v>1721</v>
      </c>
      <c r="B1384" s="107" t="s">
        <v>192</v>
      </c>
      <c r="C1384" s="107" t="s">
        <v>268</v>
      </c>
      <c r="D1384" s="25">
        <v>2</v>
      </c>
      <c r="E1384" s="107" t="s">
        <v>193</v>
      </c>
      <c r="F1384" s="107" t="s">
        <v>567</v>
      </c>
      <c r="G1384" s="107">
        <v>0</v>
      </c>
      <c r="H1384" s="107">
        <v>4</v>
      </c>
      <c r="I1384" s="107">
        <v>0</v>
      </c>
      <c r="J1384" s="107">
        <f t="shared" si="21"/>
        <v>0.1</v>
      </c>
      <c r="K1384" s="107">
        <v>5753</v>
      </c>
    </row>
    <row r="1385" spans="1:11" x14ac:dyDescent="0.15">
      <c r="A1385" s="107">
        <v>1722</v>
      </c>
      <c r="B1385" s="107" t="s">
        <v>260</v>
      </c>
      <c r="C1385" s="107" t="s">
        <v>268</v>
      </c>
      <c r="D1385" s="25">
        <v>2</v>
      </c>
      <c r="E1385" s="107" t="s">
        <v>193</v>
      </c>
      <c r="F1385" s="107" t="s">
        <v>567</v>
      </c>
      <c r="G1385" s="107">
        <v>0</v>
      </c>
      <c r="H1385" s="107">
        <v>4</v>
      </c>
      <c r="I1385" s="107">
        <v>0</v>
      </c>
      <c r="J1385" s="107">
        <f t="shared" si="21"/>
        <v>0.1</v>
      </c>
      <c r="K1385" s="107">
        <v>5772</v>
      </c>
    </row>
    <row r="1386" spans="1:11" x14ac:dyDescent="0.15">
      <c r="A1386" s="107">
        <v>1723</v>
      </c>
      <c r="B1386" s="107" t="s">
        <v>236</v>
      </c>
      <c r="C1386" s="107" t="s">
        <v>268</v>
      </c>
      <c r="D1386" s="25">
        <v>3</v>
      </c>
      <c r="E1386" s="107" t="s">
        <v>193</v>
      </c>
      <c r="F1386" s="107" t="s">
        <v>567</v>
      </c>
      <c r="G1386" s="107">
        <v>0</v>
      </c>
      <c r="H1386" s="107">
        <v>6</v>
      </c>
      <c r="I1386" s="107">
        <v>8</v>
      </c>
      <c r="J1386" s="107">
        <f t="shared" si="21"/>
        <v>0.10833333333333334</v>
      </c>
      <c r="K1386" s="107">
        <v>6808</v>
      </c>
    </row>
    <row r="1387" spans="1:11" x14ac:dyDescent="0.15">
      <c r="A1387" s="107">
        <v>1724</v>
      </c>
      <c r="B1387" s="107" t="s">
        <v>197</v>
      </c>
      <c r="C1387" s="107" t="s">
        <v>268</v>
      </c>
      <c r="D1387" s="25">
        <v>3</v>
      </c>
      <c r="E1387" s="107" t="s">
        <v>193</v>
      </c>
      <c r="F1387" s="107" t="s">
        <v>567</v>
      </c>
      <c r="G1387" s="107">
        <v>0</v>
      </c>
      <c r="H1387" s="107">
        <v>6</v>
      </c>
      <c r="I1387" s="107">
        <v>8</v>
      </c>
      <c r="J1387" s="107">
        <f t="shared" si="21"/>
        <v>0.10833333333333334</v>
      </c>
      <c r="K1387" s="107">
        <v>6807</v>
      </c>
    </row>
    <row r="1388" spans="1:11" x14ac:dyDescent="0.15">
      <c r="A1388" s="107">
        <v>1725</v>
      </c>
      <c r="B1388" s="107" t="s">
        <v>200</v>
      </c>
      <c r="C1388" s="107" t="s">
        <v>268</v>
      </c>
      <c r="D1388" s="25">
        <v>3</v>
      </c>
      <c r="E1388" s="107" t="s">
        <v>193</v>
      </c>
      <c r="F1388" s="107" t="s">
        <v>567</v>
      </c>
      <c r="G1388" s="107">
        <v>0</v>
      </c>
      <c r="H1388" s="107">
        <v>8</v>
      </c>
      <c r="I1388" s="107">
        <v>0</v>
      </c>
      <c r="J1388" s="107">
        <f t="shared" si="21"/>
        <v>0.13333333333333333</v>
      </c>
      <c r="K1388" s="107">
        <v>5838</v>
      </c>
    </row>
    <row r="1389" spans="1:11" x14ac:dyDescent="0.15">
      <c r="A1389" s="107">
        <v>1726</v>
      </c>
      <c r="B1389" s="107" t="s">
        <v>261</v>
      </c>
      <c r="C1389" s="107" t="s">
        <v>268</v>
      </c>
      <c r="D1389" s="25">
        <v>3</v>
      </c>
      <c r="E1389" s="107" t="s">
        <v>193</v>
      </c>
      <c r="F1389" s="107" t="s">
        <v>567</v>
      </c>
      <c r="G1389" s="107">
        <v>0</v>
      </c>
      <c r="H1389" s="107">
        <v>7</v>
      </c>
      <c r="I1389" s="107">
        <v>8</v>
      </c>
      <c r="J1389" s="107">
        <f t="shared" si="21"/>
        <v>0.125</v>
      </c>
      <c r="K1389" s="107">
        <v>5855</v>
      </c>
    </row>
    <row r="1390" spans="1:11" x14ac:dyDescent="0.15">
      <c r="A1390" s="107">
        <v>1727</v>
      </c>
      <c r="B1390" s="107" t="s">
        <v>192</v>
      </c>
      <c r="C1390" s="107" t="s">
        <v>268</v>
      </c>
      <c r="D1390" s="25">
        <v>2</v>
      </c>
      <c r="E1390" s="107" t="s">
        <v>193</v>
      </c>
      <c r="F1390" s="107" t="s">
        <v>567</v>
      </c>
      <c r="G1390" s="107">
        <v>0</v>
      </c>
      <c r="H1390" s="107">
        <v>5</v>
      </c>
      <c r="I1390" s="107">
        <v>0</v>
      </c>
      <c r="J1390" s="107">
        <f t="shared" si="21"/>
        <v>0.125</v>
      </c>
      <c r="K1390" s="107">
        <v>5871</v>
      </c>
    </row>
    <row r="1391" spans="1:11" x14ac:dyDescent="0.15">
      <c r="A1391" s="107">
        <v>1728</v>
      </c>
      <c r="B1391" s="107" t="s">
        <v>186</v>
      </c>
      <c r="C1391" s="107" t="s">
        <v>268</v>
      </c>
      <c r="D1391" s="25">
        <v>4</v>
      </c>
      <c r="E1391" s="107" t="s">
        <v>193</v>
      </c>
      <c r="F1391" s="107" t="s">
        <v>567</v>
      </c>
      <c r="G1391" s="107">
        <v>0</v>
      </c>
      <c r="H1391" s="107">
        <v>10</v>
      </c>
      <c r="I1391" s="107">
        <v>8</v>
      </c>
      <c r="J1391" s="107">
        <f t="shared" si="21"/>
        <v>0.13125000000000001</v>
      </c>
      <c r="K1391" s="107">
        <v>5900</v>
      </c>
    </row>
    <row r="1392" spans="1:11" x14ac:dyDescent="0.15">
      <c r="A1392" s="107">
        <v>1730</v>
      </c>
      <c r="B1392" s="107" t="s">
        <v>226</v>
      </c>
      <c r="C1392" s="107" t="s">
        <v>268</v>
      </c>
      <c r="D1392" s="25">
        <v>2</v>
      </c>
      <c r="E1392" s="107" t="s">
        <v>193</v>
      </c>
      <c r="F1392" s="107" t="s">
        <v>567</v>
      </c>
      <c r="G1392" s="107">
        <v>0</v>
      </c>
      <c r="H1392" s="107">
        <v>5</v>
      </c>
      <c r="I1392" s="107">
        <v>0</v>
      </c>
      <c r="J1392" s="107">
        <f t="shared" ref="J1392:J1455" si="22">(G1392+H1392/20+I1392/320)/D1392</f>
        <v>0.125</v>
      </c>
      <c r="K1392" s="107">
        <v>5935</v>
      </c>
    </row>
    <row r="1393" spans="1:11" x14ac:dyDescent="0.15">
      <c r="A1393" s="107">
        <v>1731</v>
      </c>
      <c r="B1393" s="107" t="s">
        <v>261</v>
      </c>
      <c r="C1393" s="107" t="s">
        <v>268</v>
      </c>
      <c r="D1393" s="25">
        <v>2</v>
      </c>
      <c r="E1393" s="107" t="s">
        <v>193</v>
      </c>
      <c r="F1393" s="107" t="s">
        <v>567</v>
      </c>
      <c r="G1393" s="107">
        <v>0</v>
      </c>
      <c r="H1393" s="107">
        <v>5</v>
      </c>
      <c r="I1393" s="107">
        <v>8</v>
      </c>
      <c r="J1393" s="107">
        <f t="shared" si="22"/>
        <v>0.13750000000000001</v>
      </c>
      <c r="K1393" s="107">
        <v>5938</v>
      </c>
    </row>
    <row r="1394" spans="1:11" x14ac:dyDescent="0.15">
      <c r="A1394" s="107">
        <v>1732</v>
      </c>
      <c r="B1394" s="107" t="s">
        <v>186</v>
      </c>
      <c r="C1394" s="107" t="s">
        <v>268</v>
      </c>
      <c r="D1394" s="25">
        <v>2</v>
      </c>
      <c r="E1394" s="107" t="s">
        <v>193</v>
      </c>
      <c r="F1394" s="107" t="s">
        <v>567</v>
      </c>
      <c r="G1394" s="107">
        <v>0</v>
      </c>
      <c r="H1394" s="107">
        <v>5</v>
      </c>
      <c r="I1394" s="107">
        <v>8</v>
      </c>
      <c r="J1394" s="107">
        <f t="shared" si="22"/>
        <v>0.13750000000000001</v>
      </c>
      <c r="K1394" s="107">
        <v>5957</v>
      </c>
    </row>
    <row r="1395" spans="1:11" x14ac:dyDescent="0.15">
      <c r="A1395" s="107">
        <v>1733</v>
      </c>
      <c r="B1395" s="107" t="s">
        <v>253</v>
      </c>
      <c r="C1395" s="107" t="s">
        <v>268</v>
      </c>
      <c r="D1395" s="25">
        <v>2</v>
      </c>
      <c r="E1395" s="107" t="s">
        <v>193</v>
      </c>
      <c r="F1395" s="107" t="s">
        <v>567</v>
      </c>
      <c r="G1395" s="107">
        <v>0</v>
      </c>
      <c r="H1395" s="107">
        <v>5</v>
      </c>
      <c r="I1395" s="107">
        <v>8</v>
      </c>
      <c r="J1395" s="107">
        <f t="shared" si="22"/>
        <v>0.13750000000000001</v>
      </c>
      <c r="K1395" s="107">
        <v>5956</v>
      </c>
    </row>
    <row r="1396" spans="1:11" x14ac:dyDescent="0.15">
      <c r="A1396" s="107">
        <v>1734</v>
      </c>
      <c r="B1396" s="107" t="s">
        <v>196</v>
      </c>
      <c r="C1396" s="107" t="s">
        <v>268</v>
      </c>
      <c r="D1396" s="25">
        <v>2</v>
      </c>
      <c r="E1396" s="107" t="s">
        <v>193</v>
      </c>
      <c r="F1396" s="107" t="s">
        <v>567</v>
      </c>
      <c r="G1396" s="107">
        <v>0</v>
      </c>
      <c r="H1396" s="107">
        <v>5</v>
      </c>
      <c r="I1396" s="107">
        <v>0</v>
      </c>
      <c r="J1396" s="107">
        <f t="shared" si="22"/>
        <v>0.125</v>
      </c>
      <c r="K1396" s="107">
        <v>5981</v>
      </c>
    </row>
    <row r="1397" spans="1:11" x14ac:dyDescent="0.15">
      <c r="A1397" s="107">
        <v>1736</v>
      </c>
      <c r="B1397" s="107" t="s">
        <v>261</v>
      </c>
      <c r="C1397" s="107" t="s">
        <v>268</v>
      </c>
      <c r="D1397" s="25">
        <v>2</v>
      </c>
      <c r="E1397" s="107" t="s">
        <v>193</v>
      </c>
      <c r="F1397" s="107" t="s">
        <v>567</v>
      </c>
      <c r="G1397" s="107">
        <v>0</v>
      </c>
      <c r="H1397" s="107">
        <v>5</v>
      </c>
      <c r="I1397" s="107">
        <v>8</v>
      </c>
      <c r="J1397" s="107">
        <f t="shared" si="22"/>
        <v>0.13750000000000001</v>
      </c>
      <c r="K1397" s="107">
        <v>6014</v>
      </c>
    </row>
    <row r="1398" spans="1:11" x14ac:dyDescent="0.15">
      <c r="A1398" s="107">
        <v>1737</v>
      </c>
      <c r="B1398" s="107" t="s">
        <v>226</v>
      </c>
      <c r="C1398" s="107" t="s">
        <v>268</v>
      </c>
      <c r="D1398" s="25">
        <v>2</v>
      </c>
      <c r="E1398" s="107" t="s">
        <v>193</v>
      </c>
      <c r="F1398" s="107" t="s">
        <v>567</v>
      </c>
      <c r="G1398" s="107">
        <v>0</v>
      </c>
      <c r="H1398" s="107">
        <v>5</v>
      </c>
      <c r="I1398" s="107">
        <v>0</v>
      </c>
      <c r="J1398" s="107">
        <f t="shared" si="22"/>
        <v>0.125</v>
      </c>
      <c r="K1398" s="107">
        <v>6035</v>
      </c>
    </row>
    <row r="1399" spans="1:11" x14ac:dyDescent="0.15">
      <c r="A1399" s="107">
        <v>1738</v>
      </c>
      <c r="B1399" s="107" t="s">
        <v>196</v>
      </c>
      <c r="C1399" s="107" t="s">
        <v>268</v>
      </c>
      <c r="D1399" s="25">
        <v>2</v>
      </c>
      <c r="E1399" s="107" t="s">
        <v>193</v>
      </c>
      <c r="F1399" s="107" t="s">
        <v>567</v>
      </c>
      <c r="G1399" s="107">
        <v>0</v>
      </c>
      <c r="H1399" s="107">
        <v>5</v>
      </c>
      <c r="I1399" s="107">
        <v>0</v>
      </c>
      <c r="J1399" s="107">
        <f t="shared" si="22"/>
        <v>0.125</v>
      </c>
      <c r="K1399" s="107">
        <v>6060</v>
      </c>
    </row>
    <row r="1400" spans="1:11" x14ac:dyDescent="0.15">
      <c r="A1400" s="107">
        <v>1739</v>
      </c>
      <c r="B1400" s="107" t="s">
        <v>226</v>
      </c>
      <c r="C1400" s="107" t="s">
        <v>268</v>
      </c>
      <c r="D1400" s="25">
        <v>2</v>
      </c>
      <c r="E1400" s="107" t="s">
        <v>193</v>
      </c>
      <c r="F1400" s="107" t="s">
        <v>567</v>
      </c>
      <c r="G1400" s="107">
        <v>0</v>
      </c>
      <c r="H1400" s="107">
        <v>5</v>
      </c>
      <c r="I1400" s="107">
        <v>8</v>
      </c>
      <c r="J1400" s="107">
        <f t="shared" si="22"/>
        <v>0.13750000000000001</v>
      </c>
      <c r="K1400" s="107">
        <v>6089</v>
      </c>
    </row>
    <row r="1401" spans="1:11" x14ac:dyDescent="0.15">
      <c r="A1401" s="107">
        <v>1740</v>
      </c>
      <c r="B1401" s="107" t="s">
        <v>197</v>
      </c>
      <c r="C1401" s="107" t="s">
        <v>268</v>
      </c>
      <c r="D1401" s="25">
        <v>2</v>
      </c>
      <c r="E1401" s="107" t="s">
        <v>193</v>
      </c>
      <c r="F1401" s="107" t="s">
        <v>567</v>
      </c>
      <c r="G1401" s="107">
        <v>0</v>
      </c>
      <c r="H1401" s="107">
        <v>5</v>
      </c>
      <c r="I1401" s="107">
        <v>0</v>
      </c>
      <c r="J1401" s="107">
        <f t="shared" si="22"/>
        <v>0.125</v>
      </c>
      <c r="K1401" s="107">
        <v>6098</v>
      </c>
    </row>
    <row r="1402" spans="1:11" x14ac:dyDescent="0.15">
      <c r="A1402" s="107">
        <v>1741</v>
      </c>
      <c r="B1402" s="107" t="s">
        <v>196</v>
      </c>
      <c r="C1402" s="107" t="s">
        <v>268</v>
      </c>
      <c r="D1402" s="25">
        <v>2</v>
      </c>
      <c r="E1402" s="107" t="s">
        <v>193</v>
      </c>
      <c r="F1402" s="107" t="s">
        <v>567</v>
      </c>
      <c r="G1402" s="107">
        <v>0</v>
      </c>
      <c r="H1402" s="107">
        <v>5</v>
      </c>
      <c r="I1402" s="107">
        <v>0</v>
      </c>
      <c r="J1402" s="107">
        <f t="shared" si="22"/>
        <v>0.125</v>
      </c>
      <c r="K1402" s="107">
        <v>6115</v>
      </c>
    </row>
    <row r="1403" spans="1:11" x14ac:dyDescent="0.15">
      <c r="A1403" s="107">
        <v>1743</v>
      </c>
      <c r="B1403" s="107" t="s">
        <v>196</v>
      </c>
      <c r="C1403" s="107" t="s">
        <v>268</v>
      </c>
      <c r="D1403" s="25">
        <v>2</v>
      </c>
      <c r="E1403" s="107" t="s">
        <v>193</v>
      </c>
      <c r="F1403" s="107" t="s">
        <v>567</v>
      </c>
      <c r="G1403" s="107">
        <v>0</v>
      </c>
      <c r="H1403" s="107">
        <v>4</v>
      </c>
      <c r="I1403" s="107">
        <v>8</v>
      </c>
      <c r="J1403" s="107">
        <f t="shared" si="22"/>
        <v>0.1125</v>
      </c>
      <c r="K1403" s="107">
        <v>6143</v>
      </c>
    </row>
    <row r="1404" spans="1:11" x14ac:dyDescent="0.15">
      <c r="A1404" s="107">
        <v>1744</v>
      </c>
      <c r="B1404" s="107" t="s">
        <v>253</v>
      </c>
      <c r="C1404" s="107" t="s">
        <v>268</v>
      </c>
      <c r="D1404" s="25">
        <v>2</v>
      </c>
      <c r="E1404" s="107" t="s">
        <v>193</v>
      </c>
      <c r="F1404" s="107" t="s">
        <v>567</v>
      </c>
      <c r="G1404" s="107">
        <v>0</v>
      </c>
      <c r="H1404" s="107">
        <v>3</v>
      </c>
      <c r="I1404" s="107">
        <v>8</v>
      </c>
      <c r="J1404" s="107">
        <f t="shared" si="22"/>
        <v>8.7499999999999994E-2</v>
      </c>
      <c r="K1404" s="107">
        <v>6160</v>
      </c>
    </row>
    <row r="1405" spans="1:11" x14ac:dyDescent="0.15">
      <c r="A1405" s="107">
        <v>1745</v>
      </c>
      <c r="B1405" s="107" t="s">
        <v>261</v>
      </c>
      <c r="C1405" s="107" t="s">
        <v>268</v>
      </c>
      <c r="D1405" s="25">
        <v>2</v>
      </c>
      <c r="E1405" s="107" t="s">
        <v>193</v>
      </c>
      <c r="F1405" s="107" t="s">
        <v>567</v>
      </c>
      <c r="G1405" s="107">
        <v>0</v>
      </c>
      <c r="H1405" s="107">
        <v>4</v>
      </c>
      <c r="I1405" s="107">
        <v>0</v>
      </c>
      <c r="J1405" s="107">
        <f t="shared" si="22"/>
        <v>0.1</v>
      </c>
      <c r="K1405" s="107">
        <v>6176</v>
      </c>
    </row>
    <row r="1406" spans="1:11" x14ac:dyDescent="0.15">
      <c r="A1406" s="107">
        <v>1747</v>
      </c>
      <c r="B1406" s="107" t="s">
        <v>247</v>
      </c>
      <c r="C1406" s="107" t="s">
        <v>268</v>
      </c>
      <c r="D1406" s="25">
        <v>2</v>
      </c>
      <c r="E1406" s="107" t="s">
        <v>193</v>
      </c>
      <c r="F1406" s="107" t="s">
        <v>567</v>
      </c>
      <c r="G1406" s="107">
        <v>0</v>
      </c>
      <c r="H1406" s="107">
        <v>3</v>
      </c>
      <c r="I1406" s="107">
        <v>8</v>
      </c>
      <c r="J1406" s="107">
        <f t="shared" si="22"/>
        <v>8.7499999999999994E-2</v>
      </c>
      <c r="K1406" s="107">
        <v>6207</v>
      </c>
    </row>
    <row r="1407" spans="1:11" x14ac:dyDescent="0.15">
      <c r="A1407" s="107">
        <v>1748</v>
      </c>
      <c r="B1407" s="107" t="s">
        <v>260</v>
      </c>
      <c r="C1407" s="107" t="s">
        <v>268</v>
      </c>
      <c r="D1407" s="25">
        <v>2</v>
      </c>
      <c r="E1407" s="107" t="s">
        <v>193</v>
      </c>
      <c r="F1407" s="107" t="s">
        <v>567</v>
      </c>
      <c r="G1407" s="107">
        <v>0</v>
      </c>
      <c r="H1407" s="107">
        <v>3</v>
      </c>
      <c r="I1407" s="107">
        <v>8</v>
      </c>
      <c r="J1407" s="107">
        <f t="shared" si="22"/>
        <v>8.7499999999999994E-2</v>
      </c>
      <c r="K1407" s="107">
        <v>6218</v>
      </c>
    </row>
    <row r="1408" spans="1:11" x14ac:dyDescent="0.15">
      <c r="A1408" s="107">
        <v>1749</v>
      </c>
      <c r="B1408" s="107" t="s">
        <v>253</v>
      </c>
      <c r="C1408" s="107" t="s">
        <v>268</v>
      </c>
      <c r="D1408" s="25">
        <v>2</v>
      </c>
      <c r="E1408" s="107" t="s">
        <v>193</v>
      </c>
      <c r="F1408" s="107" t="s">
        <v>567</v>
      </c>
      <c r="G1408" s="107">
        <v>0</v>
      </c>
      <c r="H1408" s="107">
        <v>4</v>
      </c>
      <c r="I1408" s="107">
        <v>0</v>
      </c>
      <c r="J1408" s="107">
        <f t="shared" si="22"/>
        <v>0.1</v>
      </c>
      <c r="K1408" s="107">
        <v>6233</v>
      </c>
    </row>
    <row r="1409" spans="1:11" x14ac:dyDescent="0.15">
      <c r="A1409" s="107">
        <v>1750</v>
      </c>
      <c r="B1409" s="107" t="s">
        <v>197</v>
      </c>
      <c r="C1409" s="107" t="s">
        <v>268</v>
      </c>
      <c r="D1409" s="25">
        <v>6</v>
      </c>
      <c r="E1409" s="107" t="s">
        <v>193</v>
      </c>
      <c r="F1409" s="107" t="s">
        <v>567</v>
      </c>
      <c r="G1409" s="107">
        <v>0</v>
      </c>
      <c r="H1409" s="107">
        <v>4</v>
      </c>
      <c r="I1409" s="107">
        <v>0</v>
      </c>
      <c r="J1409" s="107">
        <f t="shared" si="22"/>
        <v>3.3333333333333333E-2</v>
      </c>
      <c r="K1409" s="107">
        <v>6254</v>
      </c>
    </row>
    <row r="1410" spans="1:11" x14ac:dyDescent="0.15">
      <c r="A1410" s="107">
        <v>1751</v>
      </c>
      <c r="B1410" s="107" t="s">
        <v>196</v>
      </c>
      <c r="C1410" s="107" t="s">
        <v>268</v>
      </c>
      <c r="D1410" s="25">
        <v>2</v>
      </c>
      <c r="E1410" s="107" t="s">
        <v>193</v>
      </c>
      <c r="F1410" s="107" t="s">
        <v>567</v>
      </c>
      <c r="G1410" s="107">
        <v>0</v>
      </c>
      <c r="H1410" s="107">
        <v>3</v>
      </c>
      <c r="I1410" s="107">
        <v>8</v>
      </c>
      <c r="J1410" s="107">
        <f t="shared" si="22"/>
        <v>8.7499999999999994E-2</v>
      </c>
      <c r="K1410" s="107">
        <v>6270</v>
      </c>
    </row>
    <row r="1411" spans="1:11" x14ac:dyDescent="0.15">
      <c r="A1411" s="107">
        <v>1752</v>
      </c>
      <c r="B1411" s="107" t="s">
        <v>260</v>
      </c>
      <c r="C1411" s="107" t="s">
        <v>268</v>
      </c>
      <c r="D1411" s="25">
        <v>2</v>
      </c>
      <c r="E1411" s="107" t="s">
        <v>193</v>
      </c>
      <c r="F1411" s="107" t="s">
        <v>567</v>
      </c>
      <c r="G1411" s="107">
        <v>0</v>
      </c>
      <c r="H1411" s="107">
        <v>4</v>
      </c>
      <c r="I1411" s="107">
        <v>0</v>
      </c>
      <c r="J1411" s="107">
        <f t="shared" si="22"/>
        <v>0.1</v>
      </c>
      <c r="K1411" s="107">
        <v>6286</v>
      </c>
    </row>
    <row r="1412" spans="1:11" x14ac:dyDescent="0.15">
      <c r="A1412" s="107">
        <v>1753</v>
      </c>
      <c r="B1412" s="107" t="s">
        <v>196</v>
      </c>
      <c r="C1412" s="107" t="s">
        <v>268</v>
      </c>
      <c r="D1412" s="25">
        <v>2</v>
      </c>
      <c r="E1412" s="107" t="s">
        <v>193</v>
      </c>
      <c r="F1412" s="107" t="s">
        <v>567</v>
      </c>
      <c r="G1412" s="107">
        <v>0</v>
      </c>
      <c r="H1412" s="107">
        <v>3</v>
      </c>
      <c r="I1412" s="107">
        <v>8</v>
      </c>
      <c r="J1412" s="107">
        <f t="shared" si="22"/>
        <v>8.7499999999999994E-2</v>
      </c>
      <c r="K1412" s="107">
        <v>6303</v>
      </c>
    </row>
    <row r="1413" spans="1:11" x14ac:dyDescent="0.15">
      <c r="A1413" s="107">
        <v>1754</v>
      </c>
      <c r="B1413" s="107" t="s">
        <v>196</v>
      </c>
      <c r="C1413" s="107" t="s">
        <v>268</v>
      </c>
      <c r="D1413" s="25">
        <v>2</v>
      </c>
      <c r="E1413" s="107" t="s">
        <v>193</v>
      </c>
      <c r="F1413" s="107" t="s">
        <v>567</v>
      </c>
      <c r="G1413" s="107">
        <v>0</v>
      </c>
      <c r="H1413" s="107">
        <v>4</v>
      </c>
      <c r="I1413" s="107">
        <v>0</v>
      </c>
      <c r="J1413" s="107">
        <f t="shared" si="22"/>
        <v>0.1</v>
      </c>
      <c r="K1413" s="107">
        <v>6314</v>
      </c>
    </row>
    <row r="1414" spans="1:11" x14ac:dyDescent="0.15">
      <c r="A1414" s="107">
        <v>1755</v>
      </c>
      <c r="B1414" s="107" t="s">
        <v>226</v>
      </c>
      <c r="C1414" s="107" t="s">
        <v>268</v>
      </c>
      <c r="D1414" s="25">
        <v>2</v>
      </c>
      <c r="E1414" s="107" t="s">
        <v>193</v>
      </c>
      <c r="F1414" s="107" t="s">
        <v>567</v>
      </c>
      <c r="G1414" s="107">
        <v>0</v>
      </c>
      <c r="H1414" s="107">
        <v>4</v>
      </c>
      <c r="I1414" s="107">
        <v>0</v>
      </c>
      <c r="J1414" s="107">
        <f t="shared" si="22"/>
        <v>0.1</v>
      </c>
      <c r="K1414" s="107">
        <v>6316</v>
      </c>
    </row>
    <row r="1415" spans="1:11" x14ac:dyDescent="0.15">
      <c r="A1415" s="107">
        <v>1756</v>
      </c>
      <c r="B1415" s="107" t="s">
        <v>197</v>
      </c>
      <c r="C1415" s="107" t="s">
        <v>268</v>
      </c>
      <c r="D1415" s="25">
        <v>2</v>
      </c>
      <c r="E1415" s="107" t="s">
        <v>193</v>
      </c>
      <c r="F1415" s="107" t="s">
        <v>567</v>
      </c>
      <c r="G1415" s="107">
        <v>0</v>
      </c>
      <c r="H1415" s="107">
        <v>4</v>
      </c>
      <c r="I1415" s="107">
        <v>8</v>
      </c>
      <c r="J1415" s="107">
        <f t="shared" si="22"/>
        <v>0.1125</v>
      </c>
      <c r="K1415" s="107">
        <v>6333</v>
      </c>
    </row>
    <row r="1416" spans="1:11" x14ac:dyDescent="0.15">
      <c r="A1416" s="107">
        <v>1757</v>
      </c>
      <c r="B1416" s="107" t="s">
        <v>186</v>
      </c>
      <c r="C1416" s="107" t="s">
        <v>268</v>
      </c>
      <c r="D1416" s="25">
        <v>2</v>
      </c>
      <c r="E1416" s="107" t="s">
        <v>193</v>
      </c>
      <c r="F1416" s="107" t="s">
        <v>567</v>
      </c>
      <c r="G1416" s="107">
        <v>0</v>
      </c>
      <c r="H1416" s="107">
        <v>4</v>
      </c>
      <c r="I1416" s="107">
        <v>8</v>
      </c>
      <c r="J1416" s="107">
        <f t="shared" si="22"/>
        <v>0.1125</v>
      </c>
      <c r="K1416" s="107">
        <v>6354</v>
      </c>
    </row>
    <row r="1417" spans="1:11" x14ac:dyDescent="0.15">
      <c r="A1417" s="107">
        <v>1759</v>
      </c>
      <c r="B1417" s="107" t="s">
        <v>261</v>
      </c>
      <c r="C1417" s="107" t="s">
        <v>268</v>
      </c>
      <c r="D1417" s="25">
        <v>2</v>
      </c>
      <c r="E1417" s="107" t="s">
        <v>193</v>
      </c>
      <c r="F1417" s="107" t="s">
        <v>567</v>
      </c>
      <c r="G1417" s="107">
        <v>0</v>
      </c>
      <c r="H1417" s="107">
        <v>4</v>
      </c>
      <c r="I1417" s="107">
        <v>8</v>
      </c>
      <c r="J1417" s="107">
        <f t="shared" si="22"/>
        <v>0.1125</v>
      </c>
      <c r="K1417" s="107">
        <v>6364</v>
      </c>
    </row>
    <row r="1418" spans="1:11" x14ac:dyDescent="0.15">
      <c r="A1418" s="107">
        <v>1760</v>
      </c>
      <c r="B1418" s="107" t="s">
        <v>244</v>
      </c>
      <c r="C1418" s="107" t="s">
        <v>268</v>
      </c>
      <c r="D1418" s="25">
        <v>7</v>
      </c>
      <c r="E1418" s="107" t="s">
        <v>193</v>
      </c>
      <c r="F1418" s="107" t="s">
        <v>567</v>
      </c>
      <c r="G1418" s="107">
        <v>0</v>
      </c>
      <c r="H1418" s="107">
        <v>14</v>
      </c>
      <c r="I1418" s="107">
        <v>8</v>
      </c>
      <c r="J1418" s="107">
        <f t="shared" si="22"/>
        <v>0.10357142857142856</v>
      </c>
      <c r="K1418" s="107">
        <v>6374</v>
      </c>
    </row>
    <row r="1419" spans="1:11" x14ac:dyDescent="0.15">
      <c r="A1419" s="107">
        <v>1761</v>
      </c>
      <c r="B1419" s="107" t="s">
        <v>260</v>
      </c>
      <c r="C1419" s="107" t="s">
        <v>268</v>
      </c>
      <c r="D1419" s="25">
        <v>2</v>
      </c>
      <c r="E1419" s="107" t="s">
        <v>193</v>
      </c>
      <c r="F1419" s="107" t="s">
        <v>567</v>
      </c>
      <c r="G1419" s="107">
        <v>0</v>
      </c>
      <c r="H1419" s="107">
        <v>4</v>
      </c>
      <c r="I1419" s="107">
        <v>0</v>
      </c>
      <c r="J1419" s="107">
        <f t="shared" si="22"/>
        <v>0.1</v>
      </c>
      <c r="K1419" s="107">
        <v>6388</v>
      </c>
    </row>
    <row r="1420" spans="1:11" x14ac:dyDescent="0.15">
      <c r="A1420" s="107">
        <v>1761</v>
      </c>
      <c r="B1420" s="107" t="s">
        <v>260</v>
      </c>
      <c r="C1420" s="107" t="s">
        <v>268</v>
      </c>
      <c r="D1420" s="25">
        <v>2</v>
      </c>
      <c r="E1420" s="107" t="s">
        <v>193</v>
      </c>
      <c r="F1420" s="107" t="s">
        <v>567</v>
      </c>
      <c r="G1420" s="107">
        <v>0</v>
      </c>
      <c r="H1420" s="107">
        <v>4</v>
      </c>
      <c r="I1420" s="107">
        <v>0</v>
      </c>
      <c r="J1420" s="107">
        <f t="shared" si="22"/>
        <v>0.1</v>
      </c>
      <c r="K1420" s="107">
        <v>6394</v>
      </c>
    </row>
    <row r="1421" spans="1:11" x14ac:dyDescent="0.15">
      <c r="A1421" s="107">
        <v>1762</v>
      </c>
      <c r="B1421" s="107" t="s">
        <v>261</v>
      </c>
      <c r="C1421" s="107" t="s">
        <v>268</v>
      </c>
      <c r="D1421" s="25">
        <v>2</v>
      </c>
      <c r="E1421" s="107" t="s">
        <v>193</v>
      </c>
      <c r="F1421" s="107" t="s">
        <v>567</v>
      </c>
      <c r="G1421" s="107">
        <v>0</v>
      </c>
      <c r="H1421" s="107">
        <v>4</v>
      </c>
      <c r="I1421" s="107">
        <v>0</v>
      </c>
      <c r="J1421" s="107">
        <f t="shared" si="22"/>
        <v>0.1</v>
      </c>
      <c r="K1421" s="107">
        <v>6394</v>
      </c>
    </row>
    <row r="1422" spans="1:11" x14ac:dyDescent="0.15">
      <c r="A1422" s="107">
        <v>1763</v>
      </c>
      <c r="B1422" s="107" t="s">
        <v>197</v>
      </c>
      <c r="C1422" s="107" t="s">
        <v>268</v>
      </c>
      <c r="D1422" s="25">
        <v>2</v>
      </c>
      <c r="E1422" s="107" t="s">
        <v>193</v>
      </c>
      <c r="F1422" s="107" t="s">
        <v>567</v>
      </c>
      <c r="G1422" s="107">
        <v>0</v>
      </c>
      <c r="H1422" s="107">
        <v>5</v>
      </c>
      <c r="I1422" s="107">
        <v>0</v>
      </c>
      <c r="J1422" s="107">
        <f t="shared" si="22"/>
        <v>0.125</v>
      </c>
      <c r="K1422" s="107">
        <v>6423</v>
      </c>
    </row>
    <row r="1423" spans="1:11" x14ac:dyDescent="0.15">
      <c r="A1423" s="107">
        <v>1764</v>
      </c>
      <c r="B1423" s="107" t="s">
        <v>261</v>
      </c>
      <c r="C1423" s="107" t="s">
        <v>268</v>
      </c>
      <c r="D1423" s="25">
        <v>2</v>
      </c>
      <c r="E1423" s="107" t="s">
        <v>193</v>
      </c>
      <c r="F1423" s="107" t="s">
        <v>567</v>
      </c>
      <c r="G1423" s="107">
        <v>0</v>
      </c>
      <c r="H1423" s="107">
        <v>4</v>
      </c>
      <c r="I1423" s="107">
        <v>8</v>
      </c>
      <c r="J1423" s="107">
        <f t="shared" si="22"/>
        <v>0.1125</v>
      </c>
      <c r="K1423" s="107">
        <v>6423</v>
      </c>
    </row>
    <row r="1424" spans="1:11" x14ac:dyDescent="0.15">
      <c r="A1424" s="107">
        <v>1765</v>
      </c>
      <c r="B1424" s="107" t="s">
        <v>196</v>
      </c>
      <c r="C1424" s="107" t="s">
        <v>268</v>
      </c>
      <c r="D1424" s="25">
        <v>2</v>
      </c>
      <c r="E1424" s="107" t="s">
        <v>193</v>
      </c>
      <c r="F1424" s="107" t="s">
        <v>567</v>
      </c>
      <c r="G1424" s="107">
        <v>0</v>
      </c>
      <c r="H1424" s="107">
        <v>4</v>
      </c>
      <c r="I1424" s="107">
        <v>8</v>
      </c>
      <c r="J1424" s="107">
        <f t="shared" si="22"/>
        <v>0.1125</v>
      </c>
      <c r="K1424" s="107">
        <v>6454</v>
      </c>
    </row>
    <row r="1425" spans="1:11" x14ac:dyDescent="0.15">
      <c r="A1425" s="107">
        <v>1766</v>
      </c>
      <c r="B1425" s="107" t="s">
        <v>261</v>
      </c>
      <c r="C1425" s="107" t="s">
        <v>268</v>
      </c>
      <c r="D1425" s="25">
        <v>2</v>
      </c>
      <c r="E1425" s="107" t="s">
        <v>193</v>
      </c>
      <c r="F1425" s="107" t="s">
        <v>567</v>
      </c>
      <c r="G1425" s="107">
        <v>0</v>
      </c>
      <c r="H1425" s="107">
        <v>4</v>
      </c>
      <c r="I1425" s="107">
        <v>8</v>
      </c>
      <c r="J1425" s="107">
        <f t="shared" si="22"/>
        <v>0.1125</v>
      </c>
      <c r="K1425" s="107">
        <v>6457</v>
      </c>
    </row>
    <row r="1426" spans="1:11" x14ac:dyDescent="0.15">
      <c r="A1426" s="107">
        <v>1767</v>
      </c>
      <c r="B1426" s="107" t="s">
        <v>197</v>
      </c>
      <c r="C1426" s="107" t="s">
        <v>268</v>
      </c>
      <c r="D1426" s="25">
        <v>2</v>
      </c>
      <c r="E1426" s="107" t="s">
        <v>193</v>
      </c>
      <c r="F1426" s="107" t="s">
        <v>567</v>
      </c>
      <c r="G1426" s="107">
        <v>0</v>
      </c>
      <c r="H1426" s="107">
        <v>5</v>
      </c>
      <c r="I1426" s="107">
        <v>0</v>
      </c>
      <c r="J1426" s="107">
        <f t="shared" si="22"/>
        <v>0.125</v>
      </c>
      <c r="K1426" s="107">
        <v>6475</v>
      </c>
    </row>
    <row r="1427" spans="1:11" x14ac:dyDescent="0.15">
      <c r="A1427" s="107">
        <v>1768</v>
      </c>
      <c r="B1427" s="107" t="s">
        <v>260</v>
      </c>
      <c r="C1427" s="107" t="s">
        <v>268</v>
      </c>
      <c r="D1427" s="25">
        <v>2</v>
      </c>
      <c r="E1427" s="107" t="s">
        <v>193</v>
      </c>
      <c r="F1427" s="107" t="s">
        <v>567</v>
      </c>
      <c r="G1427" s="107">
        <v>0</v>
      </c>
      <c r="H1427" s="107">
        <v>4</v>
      </c>
      <c r="I1427" s="107">
        <v>0</v>
      </c>
      <c r="J1427" s="107">
        <f t="shared" si="22"/>
        <v>0.1</v>
      </c>
      <c r="K1427" s="107">
        <v>6489</v>
      </c>
    </row>
    <row r="1428" spans="1:11" x14ac:dyDescent="0.15">
      <c r="A1428" s="107">
        <v>1769</v>
      </c>
      <c r="B1428" s="107" t="s">
        <v>260</v>
      </c>
      <c r="C1428" s="107" t="s">
        <v>268</v>
      </c>
      <c r="D1428" s="25">
        <v>2</v>
      </c>
      <c r="E1428" s="107" t="s">
        <v>193</v>
      </c>
      <c r="F1428" s="107" t="s">
        <v>567</v>
      </c>
      <c r="G1428" s="107">
        <v>0</v>
      </c>
      <c r="H1428" s="107">
        <v>4</v>
      </c>
      <c r="I1428" s="107">
        <v>0</v>
      </c>
      <c r="J1428" s="107">
        <f t="shared" si="22"/>
        <v>0.1</v>
      </c>
      <c r="K1428" s="107">
        <v>6518</v>
      </c>
    </row>
    <row r="1429" spans="1:11" x14ac:dyDescent="0.15">
      <c r="A1429" s="107">
        <v>1770</v>
      </c>
      <c r="B1429" s="107" t="s">
        <v>200</v>
      </c>
      <c r="C1429" s="107" t="s">
        <v>268</v>
      </c>
      <c r="D1429" s="25">
        <v>2</v>
      </c>
      <c r="E1429" s="107" t="s">
        <v>193</v>
      </c>
      <c r="F1429" s="107" t="s">
        <v>567</v>
      </c>
      <c r="G1429" s="107">
        <v>0</v>
      </c>
      <c r="H1429" s="107">
        <v>4</v>
      </c>
      <c r="I1429" s="107">
        <v>0</v>
      </c>
      <c r="J1429" s="107">
        <f t="shared" si="22"/>
        <v>0.1</v>
      </c>
      <c r="K1429" s="107">
        <v>6535</v>
      </c>
    </row>
    <row r="1430" spans="1:11" x14ac:dyDescent="0.15">
      <c r="A1430" s="107">
        <v>1771</v>
      </c>
      <c r="B1430" s="107" t="s">
        <v>261</v>
      </c>
      <c r="C1430" s="107" t="s">
        <v>268</v>
      </c>
      <c r="D1430" s="25">
        <v>2</v>
      </c>
      <c r="E1430" s="107" t="s">
        <v>193</v>
      </c>
      <c r="F1430" s="107" t="s">
        <v>567</v>
      </c>
      <c r="G1430" s="107">
        <v>0</v>
      </c>
      <c r="H1430" s="107">
        <v>4</v>
      </c>
      <c r="I1430" s="107">
        <v>0</v>
      </c>
      <c r="J1430" s="107">
        <f t="shared" si="22"/>
        <v>0.1</v>
      </c>
      <c r="K1430" s="107">
        <v>6540</v>
      </c>
    </row>
    <row r="1431" spans="1:11" x14ac:dyDescent="0.15">
      <c r="A1431" s="107">
        <v>1773</v>
      </c>
      <c r="B1431" s="107" t="s">
        <v>260</v>
      </c>
      <c r="C1431" s="107" t="s">
        <v>268</v>
      </c>
      <c r="D1431" s="25">
        <v>2</v>
      </c>
      <c r="E1431" s="107" t="s">
        <v>193</v>
      </c>
      <c r="F1431" s="107" t="s">
        <v>567</v>
      </c>
      <c r="G1431" s="107">
        <v>0</v>
      </c>
      <c r="H1431" s="107">
        <v>4</v>
      </c>
      <c r="I1431" s="107">
        <v>8</v>
      </c>
      <c r="J1431" s="107">
        <f t="shared" si="22"/>
        <v>0.1125</v>
      </c>
      <c r="K1431" s="107">
        <v>6566</v>
      </c>
    </row>
    <row r="1432" spans="1:11" x14ac:dyDescent="0.15">
      <c r="A1432" s="107">
        <v>1774</v>
      </c>
      <c r="B1432" s="107" t="s">
        <v>260</v>
      </c>
      <c r="C1432" s="107" t="s">
        <v>268</v>
      </c>
      <c r="D1432" s="25">
        <v>2</v>
      </c>
      <c r="E1432" s="107" t="s">
        <v>193</v>
      </c>
      <c r="F1432" s="107" t="s">
        <v>567</v>
      </c>
      <c r="G1432" s="107">
        <v>0</v>
      </c>
      <c r="H1432" s="107">
        <v>4</v>
      </c>
      <c r="I1432" s="107">
        <v>0</v>
      </c>
      <c r="J1432" s="107">
        <f t="shared" si="22"/>
        <v>0.1</v>
      </c>
      <c r="K1432" s="25">
        <v>6589</v>
      </c>
    </row>
    <row r="1433" spans="1:11" x14ac:dyDescent="0.15">
      <c r="A1433" s="107">
        <v>1775</v>
      </c>
      <c r="B1433" s="107" t="s">
        <v>196</v>
      </c>
      <c r="C1433" s="107" t="s">
        <v>268</v>
      </c>
      <c r="D1433" s="25">
        <v>2</v>
      </c>
      <c r="E1433" s="107" t="s">
        <v>193</v>
      </c>
      <c r="F1433" s="107" t="s">
        <v>567</v>
      </c>
      <c r="G1433" s="107">
        <v>0</v>
      </c>
      <c r="H1433" s="107">
        <v>4</v>
      </c>
      <c r="I1433" s="107">
        <v>8</v>
      </c>
      <c r="J1433" s="107">
        <f t="shared" si="22"/>
        <v>0.1125</v>
      </c>
      <c r="K1433" s="107">
        <v>6611</v>
      </c>
    </row>
    <row r="1434" spans="1:11" x14ac:dyDescent="0.15">
      <c r="A1434" s="107">
        <v>1776</v>
      </c>
      <c r="B1434" s="107" t="s">
        <v>253</v>
      </c>
      <c r="C1434" s="107" t="s">
        <v>268</v>
      </c>
      <c r="D1434" s="25">
        <v>2</v>
      </c>
      <c r="E1434" s="107" t="s">
        <v>193</v>
      </c>
      <c r="F1434" s="107" t="s">
        <v>567</v>
      </c>
      <c r="G1434" s="107">
        <v>0</v>
      </c>
      <c r="H1434" s="107">
        <v>4</v>
      </c>
      <c r="I1434" s="107">
        <v>0</v>
      </c>
      <c r="J1434" s="107">
        <f t="shared" si="22"/>
        <v>0.1</v>
      </c>
      <c r="K1434" s="107">
        <v>6627</v>
      </c>
    </row>
    <row r="1435" spans="1:11" x14ac:dyDescent="0.15">
      <c r="A1435" s="107">
        <v>1777</v>
      </c>
      <c r="B1435" s="107" t="s">
        <v>253</v>
      </c>
      <c r="C1435" s="107" t="s">
        <v>268</v>
      </c>
      <c r="D1435" s="25">
        <v>2</v>
      </c>
      <c r="E1435" s="107" t="s">
        <v>193</v>
      </c>
      <c r="F1435" s="107" t="s">
        <v>567</v>
      </c>
      <c r="G1435" s="107">
        <v>0</v>
      </c>
      <c r="H1435" s="107">
        <v>4</v>
      </c>
      <c r="I1435" s="107">
        <v>0</v>
      </c>
      <c r="J1435" s="107">
        <f t="shared" si="22"/>
        <v>0.1</v>
      </c>
      <c r="K1435" s="107">
        <v>6643</v>
      </c>
    </row>
    <row r="1436" spans="1:11" x14ac:dyDescent="0.15">
      <c r="A1436" s="107">
        <v>1778</v>
      </c>
      <c r="B1436" s="107" t="s">
        <v>192</v>
      </c>
      <c r="C1436" s="107" t="s">
        <v>268</v>
      </c>
      <c r="D1436" s="25">
        <v>2</v>
      </c>
      <c r="E1436" s="107" t="s">
        <v>193</v>
      </c>
      <c r="F1436" s="107" t="s">
        <v>567</v>
      </c>
      <c r="G1436" s="107">
        <v>0</v>
      </c>
      <c r="H1436" s="107">
        <v>4</v>
      </c>
      <c r="I1436" s="107">
        <v>0</v>
      </c>
      <c r="J1436" s="107">
        <f t="shared" si="22"/>
        <v>0.1</v>
      </c>
      <c r="K1436" s="107">
        <v>6663</v>
      </c>
    </row>
    <row r="1437" spans="1:11" x14ac:dyDescent="0.15">
      <c r="A1437" s="107">
        <v>1779</v>
      </c>
      <c r="B1437" s="107" t="s">
        <v>260</v>
      </c>
      <c r="C1437" s="107" t="s">
        <v>268</v>
      </c>
      <c r="D1437" s="25">
        <v>2</v>
      </c>
      <c r="E1437" s="107" t="s">
        <v>193</v>
      </c>
      <c r="F1437" s="107" t="s">
        <v>567</v>
      </c>
      <c r="G1437" s="107">
        <v>0</v>
      </c>
      <c r="H1437" s="107">
        <v>4</v>
      </c>
      <c r="I1437" s="107">
        <v>0</v>
      </c>
      <c r="J1437" s="107">
        <f t="shared" si="22"/>
        <v>0.1</v>
      </c>
      <c r="K1437" s="107">
        <v>6669</v>
      </c>
    </row>
    <row r="1438" spans="1:11" x14ac:dyDescent="0.15">
      <c r="A1438" s="107">
        <v>1780</v>
      </c>
      <c r="B1438" s="107" t="s">
        <v>196</v>
      </c>
      <c r="C1438" s="107" t="s">
        <v>268</v>
      </c>
      <c r="D1438" s="25">
        <v>2</v>
      </c>
      <c r="E1438" s="107" t="s">
        <v>193</v>
      </c>
      <c r="F1438" s="107" t="s">
        <v>567</v>
      </c>
      <c r="G1438" s="107">
        <v>0</v>
      </c>
      <c r="H1438" s="107">
        <v>4</v>
      </c>
      <c r="I1438" s="107">
        <v>0</v>
      </c>
      <c r="J1438" s="107">
        <f t="shared" si="22"/>
        <v>0.1</v>
      </c>
      <c r="K1438" s="107">
        <v>6679</v>
      </c>
    </row>
    <row r="1439" spans="1:11" x14ac:dyDescent="0.15">
      <c r="A1439" s="107">
        <v>1780</v>
      </c>
      <c r="B1439" s="107" t="s">
        <v>200</v>
      </c>
      <c r="C1439" s="107" t="s">
        <v>268</v>
      </c>
      <c r="D1439" s="25">
        <v>2</v>
      </c>
      <c r="E1439" s="107" t="s">
        <v>193</v>
      </c>
      <c r="F1439" s="107" t="s">
        <v>567</v>
      </c>
      <c r="G1439" s="107">
        <v>0</v>
      </c>
      <c r="H1439" s="107">
        <v>4</v>
      </c>
      <c r="I1439" s="107">
        <v>0</v>
      </c>
      <c r="J1439" s="107">
        <f t="shared" si="22"/>
        <v>0.1</v>
      </c>
      <c r="K1439" s="107">
        <v>6689</v>
      </c>
    </row>
    <row r="1440" spans="1:11" x14ac:dyDescent="0.15">
      <c r="A1440" s="107">
        <v>1783</v>
      </c>
      <c r="B1440" s="107" t="s">
        <v>236</v>
      </c>
      <c r="C1440" s="107" t="s">
        <v>268</v>
      </c>
      <c r="D1440" s="25">
        <v>2</v>
      </c>
      <c r="E1440" s="107" t="s">
        <v>193</v>
      </c>
      <c r="F1440" s="107" t="s">
        <v>567</v>
      </c>
      <c r="G1440" s="107">
        <v>0</v>
      </c>
      <c r="H1440" s="107">
        <v>6</v>
      </c>
      <c r="I1440" s="107">
        <v>0</v>
      </c>
      <c r="J1440" s="107">
        <f t="shared" si="22"/>
        <v>0.15</v>
      </c>
      <c r="K1440" s="107">
        <v>6714</v>
      </c>
    </row>
    <row r="1441" spans="1:14" x14ac:dyDescent="0.15">
      <c r="A1441" s="107">
        <v>1784</v>
      </c>
      <c r="B1441" s="107" t="s">
        <v>261</v>
      </c>
      <c r="C1441" s="107" t="s">
        <v>268</v>
      </c>
      <c r="D1441" s="25">
        <v>2</v>
      </c>
      <c r="E1441" s="107" t="s">
        <v>193</v>
      </c>
      <c r="F1441" s="107" t="s">
        <v>567</v>
      </c>
      <c r="G1441" s="107">
        <v>0</v>
      </c>
      <c r="H1441" s="107">
        <v>5</v>
      </c>
      <c r="I1441" s="107">
        <v>0</v>
      </c>
      <c r="J1441" s="107">
        <f t="shared" si="22"/>
        <v>0.125</v>
      </c>
      <c r="K1441" s="25">
        <v>6705</v>
      </c>
      <c r="L1441" s="107"/>
      <c r="M1441" s="107"/>
      <c r="N1441" s="107"/>
    </row>
    <row r="1442" spans="1:14" x14ac:dyDescent="0.15">
      <c r="A1442" s="107">
        <v>1790</v>
      </c>
      <c r="B1442" s="107" t="s">
        <v>226</v>
      </c>
      <c r="C1442" s="107" t="s">
        <v>268</v>
      </c>
      <c r="D1442" s="25">
        <v>44</v>
      </c>
      <c r="E1442" s="107" t="s">
        <v>193</v>
      </c>
      <c r="F1442" s="107" t="s">
        <v>567</v>
      </c>
      <c r="G1442" s="107">
        <v>6</v>
      </c>
      <c r="H1442" s="107">
        <v>15</v>
      </c>
      <c r="I1442" s="107">
        <v>0</v>
      </c>
      <c r="J1442" s="107">
        <f t="shared" si="22"/>
        <v>0.15340909090909091</v>
      </c>
      <c r="K1442" s="25">
        <v>6790</v>
      </c>
      <c r="L1442" s="107"/>
      <c r="M1442" s="107"/>
      <c r="N1442" s="107"/>
    </row>
    <row r="1443" spans="1:14" x14ac:dyDescent="0.15">
      <c r="A1443" s="107">
        <v>1793</v>
      </c>
      <c r="B1443" s="107" t="s">
        <v>247</v>
      </c>
      <c r="C1443" s="107" t="s">
        <v>270</v>
      </c>
      <c r="D1443" s="25">
        <v>7</v>
      </c>
      <c r="E1443" s="107" t="s">
        <v>193</v>
      </c>
      <c r="F1443" s="107" t="s">
        <v>567</v>
      </c>
      <c r="G1443" s="107">
        <v>1</v>
      </c>
      <c r="H1443" s="107">
        <v>0</v>
      </c>
      <c r="I1443" s="107">
        <v>0</v>
      </c>
      <c r="J1443" s="107">
        <f t="shared" si="22"/>
        <v>0.14285714285714285</v>
      </c>
      <c r="K1443" s="107">
        <v>6826</v>
      </c>
      <c r="L1443" s="107"/>
      <c r="M1443" s="107"/>
      <c r="N1443" s="107"/>
    </row>
    <row r="1444" spans="1:14" x14ac:dyDescent="0.15">
      <c r="A1444" s="107">
        <v>1794</v>
      </c>
      <c r="B1444" s="107" t="s">
        <v>260</v>
      </c>
      <c r="C1444" s="107" t="s">
        <v>270</v>
      </c>
      <c r="D1444" s="25">
        <v>1</v>
      </c>
      <c r="E1444" s="107" t="s">
        <v>193</v>
      </c>
      <c r="F1444" s="107" t="s">
        <v>567</v>
      </c>
      <c r="G1444" s="107">
        <v>0</v>
      </c>
      <c r="H1444" s="107">
        <v>3</v>
      </c>
      <c r="I1444" s="107">
        <v>0</v>
      </c>
      <c r="J1444" s="107">
        <f t="shared" si="22"/>
        <v>0.15</v>
      </c>
      <c r="K1444" s="107">
        <v>6840</v>
      </c>
      <c r="L1444" s="107"/>
      <c r="M1444" s="107"/>
      <c r="N1444" s="107"/>
    </row>
    <row r="1445" spans="1:14" x14ac:dyDescent="0.15">
      <c r="A1445" s="107">
        <v>1794</v>
      </c>
      <c r="B1445" s="107" t="s">
        <v>261</v>
      </c>
      <c r="C1445" s="107" t="s">
        <v>268</v>
      </c>
      <c r="D1445" s="25">
        <v>4</v>
      </c>
      <c r="E1445" s="107" t="s">
        <v>193</v>
      </c>
      <c r="F1445" s="107" t="s">
        <v>567</v>
      </c>
      <c r="G1445" s="107">
        <v>0</v>
      </c>
      <c r="H1445" s="107">
        <v>11</v>
      </c>
      <c r="I1445" s="107">
        <v>8</v>
      </c>
      <c r="J1445" s="107">
        <f t="shared" si="22"/>
        <v>0.14375000000000002</v>
      </c>
      <c r="K1445" s="107">
        <v>6839</v>
      </c>
      <c r="L1445" s="107"/>
      <c r="M1445" s="107"/>
      <c r="N1445" s="107"/>
    </row>
    <row r="1446" spans="1:14" x14ac:dyDescent="0.15">
      <c r="A1446" s="107">
        <v>1700</v>
      </c>
      <c r="B1446" s="107" t="s">
        <v>200</v>
      </c>
      <c r="C1446" s="107" t="s">
        <v>271</v>
      </c>
      <c r="D1446" s="107">
        <v>60</v>
      </c>
      <c r="E1446" s="107" t="s">
        <v>193</v>
      </c>
      <c r="F1446" s="107" t="s">
        <v>568</v>
      </c>
      <c r="G1446" s="107">
        <v>9</v>
      </c>
      <c r="H1446" s="107">
        <v>0</v>
      </c>
      <c r="I1446" s="107">
        <v>0</v>
      </c>
      <c r="J1446" s="107">
        <f t="shared" si="22"/>
        <v>0.15</v>
      </c>
      <c r="K1446" s="107">
        <v>4047</v>
      </c>
      <c r="L1446" s="107">
        <v>1855</v>
      </c>
      <c r="M1446" s="107">
        <v>528</v>
      </c>
      <c r="N1446" s="107" t="s">
        <v>272</v>
      </c>
    </row>
    <row r="1447" spans="1:14" x14ac:dyDescent="0.15">
      <c r="A1447" s="107">
        <v>1701</v>
      </c>
      <c r="B1447" s="107" t="s">
        <v>197</v>
      </c>
      <c r="C1447" s="107" t="s">
        <v>271</v>
      </c>
      <c r="D1447" s="107">
        <v>20</v>
      </c>
      <c r="E1447" s="107" t="s">
        <v>193</v>
      </c>
      <c r="F1447" s="107" t="s">
        <v>568</v>
      </c>
      <c r="G1447" s="107">
        <v>10</v>
      </c>
      <c r="H1447" s="107">
        <v>8</v>
      </c>
      <c r="I1447" s="107">
        <v>0</v>
      </c>
      <c r="J1447" s="107">
        <f t="shared" si="22"/>
        <v>0.52</v>
      </c>
      <c r="K1447" s="107">
        <v>4047</v>
      </c>
      <c r="L1447" s="107">
        <v>1855</v>
      </c>
      <c r="M1447" s="107">
        <v>557</v>
      </c>
      <c r="N1447" s="107" t="s">
        <v>273</v>
      </c>
    </row>
    <row r="1448" spans="1:14" x14ac:dyDescent="0.15">
      <c r="A1448" s="107">
        <v>1682</v>
      </c>
      <c r="B1448" s="107" t="s">
        <v>197</v>
      </c>
      <c r="C1448" s="107" t="s">
        <v>271</v>
      </c>
      <c r="D1448" s="107">
        <v>138</v>
      </c>
      <c r="E1448" s="107" t="s">
        <v>193</v>
      </c>
      <c r="F1448" s="107" t="s">
        <v>569</v>
      </c>
      <c r="G1448" s="107">
        <v>13</v>
      </c>
      <c r="H1448" s="107">
        <v>16</v>
      </c>
      <c r="I1448" s="107">
        <v>0</v>
      </c>
      <c r="J1448" s="107">
        <f t="shared" si="22"/>
        <v>0.1</v>
      </c>
      <c r="K1448" s="107">
        <v>4018</v>
      </c>
      <c r="L1448" s="107">
        <v>1820</v>
      </c>
      <c r="M1448" s="107">
        <v>759</v>
      </c>
      <c r="N1448" s="107" t="s">
        <v>273</v>
      </c>
    </row>
    <row r="1449" spans="1:14" x14ac:dyDescent="0.15">
      <c r="A1449" s="107">
        <v>1712</v>
      </c>
      <c r="B1449" s="107" t="s">
        <v>261</v>
      </c>
      <c r="C1449" s="107" t="s">
        <v>268</v>
      </c>
      <c r="D1449" s="25">
        <v>4</v>
      </c>
      <c r="E1449" s="107" t="s">
        <v>193</v>
      </c>
      <c r="F1449" s="107" t="s">
        <v>570</v>
      </c>
      <c r="G1449" s="107">
        <v>4</v>
      </c>
      <c r="H1449" s="107">
        <v>0</v>
      </c>
      <c r="I1449" s="107">
        <v>0</v>
      </c>
      <c r="J1449" s="107">
        <f t="shared" si="22"/>
        <v>1</v>
      </c>
      <c r="K1449" s="107">
        <v>5628</v>
      </c>
      <c r="L1449" s="107"/>
      <c r="M1449" s="107"/>
      <c r="N1449" s="107"/>
    </row>
    <row r="1450" spans="1:14" x14ac:dyDescent="0.15">
      <c r="A1450" s="107">
        <v>1701</v>
      </c>
      <c r="B1450" s="107" t="s">
        <v>197</v>
      </c>
      <c r="C1450" s="107" t="s">
        <v>271</v>
      </c>
      <c r="D1450" s="107">
        <v>1</v>
      </c>
      <c r="E1450" s="107" t="s">
        <v>204</v>
      </c>
      <c r="F1450" s="107" t="s">
        <v>571</v>
      </c>
      <c r="G1450" s="107">
        <v>0</v>
      </c>
      <c r="H1450" s="107">
        <v>16</v>
      </c>
      <c r="I1450" s="107">
        <v>0</v>
      </c>
      <c r="J1450" s="107">
        <f t="shared" si="22"/>
        <v>0.8</v>
      </c>
      <c r="K1450" s="107">
        <v>4047</v>
      </c>
      <c r="L1450" s="107">
        <v>1855</v>
      </c>
      <c r="M1450" s="107">
        <v>558</v>
      </c>
      <c r="N1450" s="107" t="s">
        <v>273</v>
      </c>
    </row>
    <row r="1451" spans="1:14" x14ac:dyDescent="0.15">
      <c r="A1451" s="107">
        <v>1677</v>
      </c>
      <c r="B1451" s="107" t="s">
        <v>197</v>
      </c>
      <c r="C1451" s="107" t="s">
        <v>274</v>
      </c>
      <c r="D1451" s="107">
        <v>81</v>
      </c>
      <c r="E1451" s="107" t="s">
        <v>315</v>
      </c>
      <c r="F1451" s="107" t="s">
        <v>572</v>
      </c>
      <c r="G1451" s="107">
        <v>72</v>
      </c>
      <c r="H1451" s="107">
        <v>18</v>
      </c>
      <c r="I1451" s="107">
        <v>0</v>
      </c>
      <c r="J1451" s="107">
        <f t="shared" si="22"/>
        <v>0.9</v>
      </c>
      <c r="K1451" s="107">
        <v>4013</v>
      </c>
      <c r="L1451" s="107">
        <v>1816</v>
      </c>
      <c r="M1451" s="107">
        <v>696</v>
      </c>
      <c r="N1451" s="107"/>
    </row>
    <row r="1452" spans="1:14" x14ac:dyDescent="0.15">
      <c r="A1452" s="107">
        <v>1655</v>
      </c>
      <c r="B1452" s="107" t="s">
        <v>236</v>
      </c>
      <c r="C1452" s="107" t="s">
        <v>274</v>
      </c>
      <c r="D1452" s="107">
        <v>3.5</v>
      </c>
      <c r="E1452" s="107" t="s">
        <v>375</v>
      </c>
      <c r="F1452" s="107" t="s">
        <v>573</v>
      </c>
      <c r="G1452" s="107">
        <v>280</v>
      </c>
      <c r="H1452" s="107">
        <v>0</v>
      </c>
      <c r="I1452" s="107">
        <v>0</v>
      </c>
      <c r="J1452" s="107">
        <f t="shared" si="22"/>
        <v>80</v>
      </c>
      <c r="K1452" s="107">
        <v>3990</v>
      </c>
      <c r="L1452" s="107">
        <v>1788</v>
      </c>
      <c r="M1452" s="107">
        <v>204</v>
      </c>
      <c r="N1452" s="107" t="s">
        <v>286</v>
      </c>
    </row>
    <row r="1453" spans="1:14" x14ac:dyDescent="0.15">
      <c r="A1453" s="107">
        <v>1655</v>
      </c>
      <c r="B1453" s="107" t="s">
        <v>236</v>
      </c>
      <c r="C1453" s="107" t="s">
        <v>274</v>
      </c>
      <c r="D1453" s="107">
        <v>4</v>
      </c>
      <c r="E1453" s="107" t="s">
        <v>375</v>
      </c>
      <c r="F1453" s="107" t="s">
        <v>573</v>
      </c>
      <c r="G1453" s="107">
        <v>265</v>
      </c>
      <c r="H1453" s="107">
        <v>4</v>
      </c>
      <c r="I1453" s="107">
        <v>0</v>
      </c>
      <c r="J1453" s="107">
        <f t="shared" si="22"/>
        <v>66.3</v>
      </c>
      <c r="K1453" s="107">
        <v>3990</v>
      </c>
      <c r="L1453" s="107">
        <v>1788</v>
      </c>
      <c r="M1453" s="107">
        <v>204</v>
      </c>
      <c r="N1453" s="107" t="s">
        <v>286</v>
      </c>
    </row>
    <row r="1454" spans="1:14" x14ac:dyDescent="0.15">
      <c r="A1454" s="107">
        <v>1655</v>
      </c>
      <c r="B1454" s="107" t="s">
        <v>197</v>
      </c>
      <c r="C1454" s="107" t="s">
        <v>274</v>
      </c>
      <c r="D1454" s="107">
        <v>6</v>
      </c>
      <c r="E1454" s="107" t="s">
        <v>324</v>
      </c>
      <c r="F1454" s="107" t="s">
        <v>259</v>
      </c>
      <c r="G1454" s="107">
        <v>158</v>
      </c>
      <c r="H1454" s="107">
        <v>0</v>
      </c>
      <c r="I1454" s="107">
        <v>0</v>
      </c>
      <c r="J1454" s="107">
        <f t="shared" si="22"/>
        <v>26.333333333333332</v>
      </c>
      <c r="K1454" s="107">
        <v>3990</v>
      </c>
      <c r="L1454" s="107">
        <v>1788</v>
      </c>
      <c r="M1454" s="107">
        <v>149</v>
      </c>
      <c r="N1454" s="107"/>
    </row>
    <row r="1455" spans="1:14" x14ac:dyDescent="0.15">
      <c r="A1455" s="107">
        <v>1656</v>
      </c>
      <c r="B1455" s="107" t="s">
        <v>253</v>
      </c>
      <c r="C1455" s="107" t="s">
        <v>274</v>
      </c>
      <c r="D1455" s="107">
        <v>3732</v>
      </c>
      <c r="E1455" s="107" t="s">
        <v>193</v>
      </c>
      <c r="F1455" s="107" t="s">
        <v>259</v>
      </c>
      <c r="G1455" s="107">
        <v>373</v>
      </c>
      <c r="H1455" s="107">
        <v>4</v>
      </c>
      <c r="I1455" s="107">
        <v>0</v>
      </c>
      <c r="J1455" s="107">
        <f t="shared" si="22"/>
        <v>9.9999999999999992E-2</v>
      </c>
      <c r="K1455" s="107">
        <v>3991</v>
      </c>
      <c r="L1455" s="107">
        <v>1788</v>
      </c>
      <c r="M1455" s="107">
        <v>151</v>
      </c>
      <c r="N1455" s="107" t="s">
        <v>574</v>
      </c>
    </row>
    <row r="1456" spans="1:14" x14ac:dyDescent="0.15">
      <c r="A1456" s="107">
        <v>1656</v>
      </c>
      <c r="B1456" s="107" t="s">
        <v>261</v>
      </c>
      <c r="C1456" s="107" t="s">
        <v>274</v>
      </c>
      <c r="D1456" s="107">
        <v>2</v>
      </c>
      <c r="E1456" s="107" t="s">
        <v>324</v>
      </c>
      <c r="F1456" s="107" t="s">
        <v>259</v>
      </c>
      <c r="G1456" s="107">
        <v>41</v>
      </c>
      <c r="H1456" s="107">
        <v>96</v>
      </c>
      <c r="I1456" s="107">
        <v>0</v>
      </c>
      <c r="J1456" s="107">
        <f t="shared" ref="J1456:J1519" si="23">(G1456+H1456/20+I1456/320)/D1456</f>
        <v>22.9</v>
      </c>
      <c r="K1456" s="107">
        <v>3991</v>
      </c>
      <c r="L1456" s="107">
        <v>1788</v>
      </c>
      <c r="M1456" s="107">
        <v>157</v>
      </c>
      <c r="N1456" s="107"/>
    </row>
    <row r="1457" spans="1:14" x14ac:dyDescent="0.15">
      <c r="A1457" s="107">
        <v>1657</v>
      </c>
      <c r="B1457" s="107" t="s">
        <v>197</v>
      </c>
      <c r="C1457" s="107" t="s">
        <v>274</v>
      </c>
      <c r="D1457" s="107">
        <v>12</v>
      </c>
      <c r="E1457" s="107" t="s">
        <v>193</v>
      </c>
      <c r="F1457" s="107" t="s">
        <v>259</v>
      </c>
      <c r="G1457" s="107">
        <v>1</v>
      </c>
      <c r="H1457" s="107">
        <v>16</v>
      </c>
      <c r="I1457" s="107">
        <v>0</v>
      </c>
      <c r="J1457" s="107">
        <f t="shared" si="23"/>
        <v>0.15</v>
      </c>
      <c r="K1457" s="107">
        <v>3992</v>
      </c>
      <c r="L1457" s="107">
        <v>1789</v>
      </c>
      <c r="M1457" s="107">
        <v>228</v>
      </c>
      <c r="N1457" s="107"/>
    </row>
    <row r="1458" spans="1:14" x14ac:dyDescent="0.15">
      <c r="A1458" s="107">
        <v>1658</v>
      </c>
      <c r="B1458" s="107" t="s">
        <v>197</v>
      </c>
      <c r="C1458" s="107" t="s">
        <v>274</v>
      </c>
      <c r="D1458" s="107">
        <v>2</v>
      </c>
      <c r="E1458" s="107" t="s">
        <v>575</v>
      </c>
      <c r="F1458" s="107" t="s">
        <v>259</v>
      </c>
      <c r="G1458" s="107">
        <v>120</v>
      </c>
      <c r="H1458" s="107">
        <v>0</v>
      </c>
      <c r="I1458" s="107">
        <v>0</v>
      </c>
      <c r="J1458" s="107">
        <f t="shared" si="23"/>
        <v>60</v>
      </c>
      <c r="K1458" s="107">
        <v>3993</v>
      </c>
      <c r="L1458" s="107">
        <v>1791</v>
      </c>
      <c r="M1458" s="107">
        <v>278</v>
      </c>
      <c r="N1458" s="107"/>
    </row>
    <row r="1459" spans="1:14" x14ac:dyDescent="0.15">
      <c r="A1459" s="107">
        <v>1659</v>
      </c>
      <c r="B1459" s="107" t="s">
        <v>197</v>
      </c>
      <c r="C1459" s="107" t="s">
        <v>274</v>
      </c>
      <c r="D1459" s="107">
        <v>8</v>
      </c>
      <c r="E1459" s="107" t="s">
        <v>280</v>
      </c>
      <c r="F1459" s="107" t="s">
        <v>259</v>
      </c>
      <c r="G1459" s="107">
        <v>960</v>
      </c>
      <c r="H1459" s="107">
        <v>0</v>
      </c>
      <c r="I1459" s="107">
        <v>0</v>
      </c>
      <c r="J1459" s="107">
        <f t="shared" si="23"/>
        <v>120</v>
      </c>
      <c r="K1459" s="107">
        <v>3994</v>
      </c>
      <c r="L1459" s="107">
        <v>1792</v>
      </c>
      <c r="M1459" s="107">
        <v>169</v>
      </c>
      <c r="N1459" s="107"/>
    </row>
    <row r="1460" spans="1:14" x14ac:dyDescent="0.15">
      <c r="A1460" s="107">
        <v>1660</v>
      </c>
      <c r="B1460" s="107" t="s">
        <v>197</v>
      </c>
      <c r="C1460" s="107" t="s">
        <v>274</v>
      </c>
      <c r="D1460" s="107">
        <v>2814</v>
      </c>
      <c r="E1460" s="107" t="s">
        <v>193</v>
      </c>
      <c r="F1460" s="107" t="s">
        <v>259</v>
      </c>
      <c r="G1460" s="107">
        <v>140</v>
      </c>
      <c r="H1460" s="107">
        <v>14</v>
      </c>
      <c r="I1460" s="107">
        <v>0</v>
      </c>
      <c r="J1460" s="107">
        <f t="shared" si="23"/>
        <v>4.9999999999999996E-2</v>
      </c>
      <c r="K1460" s="107">
        <v>3995</v>
      </c>
      <c r="L1460" s="107">
        <v>1793</v>
      </c>
      <c r="M1460" s="107">
        <v>197</v>
      </c>
      <c r="N1460" s="107"/>
    </row>
    <row r="1461" spans="1:14" x14ac:dyDescent="0.15">
      <c r="A1461" s="107">
        <v>1661</v>
      </c>
      <c r="B1461" s="107" t="s">
        <v>197</v>
      </c>
      <c r="C1461" s="107" t="s">
        <v>274</v>
      </c>
      <c r="D1461" s="107">
        <v>1.5</v>
      </c>
      <c r="E1461" s="107" t="s">
        <v>280</v>
      </c>
      <c r="F1461" s="107" t="s">
        <v>259</v>
      </c>
      <c r="G1461" s="107">
        <v>165</v>
      </c>
      <c r="H1461" s="107">
        <v>0</v>
      </c>
      <c r="I1461" s="107">
        <v>0</v>
      </c>
      <c r="J1461" s="107">
        <f t="shared" si="23"/>
        <v>110</v>
      </c>
      <c r="K1461" s="107">
        <v>3996</v>
      </c>
      <c r="L1461" s="107">
        <v>1794</v>
      </c>
      <c r="M1461" s="107" t="s">
        <v>290</v>
      </c>
      <c r="N1461" s="107"/>
    </row>
    <row r="1462" spans="1:14" x14ac:dyDescent="0.15">
      <c r="A1462" s="107">
        <v>1662</v>
      </c>
      <c r="B1462" s="107" t="s">
        <v>197</v>
      </c>
      <c r="C1462" s="107" t="s">
        <v>274</v>
      </c>
      <c r="D1462" s="107">
        <v>41</v>
      </c>
      <c r="E1462" s="107" t="s">
        <v>193</v>
      </c>
      <c r="F1462" s="107" t="s">
        <v>259</v>
      </c>
      <c r="G1462" s="107">
        <v>2</v>
      </c>
      <c r="H1462" s="107">
        <v>1</v>
      </c>
      <c r="I1462" s="107">
        <v>0</v>
      </c>
      <c r="J1462" s="107">
        <f t="shared" si="23"/>
        <v>4.9999999999999996E-2</v>
      </c>
      <c r="K1462" s="107">
        <v>3997</v>
      </c>
      <c r="L1462" s="107">
        <v>1795</v>
      </c>
      <c r="M1462" s="107">
        <v>303</v>
      </c>
      <c r="N1462" s="107"/>
    </row>
    <row r="1463" spans="1:14" x14ac:dyDescent="0.15">
      <c r="A1463" s="107">
        <v>1663</v>
      </c>
      <c r="B1463" s="107" t="s">
        <v>197</v>
      </c>
      <c r="C1463" s="107" t="s">
        <v>274</v>
      </c>
      <c r="D1463" s="107">
        <v>6935</v>
      </c>
      <c r="E1463" s="107" t="s">
        <v>193</v>
      </c>
      <c r="F1463" s="107" t="s">
        <v>259</v>
      </c>
      <c r="G1463" s="107">
        <v>346</v>
      </c>
      <c r="H1463" s="107">
        <v>15</v>
      </c>
      <c r="I1463" s="107">
        <v>0</v>
      </c>
      <c r="J1463" s="107">
        <f t="shared" si="23"/>
        <v>0.05</v>
      </c>
      <c r="K1463" s="107">
        <v>3998</v>
      </c>
      <c r="L1463" s="107">
        <v>1797</v>
      </c>
      <c r="M1463" s="107" t="s">
        <v>290</v>
      </c>
      <c r="N1463" s="107"/>
    </row>
    <row r="1464" spans="1:14" x14ac:dyDescent="0.15">
      <c r="A1464" s="107">
        <v>1665</v>
      </c>
      <c r="B1464" s="107" t="s">
        <v>197</v>
      </c>
      <c r="C1464" s="107" t="s">
        <v>274</v>
      </c>
      <c r="D1464" s="107">
        <v>1440</v>
      </c>
      <c r="E1464" s="107" t="s">
        <v>193</v>
      </c>
      <c r="F1464" s="107" t="s">
        <v>259</v>
      </c>
      <c r="G1464" s="107">
        <v>72</v>
      </c>
      <c r="H1464" s="107">
        <v>0</v>
      </c>
      <c r="I1464" s="107">
        <v>0</v>
      </c>
      <c r="J1464" s="107">
        <f t="shared" si="23"/>
        <v>0.05</v>
      </c>
      <c r="K1464" s="107">
        <v>4000</v>
      </c>
      <c r="L1464" s="107">
        <v>1798</v>
      </c>
      <c r="M1464" s="107">
        <v>63</v>
      </c>
      <c r="N1464" s="107"/>
    </row>
    <row r="1465" spans="1:14" x14ac:dyDescent="0.15">
      <c r="A1465" s="107">
        <v>1692</v>
      </c>
      <c r="B1465" s="107" t="s">
        <v>247</v>
      </c>
      <c r="C1465" s="107" t="s">
        <v>271</v>
      </c>
      <c r="D1465" s="107">
        <v>1</v>
      </c>
      <c r="E1465" s="107" t="s">
        <v>188</v>
      </c>
      <c r="F1465" s="107" t="s">
        <v>259</v>
      </c>
      <c r="G1465" s="107">
        <v>9</v>
      </c>
      <c r="H1465" s="107">
        <v>0</v>
      </c>
      <c r="I1465" s="107">
        <v>0</v>
      </c>
      <c r="J1465" s="107">
        <f t="shared" si="23"/>
        <v>9</v>
      </c>
      <c r="K1465" s="107">
        <v>4030</v>
      </c>
      <c r="L1465" s="107">
        <v>1836</v>
      </c>
      <c r="M1465" s="107">
        <v>242</v>
      </c>
      <c r="N1465" s="107"/>
    </row>
    <row r="1466" spans="1:14" x14ac:dyDescent="0.15">
      <c r="A1466" s="107">
        <v>1655</v>
      </c>
      <c r="B1466" s="107" t="s">
        <v>192</v>
      </c>
      <c r="C1466" s="107" t="s">
        <v>274</v>
      </c>
      <c r="D1466" s="107">
        <v>8</v>
      </c>
      <c r="E1466" s="107" t="s">
        <v>407</v>
      </c>
      <c r="F1466" s="107" t="s">
        <v>576</v>
      </c>
      <c r="G1466" s="107">
        <v>36</v>
      </c>
      <c r="H1466" s="107">
        <v>8</v>
      </c>
      <c r="I1466" s="107">
        <v>0</v>
      </c>
      <c r="J1466" s="107">
        <f t="shared" si="23"/>
        <v>4.55</v>
      </c>
      <c r="K1466" s="107">
        <v>3990</v>
      </c>
      <c r="L1466" s="107">
        <v>1788</v>
      </c>
      <c r="M1466" s="107">
        <v>203</v>
      </c>
      <c r="N1466" s="107" t="s">
        <v>577</v>
      </c>
    </row>
    <row r="1467" spans="1:14" x14ac:dyDescent="0.15">
      <c r="A1467" s="107">
        <v>1655</v>
      </c>
      <c r="B1467" s="107" t="s">
        <v>236</v>
      </c>
      <c r="C1467" s="107" t="s">
        <v>274</v>
      </c>
      <c r="D1467" s="107">
        <v>100</v>
      </c>
      <c r="E1467" s="107" t="s">
        <v>578</v>
      </c>
      <c r="F1467" s="107" t="s">
        <v>576</v>
      </c>
      <c r="G1467" s="107">
        <v>40</v>
      </c>
      <c r="H1467" s="107">
        <v>0</v>
      </c>
      <c r="I1467" s="107">
        <v>0</v>
      </c>
      <c r="J1467" s="107">
        <f t="shared" si="23"/>
        <v>0.4</v>
      </c>
      <c r="K1467" s="107">
        <v>3990</v>
      </c>
      <c r="L1467" s="107">
        <v>1788</v>
      </c>
      <c r="M1467" s="107">
        <v>203</v>
      </c>
      <c r="N1467" s="107" t="s">
        <v>577</v>
      </c>
    </row>
    <row r="1468" spans="1:14" x14ac:dyDescent="0.15">
      <c r="A1468" s="107">
        <v>1656</v>
      </c>
      <c r="B1468" s="107" t="s">
        <v>283</v>
      </c>
      <c r="C1468" s="107" t="s">
        <v>274</v>
      </c>
      <c r="D1468" s="107">
        <v>76</v>
      </c>
      <c r="E1468" s="107" t="s">
        <v>204</v>
      </c>
      <c r="F1468" s="107" t="s">
        <v>576</v>
      </c>
      <c r="G1468" s="107">
        <v>20</v>
      </c>
      <c r="H1468" s="107">
        <v>11</v>
      </c>
      <c r="I1468" s="107">
        <v>8</v>
      </c>
      <c r="J1468" s="107">
        <f t="shared" si="23"/>
        <v>0.27072368421052628</v>
      </c>
      <c r="K1468" s="107">
        <v>3991</v>
      </c>
      <c r="L1468" s="107">
        <v>1788</v>
      </c>
      <c r="M1468" s="107">
        <v>149</v>
      </c>
      <c r="N1468" s="107" t="s">
        <v>284</v>
      </c>
    </row>
    <row r="1469" spans="1:14" x14ac:dyDescent="0.15">
      <c r="A1469" s="107">
        <v>1656</v>
      </c>
      <c r="B1469" s="107" t="s">
        <v>253</v>
      </c>
      <c r="C1469" s="107" t="s">
        <v>274</v>
      </c>
      <c r="D1469" s="107">
        <v>1</v>
      </c>
      <c r="E1469" s="107"/>
      <c r="F1469" s="107" t="s">
        <v>579</v>
      </c>
      <c r="G1469" s="107">
        <v>1</v>
      </c>
      <c r="H1469" s="107">
        <v>0</v>
      </c>
      <c r="I1469" s="107">
        <v>0</v>
      </c>
      <c r="J1469" s="107">
        <f t="shared" si="23"/>
        <v>1</v>
      </c>
      <c r="K1469" s="107">
        <v>3991</v>
      </c>
      <c r="L1469" s="107">
        <v>1788</v>
      </c>
      <c r="M1469" s="107">
        <v>152</v>
      </c>
      <c r="N1469" s="107" t="s">
        <v>383</v>
      </c>
    </row>
    <row r="1470" spans="1:14" x14ac:dyDescent="0.15">
      <c r="A1470" s="107">
        <v>1656</v>
      </c>
      <c r="B1470" s="107" t="s">
        <v>283</v>
      </c>
      <c r="C1470" s="107" t="s">
        <v>274</v>
      </c>
      <c r="D1470" s="107">
        <v>6</v>
      </c>
      <c r="E1470" s="107"/>
      <c r="F1470" s="107" t="s">
        <v>580</v>
      </c>
      <c r="G1470" s="107">
        <v>6</v>
      </c>
      <c r="H1470" s="107">
        <v>0</v>
      </c>
      <c r="I1470" s="107">
        <v>0</v>
      </c>
      <c r="J1470" s="107">
        <f t="shared" si="23"/>
        <v>1</v>
      </c>
      <c r="K1470" s="107">
        <v>3991</v>
      </c>
      <c r="L1470" s="107">
        <v>1788</v>
      </c>
      <c r="M1470" s="107">
        <v>150</v>
      </c>
      <c r="N1470" s="107" t="s">
        <v>284</v>
      </c>
    </row>
    <row r="1471" spans="1:14" x14ac:dyDescent="0.15">
      <c r="A1471" s="107">
        <v>1657</v>
      </c>
      <c r="B1471" s="107" t="s">
        <v>197</v>
      </c>
      <c r="C1471" s="107" t="s">
        <v>274</v>
      </c>
      <c r="D1471" s="107">
        <v>10</v>
      </c>
      <c r="E1471" s="107" t="s">
        <v>193</v>
      </c>
      <c r="F1471" s="107" t="s">
        <v>581</v>
      </c>
      <c r="G1471" s="107">
        <v>5</v>
      </c>
      <c r="H1471" s="107">
        <v>0</v>
      </c>
      <c r="I1471" s="107">
        <v>0</v>
      </c>
      <c r="J1471" s="107">
        <f t="shared" si="23"/>
        <v>0.5</v>
      </c>
      <c r="K1471" s="107">
        <v>3992</v>
      </c>
      <c r="L1471" s="107">
        <v>1789</v>
      </c>
      <c r="M1471" s="107">
        <v>228</v>
      </c>
      <c r="N1471" s="107"/>
    </row>
    <row r="1472" spans="1:14" x14ac:dyDescent="0.15">
      <c r="A1472" s="107">
        <v>1658</v>
      </c>
      <c r="B1472" s="107" t="s">
        <v>197</v>
      </c>
      <c r="C1472" s="107" t="s">
        <v>274</v>
      </c>
      <c r="D1472" s="107">
        <v>10</v>
      </c>
      <c r="E1472" s="107" t="s">
        <v>193</v>
      </c>
      <c r="F1472" s="107" t="s">
        <v>581</v>
      </c>
      <c r="G1472" s="107">
        <v>5</v>
      </c>
      <c r="H1472" s="107">
        <v>9</v>
      </c>
      <c r="I1472" s="107">
        <v>0</v>
      </c>
      <c r="J1472" s="107">
        <f t="shared" si="23"/>
        <v>0.54500000000000004</v>
      </c>
      <c r="K1472" s="107">
        <v>3993</v>
      </c>
      <c r="L1472" s="107">
        <v>1791</v>
      </c>
      <c r="M1472" s="107">
        <v>275</v>
      </c>
      <c r="N1472" s="107"/>
    </row>
    <row r="1473" spans="1:15" x14ac:dyDescent="0.15">
      <c r="A1473" s="107">
        <v>1661</v>
      </c>
      <c r="B1473" s="107" t="s">
        <v>197</v>
      </c>
      <c r="C1473" s="107" t="s">
        <v>274</v>
      </c>
      <c r="D1473" s="107">
        <v>20</v>
      </c>
      <c r="E1473" s="107" t="s">
        <v>193</v>
      </c>
      <c r="F1473" s="107" t="s">
        <v>581</v>
      </c>
      <c r="G1473" s="107">
        <v>12</v>
      </c>
      <c r="H1473" s="107">
        <v>0</v>
      </c>
      <c r="I1473" s="107">
        <v>0</v>
      </c>
      <c r="J1473" s="107">
        <f t="shared" si="23"/>
        <v>0.6</v>
      </c>
      <c r="K1473" s="107">
        <v>3996</v>
      </c>
      <c r="L1473" s="107">
        <v>1794</v>
      </c>
      <c r="M1473" s="107" t="s">
        <v>290</v>
      </c>
      <c r="N1473" s="107"/>
      <c r="O1473" s="107"/>
    </row>
    <row r="1474" spans="1:15" x14ac:dyDescent="0.15">
      <c r="A1474" s="107">
        <v>1665</v>
      </c>
      <c r="B1474" s="107" t="s">
        <v>197</v>
      </c>
      <c r="C1474" s="107" t="s">
        <v>274</v>
      </c>
      <c r="D1474" s="107">
        <v>50</v>
      </c>
      <c r="E1474" s="107" t="s">
        <v>193</v>
      </c>
      <c r="F1474" s="107" t="s">
        <v>581</v>
      </c>
      <c r="G1474" s="107">
        <v>30</v>
      </c>
      <c r="H1474" s="107">
        <v>0</v>
      </c>
      <c r="I1474" s="107">
        <v>0</v>
      </c>
      <c r="J1474" s="107">
        <f t="shared" si="23"/>
        <v>0.6</v>
      </c>
      <c r="K1474" s="107">
        <v>4000</v>
      </c>
      <c r="L1474" s="107">
        <v>1798</v>
      </c>
      <c r="M1474" s="107">
        <v>66</v>
      </c>
      <c r="N1474" s="107"/>
      <c r="O1474" s="107"/>
    </row>
    <row r="1475" spans="1:15" x14ac:dyDescent="0.15">
      <c r="A1475" s="107">
        <v>1676</v>
      </c>
      <c r="B1475" s="107" t="s">
        <v>197</v>
      </c>
      <c r="C1475" s="107" t="s">
        <v>274</v>
      </c>
      <c r="D1475" s="107">
        <v>0.75</v>
      </c>
      <c r="E1475" s="107" t="s">
        <v>193</v>
      </c>
      <c r="F1475" s="107" t="s">
        <v>581</v>
      </c>
      <c r="G1475" s="107">
        <v>0</v>
      </c>
      <c r="H1475" s="107">
        <v>3</v>
      </c>
      <c r="I1475" s="107">
        <v>2</v>
      </c>
      <c r="J1475" s="107">
        <f t="shared" si="23"/>
        <v>0.20833333333333334</v>
      </c>
      <c r="K1475" s="107">
        <v>4012</v>
      </c>
      <c r="L1475" s="107">
        <v>1814</v>
      </c>
      <c r="M1475" s="107">
        <v>428</v>
      </c>
      <c r="N1475" s="107"/>
      <c r="O1475" s="107"/>
    </row>
    <row r="1476" spans="1:15" x14ac:dyDescent="0.15">
      <c r="A1476" s="107">
        <v>1678</v>
      </c>
      <c r="B1476" s="107" t="s">
        <v>197</v>
      </c>
      <c r="C1476" s="107" t="s">
        <v>295</v>
      </c>
      <c r="D1476" s="107">
        <v>0.25</v>
      </c>
      <c r="E1476" s="107" t="s">
        <v>193</v>
      </c>
      <c r="F1476" s="107" t="s">
        <v>581</v>
      </c>
      <c r="G1476" s="107">
        <v>3</v>
      </c>
      <c r="H1476" s="107">
        <v>2</v>
      </c>
      <c r="I1476" s="107">
        <v>0</v>
      </c>
      <c r="J1476" s="107">
        <f t="shared" si="23"/>
        <v>12.4</v>
      </c>
      <c r="K1476" s="107">
        <v>4014</v>
      </c>
      <c r="L1476" s="107">
        <v>4903</v>
      </c>
      <c r="M1476" s="107">
        <v>667</v>
      </c>
      <c r="N1476" s="107"/>
      <c r="O1476" s="107"/>
    </row>
    <row r="1477" spans="1:15" x14ac:dyDescent="0.15">
      <c r="A1477" s="107">
        <v>1681</v>
      </c>
      <c r="B1477" s="107" t="s">
        <v>197</v>
      </c>
      <c r="C1477" s="107" t="s">
        <v>271</v>
      </c>
      <c r="D1477" s="107">
        <v>0.25</v>
      </c>
      <c r="E1477" s="107" t="s">
        <v>193</v>
      </c>
      <c r="F1477" s="107" t="s">
        <v>581</v>
      </c>
      <c r="G1477" s="107">
        <v>0</v>
      </c>
      <c r="H1477" s="107">
        <v>3</v>
      </c>
      <c r="I1477" s="107">
        <v>4</v>
      </c>
      <c r="J1477" s="107">
        <f t="shared" si="23"/>
        <v>0.65</v>
      </c>
      <c r="K1477" s="107">
        <v>4017</v>
      </c>
      <c r="L1477" s="107">
        <v>1819</v>
      </c>
      <c r="M1477" s="107">
        <v>427</v>
      </c>
      <c r="N1477" s="107"/>
      <c r="O1477" s="107"/>
    </row>
    <row r="1478" spans="1:15" x14ac:dyDescent="0.15">
      <c r="A1478" s="107">
        <v>1683</v>
      </c>
      <c r="B1478" s="107" t="s">
        <v>197</v>
      </c>
      <c r="C1478" s="107" t="s">
        <v>271</v>
      </c>
      <c r="D1478" s="107">
        <v>1</v>
      </c>
      <c r="E1478" s="107" t="s">
        <v>193</v>
      </c>
      <c r="F1478" s="107" t="s">
        <v>581</v>
      </c>
      <c r="G1478" s="107">
        <v>0</v>
      </c>
      <c r="H1478" s="107">
        <v>13</v>
      </c>
      <c r="I1478" s="107">
        <v>2</v>
      </c>
      <c r="J1478" s="107">
        <f t="shared" si="23"/>
        <v>0.65625</v>
      </c>
      <c r="K1478" s="107">
        <v>4019</v>
      </c>
      <c r="L1478" s="107">
        <v>1822</v>
      </c>
      <c r="M1478" s="107">
        <v>600</v>
      </c>
      <c r="N1478" s="107"/>
      <c r="O1478" s="107"/>
    </row>
    <row r="1479" spans="1:15" x14ac:dyDescent="0.15">
      <c r="A1479" s="107">
        <v>1684</v>
      </c>
      <c r="B1479" s="107" t="s">
        <v>197</v>
      </c>
      <c r="C1479" s="107" t="s">
        <v>271</v>
      </c>
      <c r="D1479" s="107">
        <v>0.5</v>
      </c>
      <c r="E1479" s="107" t="s">
        <v>193</v>
      </c>
      <c r="F1479" s="107" t="s">
        <v>581</v>
      </c>
      <c r="G1479" s="107">
        <v>0</v>
      </c>
      <c r="H1479" s="107">
        <v>6</v>
      </c>
      <c r="I1479" s="107">
        <v>4</v>
      </c>
      <c r="J1479" s="107">
        <f t="shared" si="23"/>
        <v>0.625</v>
      </c>
      <c r="K1479" s="107">
        <v>4021</v>
      </c>
      <c r="L1479" s="107">
        <v>1825</v>
      </c>
      <c r="M1479" s="107">
        <v>669</v>
      </c>
      <c r="N1479" s="107"/>
      <c r="O1479" s="107"/>
    </row>
    <row r="1480" spans="1:15" x14ac:dyDescent="0.15">
      <c r="A1480" s="107">
        <v>1685</v>
      </c>
      <c r="B1480" s="107" t="s">
        <v>247</v>
      </c>
      <c r="C1480" s="107" t="s">
        <v>271</v>
      </c>
      <c r="D1480" s="107">
        <v>1</v>
      </c>
      <c r="E1480" s="107" t="s">
        <v>193</v>
      </c>
      <c r="F1480" s="107" t="s">
        <v>581</v>
      </c>
      <c r="G1480" s="107">
        <v>0</v>
      </c>
      <c r="H1480" s="107">
        <v>12</v>
      </c>
      <c r="I1480" s="107">
        <v>8</v>
      </c>
      <c r="J1480" s="107">
        <f t="shared" si="23"/>
        <v>0.625</v>
      </c>
      <c r="K1480" s="107">
        <v>4022</v>
      </c>
      <c r="L1480" s="107">
        <v>1827</v>
      </c>
      <c r="M1480" s="107">
        <v>614</v>
      </c>
      <c r="N1480" s="107"/>
      <c r="O1480" s="107"/>
    </row>
    <row r="1481" spans="1:15" x14ac:dyDescent="0.15">
      <c r="A1481" s="107">
        <v>1689</v>
      </c>
      <c r="B1481" s="107" t="s">
        <v>197</v>
      </c>
      <c r="C1481" s="107" t="s">
        <v>271</v>
      </c>
      <c r="D1481" s="107">
        <v>1</v>
      </c>
      <c r="E1481" s="107" t="s">
        <v>193</v>
      </c>
      <c r="F1481" s="107" t="s">
        <v>581</v>
      </c>
      <c r="G1481" s="107">
        <v>0</v>
      </c>
      <c r="H1481" s="107">
        <v>12</v>
      </c>
      <c r="I1481" s="107">
        <v>0</v>
      </c>
      <c r="J1481" s="107">
        <f t="shared" si="23"/>
        <v>0.6</v>
      </c>
      <c r="K1481" s="107">
        <v>4027</v>
      </c>
      <c r="L1481" s="107">
        <v>1832</v>
      </c>
      <c r="M1481" s="107">
        <v>483</v>
      </c>
      <c r="N1481" s="107"/>
      <c r="O1481" s="107"/>
    </row>
    <row r="1482" spans="1:15" x14ac:dyDescent="0.15">
      <c r="A1482" s="107">
        <v>1659</v>
      </c>
      <c r="B1482" s="107" t="s">
        <v>197</v>
      </c>
      <c r="C1482" s="107" t="s">
        <v>274</v>
      </c>
      <c r="D1482" s="107">
        <v>9000</v>
      </c>
      <c r="E1482" s="107"/>
      <c r="F1482" s="107" t="s">
        <v>582</v>
      </c>
      <c r="G1482" s="107">
        <v>22</v>
      </c>
      <c r="H1482" s="107">
        <v>19</v>
      </c>
      <c r="I1482" s="107">
        <v>0</v>
      </c>
      <c r="J1482" s="107">
        <f t="shared" si="23"/>
        <v>2.5499999999999997E-3</v>
      </c>
      <c r="K1482" s="107">
        <v>3993</v>
      </c>
      <c r="L1482" s="107">
        <v>1792</v>
      </c>
      <c r="M1482" s="107">
        <v>167</v>
      </c>
      <c r="N1482" s="107" t="s">
        <v>317</v>
      </c>
      <c r="O1482" s="107"/>
    </row>
    <row r="1483" spans="1:15" x14ac:dyDescent="0.15">
      <c r="A1483" s="107">
        <v>1700</v>
      </c>
      <c r="B1483" s="107" t="s">
        <v>200</v>
      </c>
      <c r="C1483" s="107" t="s">
        <v>271</v>
      </c>
      <c r="D1483" s="107">
        <v>4</v>
      </c>
      <c r="E1483" s="107" t="s">
        <v>315</v>
      </c>
      <c r="F1483" s="107" t="s">
        <v>583</v>
      </c>
      <c r="G1483" s="107">
        <v>1</v>
      </c>
      <c r="H1483" s="107">
        <v>14</v>
      </c>
      <c r="I1483" s="107">
        <v>0</v>
      </c>
      <c r="J1483" s="107">
        <f t="shared" si="23"/>
        <v>0.42499999999999999</v>
      </c>
      <c r="K1483" s="107">
        <v>4047</v>
      </c>
      <c r="L1483" s="107">
        <v>1855</v>
      </c>
      <c r="M1483" s="107">
        <v>528</v>
      </c>
      <c r="N1483" s="107" t="s">
        <v>272</v>
      </c>
      <c r="O1483" s="107"/>
    </row>
    <row r="1484" spans="1:15" x14ac:dyDescent="0.15">
      <c r="A1484" s="107">
        <v>1682</v>
      </c>
      <c r="B1484" s="107" t="s">
        <v>197</v>
      </c>
      <c r="C1484" s="107" t="s">
        <v>271</v>
      </c>
      <c r="D1484" s="107">
        <v>2</v>
      </c>
      <c r="E1484" s="107" t="s">
        <v>315</v>
      </c>
      <c r="F1484" s="107" t="s">
        <v>584</v>
      </c>
      <c r="G1484" s="107">
        <v>1</v>
      </c>
      <c r="H1484" s="107">
        <v>0</v>
      </c>
      <c r="I1484" s="107">
        <v>0</v>
      </c>
      <c r="J1484" s="107">
        <f t="shared" si="23"/>
        <v>0.5</v>
      </c>
      <c r="K1484" s="107">
        <v>4018</v>
      </c>
      <c r="L1484" s="107">
        <v>1820</v>
      </c>
      <c r="M1484" s="107">
        <v>759</v>
      </c>
      <c r="N1484" s="107" t="s">
        <v>273</v>
      </c>
      <c r="O1484" s="107"/>
    </row>
    <row r="1485" spans="1:15" x14ac:dyDescent="0.15">
      <c r="A1485" s="107">
        <v>1676</v>
      </c>
      <c r="B1485" s="107" t="s">
        <v>197</v>
      </c>
      <c r="C1485" s="107" t="s">
        <v>274</v>
      </c>
      <c r="D1485" s="107">
        <v>8</v>
      </c>
      <c r="E1485" s="107" t="s">
        <v>315</v>
      </c>
      <c r="F1485" s="107" t="s">
        <v>585</v>
      </c>
      <c r="G1485" s="107">
        <v>4</v>
      </c>
      <c r="H1485" s="107">
        <v>0</v>
      </c>
      <c r="I1485" s="107">
        <v>0</v>
      </c>
      <c r="J1485" s="107">
        <f t="shared" si="23"/>
        <v>0.5</v>
      </c>
      <c r="K1485" s="107">
        <v>4012</v>
      </c>
      <c r="L1485" s="107">
        <v>1814</v>
      </c>
      <c r="M1485" s="107">
        <v>428</v>
      </c>
      <c r="N1485" s="107"/>
      <c r="O1485" s="107"/>
    </row>
    <row r="1486" spans="1:15" x14ac:dyDescent="0.15">
      <c r="A1486" s="107">
        <v>1655</v>
      </c>
      <c r="B1486" s="107" t="s">
        <v>197</v>
      </c>
      <c r="C1486" s="107" t="s">
        <v>274</v>
      </c>
      <c r="D1486" s="107">
        <v>6</v>
      </c>
      <c r="E1486" s="107" t="s">
        <v>204</v>
      </c>
      <c r="F1486" s="107" t="s">
        <v>586</v>
      </c>
      <c r="G1486" s="107">
        <v>3</v>
      </c>
      <c r="H1486" s="107">
        <v>10</v>
      </c>
      <c r="I1486" s="107">
        <v>2</v>
      </c>
      <c r="J1486" s="107">
        <f t="shared" si="23"/>
        <v>0.58437499999999998</v>
      </c>
      <c r="K1486" s="107">
        <v>3990</v>
      </c>
      <c r="L1486" s="107">
        <v>1788</v>
      </c>
      <c r="M1486" s="107">
        <v>203</v>
      </c>
      <c r="N1486" s="107" t="s">
        <v>587</v>
      </c>
      <c r="O1486" s="107"/>
    </row>
    <row r="1487" spans="1:15" x14ac:dyDescent="0.15">
      <c r="A1487" s="107">
        <v>1655</v>
      </c>
      <c r="B1487" s="107" t="s">
        <v>260</v>
      </c>
      <c r="C1487" s="107" t="s">
        <v>274</v>
      </c>
      <c r="D1487" s="107">
        <v>30</v>
      </c>
      <c r="E1487" s="107" t="s">
        <v>204</v>
      </c>
      <c r="F1487" s="107" t="s">
        <v>586</v>
      </c>
      <c r="G1487" s="107">
        <v>90</v>
      </c>
      <c r="H1487" s="107">
        <v>0</v>
      </c>
      <c r="I1487" s="107">
        <v>0</v>
      </c>
      <c r="J1487" s="107">
        <f t="shared" si="23"/>
        <v>3</v>
      </c>
      <c r="K1487" s="107">
        <v>3990</v>
      </c>
      <c r="L1487" s="107">
        <v>1788</v>
      </c>
      <c r="M1487" s="107">
        <v>207</v>
      </c>
      <c r="N1487" s="107" t="s">
        <v>467</v>
      </c>
      <c r="O1487" s="107" t="s">
        <v>277</v>
      </c>
    </row>
    <row r="1488" spans="1:15" x14ac:dyDescent="0.15">
      <c r="A1488" s="107">
        <v>1655</v>
      </c>
      <c r="B1488" s="107" t="s">
        <v>247</v>
      </c>
      <c r="C1488" s="107" t="s">
        <v>274</v>
      </c>
      <c r="D1488" s="107">
        <v>1</v>
      </c>
      <c r="E1488" s="107"/>
      <c r="F1488" s="107" t="s">
        <v>586</v>
      </c>
      <c r="G1488" s="107">
        <v>3</v>
      </c>
      <c r="H1488" s="107">
        <v>0</v>
      </c>
      <c r="I1488" s="107">
        <v>0</v>
      </c>
      <c r="J1488" s="107">
        <f t="shared" si="23"/>
        <v>3</v>
      </c>
      <c r="K1488" s="107">
        <v>3990</v>
      </c>
      <c r="L1488" s="107">
        <v>1788</v>
      </c>
      <c r="M1488" s="107">
        <v>207</v>
      </c>
      <c r="N1488" s="107" t="s">
        <v>302</v>
      </c>
      <c r="O1488" s="107" t="s">
        <v>277</v>
      </c>
    </row>
    <row r="1489" spans="1:15" x14ac:dyDescent="0.15">
      <c r="A1489" s="107">
        <v>1656</v>
      </c>
      <c r="B1489" s="107" t="s">
        <v>283</v>
      </c>
      <c r="C1489" s="107" t="s">
        <v>274</v>
      </c>
      <c r="D1489" s="107">
        <v>403</v>
      </c>
      <c r="E1489" s="107" t="s">
        <v>204</v>
      </c>
      <c r="F1489" s="107" t="s">
        <v>588</v>
      </c>
      <c r="G1489" s="107">
        <v>296</v>
      </c>
      <c r="H1489" s="107">
        <v>14</v>
      </c>
      <c r="I1489" s="107">
        <v>8</v>
      </c>
      <c r="J1489" s="107">
        <f t="shared" si="23"/>
        <v>0.73629032258064508</v>
      </c>
      <c r="K1489" s="107">
        <v>3991</v>
      </c>
      <c r="L1489" s="107">
        <v>1788</v>
      </c>
      <c r="M1489" s="107">
        <v>149</v>
      </c>
      <c r="N1489" s="107" t="s">
        <v>284</v>
      </c>
      <c r="O1489" s="107"/>
    </row>
    <row r="1490" spans="1:15" x14ac:dyDescent="0.15">
      <c r="A1490" s="107">
        <v>1659</v>
      </c>
      <c r="B1490" s="107" t="s">
        <v>197</v>
      </c>
      <c r="C1490" s="107" t="s">
        <v>274</v>
      </c>
      <c r="D1490" s="107">
        <v>14</v>
      </c>
      <c r="E1490" s="107" t="s">
        <v>204</v>
      </c>
      <c r="F1490" s="107" t="s">
        <v>588</v>
      </c>
      <c r="G1490" s="107">
        <v>10</v>
      </c>
      <c r="H1490" s="107">
        <v>10</v>
      </c>
      <c r="I1490" s="107">
        <v>0</v>
      </c>
      <c r="J1490" s="107">
        <f t="shared" si="23"/>
        <v>0.75</v>
      </c>
      <c r="K1490" s="107">
        <v>3993</v>
      </c>
      <c r="L1490" s="107">
        <v>1792</v>
      </c>
      <c r="M1490" s="107">
        <v>167</v>
      </c>
      <c r="N1490" s="107" t="s">
        <v>317</v>
      </c>
      <c r="O1490" s="107"/>
    </row>
    <row r="1491" spans="1:15" x14ac:dyDescent="0.15">
      <c r="A1491" s="107">
        <v>1674</v>
      </c>
      <c r="B1491" s="107" t="s">
        <v>197</v>
      </c>
      <c r="C1491" s="107" t="s">
        <v>274</v>
      </c>
      <c r="D1491" s="107">
        <v>50</v>
      </c>
      <c r="E1491" s="107" t="s">
        <v>204</v>
      </c>
      <c r="F1491" s="107" t="s">
        <v>588</v>
      </c>
      <c r="G1491" s="107">
        <v>90</v>
      </c>
      <c r="H1491" s="107">
        <v>0</v>
      </c>
      <c r="I1491" s="107">
        <v>0</v>
      </c>
      <c r="J1491" s="107">
        <f t="shared" si="23"/>
        <v>1.8</v>
      </c>
      <c r="K1491" s="107">
        <v>4011</v>
      </c>
      <c r="L1491" s="107">
        <v>1814</v>
      </c>
      <c r="M1491" s="107">
        <v>596</v>
      </c>
      <c r="N1491" s="107" t="s">
        <v>294</v>
      </c>
      <c r="O1491" s="107"/>
    </row>
    <row r="1492" spans="1:15" x14ac:dyDescent="0.15">
      <c r="A1492" s="107">
        <v>1659</v>
      </c>
      <c r="B1492" s="107" t="s">
        <v>197</v>
      </c>
      <c r="C1492" s="107" t="s">
        <v>274</v>
      </c>
      <c r="D1492" s="107">
        <v>13</v>
      </c>
      <c r="E1492" s="107" t="s">
        <v>204</v>
      </c>
      <c r="F1492" s="107" t="s">
        <v>589</v>
      </c>
      <c r="G1492" s="107">
        <v>22</v>
      </c>
      <c r="H1492" s="107">
        <v>2</v>
      </c>
      <c r="I1492" s="107">
        <v>0</v>
      </c>
      <c r="J1492" s="107">
        <f t="shared" si="23"/>
        <v>1.7000000000000002</v>
      </c>
      <c r="K1492" s="107">
        <v>3993</v>
      </c>
      <c r="L1492" s="107">
        <v>1792</v>
      </c>
      <c r="M1492" s="107">
        <v>167</v>
      </c>
      <c r="N1492" s="107" t="s">
        <v>317</v>
      </c>
      <c r="O1492" s="107"/>
    </row>
    <row r="1493" spans="1:15" x14ac:dyDescent="0.15">
      <c r="A1493" s="107">
        <v>1655</v>
      </c>
      <c r="B1493" s="107" t="s">
        <v>247</v>
      </c>
      <c r="C1493" s="107" t="s">
        <v>274</v>
      </c>
      <c r="D1493" s="107">
        <v>1</v>
      </c>
      <c r="E1493" s="107" t="s">
        <v>505</v>
      </c>
      <c r="F1493" s="107" t="s">
        <v>590</v>
      </c>
      <c r="G1493" s="107">
        <v>50</v>
      </c>
      <c r="H1493" s="107">
        <v>0</v>
      </c>
      <c r="I1493" s="107">
        <v>0</v>
      </c>
      <c r="J1493" s="107">
        <f t="shared" si="23"/>
        <v>50</v>
      </c>
      <c r="K1493" s="107">
        <v>3990</v>
      </c>
      <c r="L1493" s="107">
        <v>1788</v>
      </c>
      <c r="M1493" s="107">
        <v>225</v>
      </c>
      <c r="N1493" s="107" t="s">
        <v>287</v>
      </c>
      <c r="O1493" s="107" t="s">
        <v>319</v>
      </c>
    </row>
    <row r="1494" spans="1:15" x14ac:dyDescent="0.15">
      <c r="A1494" s="107">
        <v>1661</v>
      </c>
      <c r="B1494" s="107" t="s">
        <v>197</v>
      </c>
      <c r="C1494" s="107" t="s">
        <v>274</v>
      </c>
      <c r="D1494" s="107">
        <v>20</v>
      </c>
      <c r="E1494" s="107" t="s">
        <v>193</v>
      </c>
      <c r="F1494" s="107" t="s">
        <v>591</v>
      </c>
      <c r="G1494" s="107">
        <v>5</v>
      </c>
      <c r="H1494" s="107">
        <v>0</v>
      </c>
      <c r="I1494" s="107">
        <v>0</v>
      </c>
      <c r="J1494" s="107">
        <f t="shared" si="23"/>
        <v>0.25</v>
      </c>
      <c r="K1494" s="107">
        <v>3996</v>
      </c>
      <c r="L1494" s="107">
        <v>1794</v>
      </c>
      <c r="M1494" s="107" t="s">
        <v>290</v>
      </c>
      <c r="N1494" s="107"/>
      <c r="O1494" s="107"/>
    </row>
    <row r="1495" spans="1:15" x14ac:dyDescent="0.15">
      <c r="A1495" s="107">
        <v>1665</v>
      </c>
      <c r="B1495" s="107" t="s">
        <v>197</v>
      </c>
      <c r="C1495" s="107" t="s">
        <v>274</v>
      </c>
      <c r="D1495" s="107">
        <v>80</v>
      </c>
      <c r="E1495" s="107" t="s">
        <v>193</v>
      </c>
      <c r="F1495" s="107" t="s">
        <v>591</v>
      </c>
      <c r="G1495" s="107">
        <v>8</v>
      </c>
      <c r="H1495" s="107">
        <v>0</v>
      </c>
      <c r="I1495" s="107">
        <v>0</v>
      </c>
      <c r="J1495" s="107">
        <f t="shared" si="23"/>
        <v>0.1</v>
      </c>
      <c r="K1495" s="107">
        <v>4000</v>
      </c>
      <c r="L1495" s="107">
        <v>1798</v>
      </c>
      <c r="M1495" s="107">
        <v>66</v>
      </c>
      <c r="N1495" s="107"/>
      <c r="O1495" s="107"/>
    </row>
    <row r="1496" spans="1:15" x14ac:dyDescent="0.15">
      <c r="A1496" s="107">
        <v>1676</v>
      </c>
      <c r="B1496" s="107" t="s">
        <v>197</v>
      </c>
      <c r="C1496" s="107" t="s">
        <v>274</v>
      </c>
      <c r="D1496" s="107">
        <v>0.75</v>
      </c>
      <c r="E1496" s="107" t="s">
        <v>193</v>
      </c>
      <c r="F1496" s="107" t="s">
        <v>591</v>
      </c>
      <c r="G1496" s="107">
        <v>0</v>
      </c>
      <c r="H1496" s="107">
        <v>0</v>
      </c>
      <c r="I1496" s="107">
        <v>9</v>
      </c>
      <c r="J1496" s="107">
        <f t="shared" si="23"/>
        <v>3.7499999999999999E-2</v>
      </c>
      <c r="K1496" s="107">
        <v>4012</v>
      </c>
      <c r="L1496" s="107">
        <v>1814</v>
      </c>
      <c r="M1496" s="107">
        <v>428</v>
      </c>
      <c r="N1496" s="107"/>
      <c r="O1496" s="107"/>
    </row>
    <row r="1497" spans="1:15" x14ac:dyDescent="0.15">
      <c r="A1497" s="107">
        <v>1678</v>
      </c>
      <c r="B1497" s="107" t="s">
        <v>197</v>
      </c>
      <c r="C1497" s="107" t="s">
        <v>295</v>
      </c>
      <c r="D1497" s="107">
        <v>0.25</v>
      </c>
      <c r="E1497" s="107" t="s">
        <v>193</v>
      </c>
      <c r="F1497" s="107" t="s">
        <v>591</v>
      </c>
      <c r="G1497" s="107">
        <v>0</v>
      </c>
      <c r="H1497" s="107">
        <v>9</v>
      </c>
      <c r="I1497" s="107">
        <v>0</v>
      </c>
      <c r="J1497" s="107">
        <f t="shared" si="23"/>
        <v>1.8</v>
      </c>
      <c r="K1497" s="107">
        <v>4014</v>
      </c>
      <c r="L1497" s="107">
        <v>4903</v>
      </c>
      <c r="M1497" s="107">
        <v>667</v>
      </c>
      <c r="N1497" s="107"/>
      <c r="O1497" s="107"/>
    </row>
    <row r="1498" spans="1:15" x14ac:dyDescent="0.15">
      <c r="A1498" s="107">
        <v>1681</v>
      </c>
      <c r="B1498" s="107" t="s">
        <v>197</v>
      </c>
      <c r="C1498" s="107" t="s">
        <v>271</v>
      </c>
      <c r="D1498" s="107">
        <v>0.25</v>
      </c>
      <c r="E1498" s="107" t="s">
        <v>193</v>
      </c>
      <c r="F1498" s="107" t="s">
        <v>591</v>
      </c>
      <c r="G1498" s="107">
        <v>0</v>
      </c>
      <c r="H1498" s="107">
        <v>0</v>
      </c>
      <c r="I1498" s="107">
        <v>8</v>
      </c>
      <c r="J1498" s="107">
        <f t="shared" si="23"/>
        <v>0.1</v>
      </c>
      <c r="K1498" s="107">
        <v>4017</v>
      </c>
      <c r="L1498" s="107">
        <v>1819</v>
      </c>
      <c r="M1498" s="107">
        <v>427</v>
      </c>
      <c r="N1498" s="107"/>
      <c r="O1498" s="107"/>
    </row>
    <row r="1499" spans="1:15" x14ac:dyDescent="0.15">
      <c r="A1499" s="107">
        <v>1683</v>
      </c>
      <c r="B1499" s="107" t="s">
        <v>197</v>
      </c>
      <c r="C1499" s="107" t="s">
        <v>271</v>
      </c>
      <c r="D1499" s="107">
        <v>0.5</v>
      </c>
      <c r="E1499" s="107" t="s">
        <v>193</v>
      </c>
      <c r="F1499" s="107" t="s">
        <v>591</v>
      </c>
      <c r="G1499" s="107">
        <v>0</v>
      </c>
      <c r="H1499" s="107">
        <v>1</v>
      </c>
      <c r="I1499" s="107">
        <v>1</v>
      </c>
      <c r="J1499" s="107">
        <f t="shared" si="23"/>
        <v>0.10625000000000001</v>
      </c>
      <c r="K1499" s="107">
        <v>4019</v>
      </c>
      <c r="L1499" s="107">
        <v>1822</v>
      </c>
      <c r="M1499" s="107">
        <v>600</v>
      </c>
      <c r="N1499" s="107"/>
      <c r="O1499" s="107"/>
    </row>
    <row r="1500" spans="1:15" x14ac:dyDescent="0.15">
      <c r="A1500" s="107">
        <v>1684</v>
      </c>
      <c r="B1500" s="107" t="s">
        <v>197</v>
      </c>
      <c r="C1500" s="107" t="s">
        <v>271</v>
      </c>
      <c r="D1500" s="107">
        <v>1</v>
      </c>
      <c r="E1500" s="107" t="s">
        <v>193</v>
      </c>
      <c r="F1500" s="107" t="s">
        <v>591</v>
      </c>
      <c r="G1500" s="107">
        <v>0</v>
      </c>
      <c r="H1500" s="107">
        <v>2</v>
      </c>
      <c r="I1500" s="107">
        <v>2</v>
      </c>
      <c r="J1500" s="107">
        <f t="shared" si="23"/>
        <v>0.10625000000000001</v>
      </c>
      <c r="K1500" s="107">
        <v>4021</v>
      </c>
      <c r="L1500" s="107">
        <v>1825</v>
      </c>
      <c r="M1500" s="107">
        <v>669</v>
      </c>
      <c r="N1500" s="107"/>
      <c r="O1500" s="107"/>
    </row>
    <row r="1501" spans="1:15" x14ac:dyDescent="0.15">
      <c r="A1501" s="107">
        <v>1685</v>
      </c>
      <c r="B1501" s="107" t="s">
        <v>247</v>
      </c>
      <c r="C1501" s="107" t="s">
        <v>271</v>
      </c>
      <c r="D1501" s="107">
        <v>1</v>
      </c>
      <c r="E1501" s="107" t="s">
        <v>193</v>
      </c>
      <c r="F1501" s="107" t="s">
        <v>591</v>
      </c>
      <c r="G1501" s="107">
        <v>0</v>
      </c>
      <c r="H1501" s="107">
        <v>2</v>
      </c>
      <c r="I1501" s="107">
        <v>8</v>
      </c>
      <c r="J1501" s="107">
        <f t="shared" si="23"/>
        <v>0.125</v>
      </c>
      <c r="K1501" s="107">
        <v>4022</v>
      </c>
      <c r="L1501" s="107">
        <v>1827</v>
      </c>
      <c r="M1501" s="107">
        <v>614</v>
      </c>
      <c r="N1501" s="107"/>
      <c r="O1501" s="107"/>
    </row>
    <row r="1502" spans="1:15" x14ac:dyDescent="0.15">
      <c r="A1502" s="107">
        <v>1788</v>
      </c>
      <c r="B1502" s="107" t="s">
        <v>236</v>
      </c>
      <c r="C1502" s="107" t="s">
        <v>268</v>
      </c>
      <c r="D1502" s="25">
        <v>30</v>
      </c>
      <c r="E1502" s="107" t="s">
        <v>212</v>
      </c>
      <c r="F1502" s="107" t="s">
        <v>592</v>
      </c>
      <c r="G1502" s="107">
        <v>20</v>
      </c>
      <c r="H1502" s="107">
        <v>3</v>
      </c>
      <c r="I1502" s="107">
        <v>0</v>
      </c>
      <c r="J1502" s="107">
        <f t="shared" si="23"/>
        <v>0.67166666666666663</v>
      </c>
      <c r="K1502" s="25">
        <v>6786</v>
      </c>
      <c r="L1502" s="107"/>
      <c r="M1502" s="107"/>
      <c r="N1502" s="107"/>
      <c r="O1502" s="107"/>
    </row>
    <row r="1503" spans="1:15" x14ac:dyDescent="0.15">
      <c r="A1503" s="107">
        <v>1724</v>
      </c>
      <c r="B1503" s="107" t="s">
        <v>197</v>
      </c>
      <c r="C1503" s="107" t="s">
        <v>268</v>
      </c>
      <c r="D1503" s="25">
        <v>25</v>
      </c>
      <c r="E1503" s="107" t="s">
        <v>212</v>
      </c>
      <c r="F1503" s="107" t="s">
        <v>593</v>
      </c>
      <c r="G1503" s="107">
        <v>4</v>
      </c>
      <c r="H1503" s="107">
        <v>7</v>
      </c>
      <c r="I1503" s="107">
        <v>8</v>
      </c>
      <c r="J1503" s="107">
        <f t="shared" si="23"/>
        <v>0.17499999999999999</v>
      </c>
      <c r="K1503" s="107">
        <v>6807</v>
      </c>
      <c r="L1503" s="107"/>
      <c r="M1503" s="107"/>
      <c r="N1503" s="107"/>
      <c r="O1503" s="107"/>
    </row>
    <row r="1504" spans="1:15" x14ac:dyDescent="0.15">
      <c r="A1504" s="107">
        <v>1736</v>
      </c>
      <c r="B1504" s="107" t="s">
        <v>261</v>
      </c>
      <c r="C1504" s="107" t="s">
        <v>268</v>
      </c>
      <c r="D1504" s="25">
        <v>55</v>
      </c>
      <c r="E1504" s="107" t="s">
        <v>212</v>
      </c>
      <c r="F1504" s="107" t="s">
        <v>593</v>
      </c>
      <c r="G1504" s="107">
        <v>7</v>
      </c>
      <c r="H1504" s="107">
        <v>16</v>
      </c>
      <c r="I1504" s="107">
        <v>0</v>
      </c>
      <c r="J1504" s="107">
        <f t="shared" si="23"/>
        <v>0.14181818181818182</v>
      </c>
      <c r="K1504" s="107">
        <v>6014</v>
      </c>
      <c r="L1504" s="107"/>
      <c r="M1504" s="107"/>
      <c r="N1504" s="107"/>
      <c r="O1504" s="107"/>
    </row>
    <row r="1505" spans="1:11" x14ac:dyDescent="0.15">
      <c r="A1505" s="107">
        <v>1741</v>
      </c>
      <c r="B1505" s="107" t="s">
        <v>196</v>
      </c>
      <c r="C1505" s="107" t="s">
        <v>268</v>
      </c>
      <c r="D1505" s="25">
        <v>51</v>
      </c>
      <c r="E1505" s="107" t="s">
        <v>212</v>
      </c>
      <c r="F1505" s="107" t="s">
        <v>593</v>
      </c>
      <c r="G1505" s="107">
        <v>9</v>
      </c>
      <c r="H1505" s="107">
        <v>5</v>
      </c>
      <c r="I1505" s="107">
        <v>0</v>
      </c>
      <c r="J1505" s="107">
        <f t="shared" si="23"/>
        <v>0.18137254901960784</v>
      </c>
      <c r="K1505" s="107">
        <v>6115</v>
      </c>
    </row>
    <row r="1506" spans="1:11" x14ac:dyDescent="0.15">
      <c r="A1506" s="107">
        <v>1759</v>
      </c>
      <c r="B1506" s="107" t="s">
        <v>261</v>
      </c>
      <c r="C1506" s="107" t="s">
        <v>268</v>
      </c>
      <c r="D1506" s="25">
        <v>220</v>
      </c>
      <c r="E1506" s="107" t="s">
        <v>212</v>
      </c>
      <c r="F1506" s="107" t="s">
        <v>593</v>
      </c>
      <c r="G1506" s="107">
        <v>80</v>
      </c>
      <c r="H1506" s="107">
        <v>9</v>
      </c>
      <c r="I1506" s="107">
        <v>0</v>
      </c>
      <c r="J1506" s="107">
        <f t="shared" si="23"/>
        <v>0.36568181818181822</v>
      </c>
      <c r="K1506" s="107">
        <v>6370</v>
      </c>
    </row>
    <row r="1507" spans="1:11" x14ac:dyDescent="0.15">
      <c r="A1507" s="107">
        <v>1709</v>
      </c>
      <c r="B1507" s="107" t="s">
        <v>192</v>
      </c>
      <c r="C1507" s="107" t="s">
        <v>268</v>
      </c>
      <c r="D1507" s="25">
        <v>26</v>
      </c>
      <c r="E1507" s="107" t="s">
        <v>212</v>
      </c>
      <c r="F1507" s="107" t="s">
        <v>594</v>
      </c>
      <c r="G1507" s="107">
        <v>20</v>
      </c>
      <c r="H1507" s="107">
        <v>13</v>
      </c>
      <c r="I1507" s="107">
        <v>0</v>
      </c>
      <c r="J1507" s="107">
        <f t="shared" si="23"/>
        <v>0.79423076923076918</v>
      </c>
      <c r="K1507" s="107">
        <v>5600</v>
      </c>
    </row>
    <row r="1508" spans="1:11" x14ac:dyDescent="0.15">
      <c r="A1508" s="107">
        <v>1711</v>
      </c>
      <c r="B1508" s="107" t="s">
        <v>260</v>
      </c>
      <c r="C1508" s="107" t="s">
        <v>268</v>
      </c>
      <c r="D1508" s="25">
        <v>25.5</v>
      </c>
      <c r="E1508" s="107" t="s">
        <v>212</v>
      </c>
      <c r="F1508" s="107" t="s">
        <v>594</v>
      </c>
      <c r="G1508" s="107">
        <v>26</v>
      </c>
      <c r="H1508" s="107">
        <v>7</v>
      </c>
      <c r="I1508" s="107">
        <v>8</v>
      </c>
      <c r="J1508" s="107">
        <f t="shared" si="23"/>
        <v>1.0343137254901962</v>
      </c>
      <c r="K1508" s="107">
        <v>5612</v>
      </c>
    </row>
    <row r="1509" spans="1:11" x14ac:dyDescent="0.15">
      <c r="A1509" s="107">
        <v>1712</v>
      </c>
      <c r="B1509" s="107" t="s">
        <v>261</v>
      </c>
      <c r="C1509" s="107" t="s">
        <v>268</v>
      </c>
      <c r="D1509" s="25">
        <v>16</v>
      </c>
      <c r="E1509" s="107" t="s">
        <v>212</v>
      </c>
      <c r="F1509" s="107" t="s">
        <v>594</v>
      </c>
      <c r="G1509" s="107">
        <v>18</v>
      </c>
      <c r="H1509" s="107">
        <v>8</v>
      </c>
      <c r="I1509" s="107">
        <v>0</v>
      </c>
      <c r="J1509" s="107">
        <f t="shared" si="23"/>
        <v>1.1499999999999999</v>
      </c>
      <c r="K1509" s="107">
        <v>5628</v>
      </c>
    </row>
    <row r="1510" spans="1:11" x14ac:dyDescent="0.15">
      <c r="A1510" s="107">
        <v>1713</v>
      </c>
      <c r="B1510" s="107" t="s">
        <v>236</v>
      </c>
      <c r="C1510" s="107" t="s">
        <v>268</v>
      </c>
      <c r="D1510" s="25">
        <v>30</v>
      </c>
      <c r="E1510" s="107" t="s">
        <v>212</v>
      </c>
      <c r="F1510" s="107" t="s">
        <v>594</v>
      </c>
      <c r="G1510" s="107">
        <v>31</v>
      </c>
      <c r="H1510" s="107">
        <v>17</v>
      </c>
      <c r="I1510" s="107">
        <v>8</v>
      </c>
      <c r="J1510" s="107">
        <f t="shared" si="23"/>
        <v>1.0625</v>
      </c>
      <c r="K1510" s="107">
        <v>5646</v>
      </c>
    </row>
    <row r="1511" spans="1:11" x14ac:dyDescent="0.15">
      <c r="A1511" s="107">
        <v>1716</v>
      </c>
      <c r="B1511" s="107" t="s">
        <v>197</v>
      </c>
      <c r="C1511" s="107" t="s">
        <v>268</v>
      </c>
      <c r="D1511" s="25">
        <v>16</v>
      </c>
      <c r="E1511" s="107" t="s">
        <v>212</v>
      </c>
      <c r="F1511" s="107" t="s">
        <v>594</v>
      </c>
      <c r="G1511" s="107">
        <v>15</v>
      </c>
      <c r="H1511" s="107">
        <v>10</v>
      </c>
      <c r="I1511" s="107">
        <v>0</v>
      </c>
      <c r="J1511" s="107">
        <f t="shared" si="23"/>
        <v>0.96875</v>
      </c>
      <c r="K1511" s="107">
        <v>5670</v>
      </c>
    </row>
    <row r="1512" spans="1:11" x14ac:dyDescent="0.15">
      <c r="A1512" s="107">
        <v>1784</v>
      </c>
      <c r="B1512" s="107" t="s">
        <v>261</v>
      </c>
      <c r="C1512" s="107" t="s">
        <v>268</v>
      </c>
      <c r="D1512" s="25">
        <v>48.5</v>
      </c>
      <c r="E1512" s="107" t="s">
        <v>212</v>
      </c>
      <c r="F1512" s="107" t="s">
        <v>594</v>
      </c>
      <c r="G1512" s="107">
        <v>34</v>
      </c>
      <c r="H1512" s="107">
        <v>11</v>
      </c>
      <c r="I1512" s="107">
        <v>0</v>
      </c>
      <c r="J1512" s="107">
        <f t="shared" si="23"/>
        <v>0.71237113402061847</v>
      </c>
      <c r="K1512" s="25">
        <v>6705</v>
      </c>
    </row>
    <row r="1513" spans="1:11" x14ac:dyDescent="0.15">
      <c r="A1513" s="107">
        <v>1793</v>
      </c>
      <c r="B1513" s="107" t="s">
        <v>192</v>
      </c>
      <c r="C1513" s="107" t="s">
        <v>268</v>
      </c>
      <c r="D1513" s="25">
        <v>8</v>
      </c>
      <c r="E1513" s="107" t="s">
        <v>212</v>
      </c>
      <c r="F1513" s="107" t="s">
        <v>594</v>
      </c>
      <c r="G1513" s="107">
        <v>4</v>
      </c>
      <c r="H1513" s="107">
        <v>11</v>
      </c>
      <c r="I1513" s="107">
        <v>8</v>
      </c>
      <c r="J1513" s="107">
        <f t="shared" si="23"/>
        <v>0.57187500000000002</v>
      </c>
      <c r="K1513" s="107">
        <v>6826</v>
      </c>
    </row>
    <row r="1514" spans="1:11" x14ac:dyDescent="0.15">
      <c r="A1514" s="107">
        <v>1711</v>
      </c>
      <c r="B1514" s="107" t="s">
        <v>260</v>
      </c>
      <c r="C1514" s="107" t="s">
        <v>268</v>
      </c>
      <c r="D1514" s="25">
        <v>51</v>
      </c>
      <c r="E1514" s="107" t="s">
        <v>212</v>
      </c>
      <c r="F1514" s="107" t="s">
        <v>215</v>
      </c>
      <c r="G1514" s="107">
        <v>66</v>
      </c>
      <c r="H1514" s="107">
        <v>6</v>
      </c>
      <c r="I1514" s="107">
        <v>0</v>
      </c>
      <c r="J1514" s="107">
        <f t="shared" si="23"/>
        <v>1.3</v>
      </c>
      <c r="K1514" s="107">
        <v>5612</v>
      </c>
    </row>
    <row r="1515" spans="1:11" x14ac:dyDescent="0.15">
      <c r="A1515" s="107">
        <v>1714</v>
      </c>
      <c r="B1515" s="107" t="s">
        <v>200</v>
      </c>
      <c r="C1515" s="107" t="s">
        <v>268</v>
      </c>
      <c r="D1515" s="25">
        <v>51</v>
      </c>
      <c r="E1515" s="107" t="s">
        <v>212</v>
      </c>
      <c r="F1515" s="107" t="s">
        <v>215</v>
      </c>
      <c r="G1515" s="107">
        <v>70</v>
      </c>
      <c r="H1515" s="107">
        <v>9</v>
      </c>
      <c r="I1515" s="107">
        <v>0</v>
      </c>
      <c r="J1515" s="107">
        <f t="shared" si="23"/>
        <v>1.3813725490196078</v>
      </c>
      <c r="K1515" s="107">
        <v>5654</v>
      </c>
    </row>
    <row r="1516" spans="1:11" x14ac:dyDescent="0.15">
      <c r="A1516" s="107">
        <v>1716</v>
      </c>
      <c r="B1516" s="107" t="s">
        <v>197</v>
      </c>
      <c r="C1516" s="107" t="s">
        <v>268</v>
      </c>
      <c r="D1516" s="25">
        <v>60</v>
      </c>
      <c r="E1516" s="107" t="s">
        <v>212</v>
      </c>
      <c r="F1516" s="107" t="s">
        <v>215</v>
      </c>
      <c r="G1516" s="107">
        <v>79</v>
      </c>
      <c r="H1516" s="107">
        <v>17</v>
      </c>
      <c r="I1516" s="107">
        <v>8</v>
      </c>
      <c r="J1516" s="107">
        <f t="shared" si="23"/>
        <v>1.33125</v>
      </c>
      <c r="K1516" s="107">
        <v>5670</v>
      </c>
    </row>
    <row r="1517" spans="1:11" x14ac:dyDescent="0.15">
      <c r="A1517" s="107">
        <v>1717</v>
      </c>
      <c r="B1517" s="107" t="s">
        <v>192</v>
      </c>
      <c r="C1517" s="107" t="s">
        <v>268</v>
      </c>
      <c r="D1517" s="25">
        <v>64</v>
      </c>
      <c r="E1517" s="107" t="s">
        <v>212</v>
      </c>
      <c r="F1517" s="107" t="s">
        <v>215</v>
      </c>
      <c r="G1517" s="107">
        <v>95</v>
      </c>
      <c r="H1517" s="107">
        <v>4</v>
      </c>
      <c r="I1517" s="107">
        <v>0</v>
      </c>
      <c r="J1517" s="107">
        <f t="shared" si="23"/>
        <v>1.4875</v>
      </c>
      <c r="K1517" s="107">
        <v>5683</v>
      </c>
    </row>
    <row r="1518" spans="1:11" x14ac:dyDescent="0.15">
      <c r="A1518" s="107">
        <v>1720</v>
      </c>
      <c r="B1518" s="107" t="s">
        <v>253</v>
      </c>
      <c r="C1518" s="107" t="s">
        <v>268</v>
      </c>
      <c r="D1518" s="25">
        <v>51</v>
      </c>
      <c r="E1518" s="107" t="s">
        <v>212</v>
      </c>
      <c r="F1518" s="107" t="s">
        <v>215</v>
      </c>
      <c r="G1518" s="107">
        <v>59</v>
      </c>
      <c r="H1518" s="107">
        <v>18</v>
      </c>
      <c r="I1518" s="107">
        <v>8</v>
      </c>
      <c r="J1518" s="107">
        <f t="shared" si="23"/>
        <v>1.175</v>
      </c>
      <c r="K1518" s="107">
        <v>5731</v>
      </c>
    </row>
    <row r="1519" spans="1:11" x14ac:dyDescent="0.15">
      <c r="A1519" s="107">
        <v>1732</v>
      </c>
      <c r="B1519" s="107" t="s">
        <v>261</v>
      </c>
      <c r="C1519" s="107" t="s">
        <v>268</v>
      </c>
      <c r="D1519" s="25">
        <v>51</v>
      </c>
      <c r="E1519" s="107" t="s">
        <v>212</v>
      </c>
      <c r="F1519" s="107" t="s">
        <v>215</v>
      </c>
      <c r="G1519" s="107">
        <v>41</v>
      </c>
      <c r="H1519" s="107">
        <v>15</v>
      </c>
      <c r="I1519" s="107">
        <v>0</v>
      </c>
      <c r="J1519" s="107">
        <f t="shared" si="23"/>
        <v>0.81862745098039214</v>
      </c>
      <c r="K1519" s="107">
        <v>5939</v>
      </c>
    </row>
    <row r="1520" spans="1:11" x14ac:dyDescent="0.15">
      <c r="A1520" s="107">
        <v>1741</v>
      </c>
      <c r="B1520" s="107" t="s">
        <v>196</v>
      </c>
      <c r="C1520" s="107" t="s">
        <v>268</v>
      </c>
      <c r="D1520" s="25">
        <v>51</v>
      </c>
      <c r="E1520" s="107" t="s">
        <v>212</v>
      </c>
      <c r="F1520" s="107" t="s">
        <v>215</v>
      </c>
      <c r="G1520" s="107">
        <v>41</v>
      </c>
      <c r="H1520" s="107">
        <v>18</v>
      </c>
      <c r="I1520" s="107">
        <v>8</v>
      </c>
      <c r="J1520" s="107">
        <f t="shared" ref="J1520:J1583" si="24">(G1520+H1520/20+I1520/320)/D1520</f>
        <v>0.82205882352941173</v>
      </c>
      <c r="K1520" s="107">
        <v>6115</v>
      </c>
    </row>
    <row r="1521" spans="1:15" x14ac:dyDescent="0.15">
      <c r="A1521" s="107">
        <v>1760</v>
      </c>
      <c r="B1521" s="107" t="s">
        <v>244</v>
      </c>
      <c r="C1521" s="107" t="s">
        <v>268</v>
      </c>
      <c r="D1521" s="25">
        <v>107</v>
      </c>
      <c r="E1521" s="107" t="s">
        <v>212</v>
      </c>
      <c r="F1521" s="107" t="s">
        <v>215</v>
      </c>
      <c r="G1521" s="107">
        <v>79</v>
      </c>
      <c r="H1521" s="107">
        <v>5</v>
      </c>
      <c r="I1521" s="107">
        <v>0</v>
      </c>
      <c r="J1521" s="107">
        <f t="shared" si="24"/>
        <v>0.74065420560747663</v>
      </c>
      <c r="K1521" s="107">
        <v>6374</v>
      </c>
      <c r="L1521" s="107"/>
      <c r="M1521" s="107"/>
      <c r="N1521" s="107"/>
      <c r="O1521" s="107"/>
    </row>
    <row r="1522" spans="1:15" x14ac:dyDescent="0.15">
      <c r="A1522" s="107">
        <v>1786</v>
      </c>
      <c r="B1522" s="107" t="s">
        <v>261</v>
      </c>
      <c r="C1522" s="107" t="s">
        <v>268</v>
      </c>
      <c r="D1522" s="25">
        <v>143.5</v>
      </c>
      <c r="E1522" s="107" t="s">
        <v>212</v>
      </c>
      <c r="F1522" s="107" t="s">
        <v>215</v>
      </c>
      <c r="G1522" s="107">
        <v>140</v>
      </c>
      <c r="H1522" s="107">
        <v>7</v>
      </c>
      <c r="I1522" s="107">
        <v>0</v>
      </c>
      <c r="J1522" s="107">
        <f t="shared" si="24"/>
        <v>0.97804878048780486</v>
      </c>
      <c r="K1522" s="107">
        <v>6746</v>
      </c>
      <c r="L1522" s="107"/>
      <c r="M1522" s="107"/>
      <c r="N1522" s="107"/>
      <c r="O1522" s="107"/>
    </row>
    <row r="1523" spans="1:15" x14ac:dyDescent="0.15">
      <c r="A1523" s="107">
        <v>1788</v>
      </c>
      <c r="B1523" s="107" t="s">
        <v>236</v>
      </c>
      <c r="C1523" s="107" t="s">
        <v>268</v>
      </c>
      <c r="D1523" s="25">
        <v>48.5</v>
      </c>
      <c r="E1523" s="107" t="s">
        <v>212</v>
      </c>
      <c r="F1523" s="107" t="s">
        <v>215</v>
      </c>
      <c r="G1523" s="107">
        <v>53</v>
      </c>
      <c r="H1523" s="107">
        <v>7</v>
      </c>
      <c r="I1523" s="107">
        <v>0</v>
      </c>
      <c r="J1523" s="107">
        <f t="shared" si="24"/>
        <v>1.1000000000000001</v>
      </c>
      <c r="K1523" s="25">
        <v>6786</v>
      </c>
      <c r="L1523" s="107"/>
      <c r="M1523" s="107"/>
      <c r="N1523" s="107"/>
      <c r="O1523" s="107"/>
    </row>
    <row r="1524" spans="1:15" x14ac:dyDescent="0.15">
      <c r="A1524" s="107">
        <v>1793</v>
      </c>
      <c r="B1524" s="107" t="s">
        <v>247</v>
      </c>
      <c r="C1524" s="107" t="s">
        <v>270</v>
      </c>
      <c r="D1524" s="25">
        <v>50</v>
      </c>
      <c r="E1524" s="107" t="s">
        <v>212</v>
      </c>
      <c r="F1524" s="107" t="s">
        <v>215</v>
      </c>
      <c r="G1524" s="107">
        <v>40</v>
      </c>
      <c r="H1524" s="107">
        <v>12</v>
      </c>
      <c r="I1524" s="107">
        <v>8</v>
      </c>
      <c r="J1524" s="107">
        <f t="shared" si="24"/>
        <v>0.8125</v>
      </c>
      <c r="K1524" s="107">
        <v>6826</v>
      </c>
      <c r="L1524" s="107"/>
      <c r="M1524" s="107"/>
      <c r="N1524" s="107"/>
      <c r="O1524" s="107"/>
    </row>
    <row r="1525" spans="1:15" x14ac:dyDescent="0.15">
      <c r="A1525" s="107">
        <v>1655</v>
      </c>
      <c r="B1525" s="107" t="s">
        <v>196</v>
      </c>
      <c r="C1525" s="107" t="s">
        <v>274</v>
      </c>
      <c r="D1525" s="107">
        <v>0.5</v>
      </c>
      <c r="E1525" s="107" t="s">
        <v>595</v>
      </c>
      <c r="F1525" s="107" t="s">
        <v>596</v>
      </c>
      <c r="G1525" s="107">
        <v>43</v>
      </c>
      <c r="H1525" s="107">
        <v>0</v>
      </c>
      <c r="I1525" s="107">
        <v>0</v>
      </c>
      <c r="J1525" s="107">
        <f t="shared" si="24"/>
        <v>86</v>
      </c>
      <c r="K1525" s="107">
        <v>3990</v>
      </c>
      <c r="L1525" s="107">
        <v>1788</v>
      </c>
      <c r="M1525" s="107">
        <v>206</v>
      </c>
      <c r="N1525" s="107" t="s">
        <v>288</v>
      </c>
      <c r="O1525" s="107" t="s">
        <v>277</v>
      </c>
    </row>
    <row r="1526" spans="1:15" x14ac:dyDescent="0.15">
      <c r="A1526" s="107">
        <v>1655</v>
      </c>
      <c r="B1526" s="107" t="s">
        <v>226</v>
      </c>
      <c r="C1526" s="107" t="s">
        <v>274</v>
      </c>
      <c r="D1526" s="107">
        <v>1</v>
      </c>
      <c r="E1526" s="107" t="s">
        <v>597</v>
      </c>
      <c r="F1526" s="107" t="s">
        <v>596</v>
      </c>
      <c r="G1526" s="107">
        <v>43</v>
      </c>
      <c r="H1526" s="107">
        <v>0</v>
      </c>
      <c r="I1526" s="107">
        <v>0</v>
      </c>
      <c r="J1526" s="107">
        <f t="shared" si="24"/>
        <v>43</v>
      </c>
      <c r="K1526" s="107">
        <v>3990</v>
      </c>
      <c r="L1526" s="107">
        <v>1788</v>
      </c>
      <c r="M1526" s="107">
        <v>207</v>
      </c>
      <c r="N1526" s="107" t="s">
        <v>276</v>
      </c>
      <c r="O1526" s="107" t="s">
        <v>277</v>
      </c>
    </row>
    <row r="1527" spans="1:15" x14ac:dyDescent="0.15">
      <c r="A1527" s="107">
        <v>1655</v>
      </c>
      <c r="B1527" s="107" t="s">
        <v>197</v>
      </c>
      <c r="C1527" s="107" t="s">
        <v>274</v>
      </c>
      <c r="D1527" s="107">
        <v>6</v>
      </c>
      <c r="E1527" s="107" t="s">
        <v>598</v>
      </c>
      <c r="F1527" s="107" t="s">
        <v>596</v>
      </c>
      <c r="G1527" s="107">
        <v>258</v>
      </c>
      <c r="H1527" s="107">
        <v>0</v>
      </c>
      <c r="I1527" s="107">
        <v>0</v>
      </c>
      <c r="J1527" s="107">
        <f t="shared" si="24"/>
        <v>43</v>
      </c>
      <c r="K1527" s="107">
        <v>3990</v>
      </c>
      <c r="L1527" s="107">
        <v>1788</v>
      </c>
      <c r="M1527" s="107">
        <v>149</v>
      </c>
      <c r="N1527" s="107"/>
      <c r="O1527" s="107"/>
    </row>
    <row r="1528" spans="1:15" x14ac:dyDescent="0.15">
      <c r="A1528" s="107">
        <v>1656</v>
      </c>
      <c r="B1528" s="107" t="s">
        <v>260</v>
      </c>
      <c r="C1528" s="107" t="s">
        <v>274</v>
      </c>
      <c r="D1528" s="107">
        <v>4.5</v>
      </c>
      <c r="E1528" s="107" t="s">
        <v>297</v>
      </c>
      <c r="F1528" s="107" t="s">
        <v>596</v>
      </c>
      <c r="G1528" s="107">
        <v>5</v>
      </c>
      <c r="H1528" s="107">
        <v>12</v>
      </c>
      <c r="I1528" s="107">
        <v>8</v>
      </c>
      <c r="J1528" s="107">
        <f t="shared" si="24"/>
        <v>1.25</v>
      </c>
      <c r="K1528" s="107">
        <v>3991</v>
      </c>
      <c r="L1528" s="107">
        <v>1788</v>
      </c>
      <c r="M1528" s="107">
        <v>160</v>
      </c>
      <c r="N1528" s="107"/>
      <c r="O1528" s="107"/>
    </row>
    <row r="1529" spans="1:15" x14ac:dyDescent="0.15">
      <c r="A1529" s="107">
        <v>1657</v>
      </c>
      <c r="B1529" s="107" t="s">
        <v>261</v>
      </c>
      <c r="C1529" s="107" t="s">
        <v>274</v>
      </c>
      <c r="D1529" s="107">
        <v>3.75</v>
      </c>
      <c r="E1529" s="107" t="s">
        <v>212</v>
      </c>
      <c r="F1529" s="107" t="s">
        <v>596</v>
      </c>
      <c r="G1529" s="107">
        <v>4</v>
      </c>
      <c r="H1529" s="107">
        <v>13</v>
      </c>
      <c r="I1529" s="107">
        <v>8</v>
      </c>
      <c r="J1529" s="107">
        <f t="shared" si="24"/>
        <v>1.2466666666666668</v>
      </c>
      <c r="K1529" s="107">
        <v>3992</v>
      </c>
      <c r="L1529" s="107">
        <v>1789</v>
      </c>
      <c r="M1529" s="107">
        <v>240</v>
      </c>
      <c r="N1529" s="107"/>
      <c r="O1529" s="107"/>
    </row>
    <row r="1530" spans="1:15" x14ac:dyDescent="0.15">
      <c r="A1530" s="107">
        <v>1659</v>
      </c>
      <c r="B1530" s="107" t="s">
        <v>244</v>
      </c>
      <c r="C1530" s="107" t="s">
        <v>274</v>
      </c>
      <c r="D1530" s="107">
        <v>12.5</v>
      </c>
      <c r="E1530" s="107" t="s">
        <v>293</v>
      </c>
      <c r="F1530" s="107" t="s">
        <v>596</v>
      </c>
      <c r="G1530" s="107">
        <v>12</v>
      </c>
      <c r="H1530" s="107">
        <v>10</v>
      </c>
      <c r="I1530" s="107">
        <v>0</v>
      </c>
      <c r="J1530" s="107">
        <f t="shared" si="24"/>
        <v>1</v>
      </c>
      <c r="K1530" s="107">
        <v>3994</v>
      </c>
      <c r="L1530" s="107">
        <v>1792</v>
      </c>
      <c r="M1530" s="107">
        <v>180</v>
      </c>
      <c r="N1530" s="107"/>
      <c r="O1530" s="107"/>
    </row>
    <row r="1531" spans="1:15" x14ac:dyDescent="0.15">
      <c r="A1531" s="107">
        <v>1660</v>
      </c>
      <c r="B1531" s="107" t="s">
        <v>186</v>
      </c>
      <c r="C1531" s="107" t="s">
        <v>274</v>
      </c>
      <c r="D1531" s="107">
        <v>124.5</v>
      </c>
      <c r="E1531" s="107" t="s">
        <v>293</v>
      </c>
      <c r="F1531" s="107" t="s">
        <v>596</v>
      </c>
      <c r="G1531" s="107">
        <v>114</v>
      </c>
      <c r="H1531" s="107">
        <v>18</v>
      </c>
      <c r="I1531" s="107">
        <v>0</v>
      </c>
      <c r="J1531" s="107">
        <f t="shared" si="24"/>
        <v>0.9228915662650603</v>
      </c>
      <c r="K1531" s="107">
        <v>3995</v>
      </c>
      <c r="L1531" s="107">
        <v>1793</v>
      </c>
      <c r="M1531" s="107">
        <v>232</v>
      </c>
      <c r="N1531" s="107"/>
      <c r="O1531" s="107"/>
    </row>
    <row r="1532" spans="1:15" x14ac:dyDescent="0.15">
      <c r="A1532" s="107">
        <v>1661</v>
      </c>
      <c r="B1532" s="107" t="s">
        <v>260</v>
      </c>
      <c r="C1532" s="107" t="s">
        <v>274</v>
      </c>
      <c r="D1532" s="107">
        <v>8</v>
      </c>
      <c r="E1532" s="107" t="s">
        <v>293</v>
      </c>
      <c r="F1532" s="107" t="s">
        <v>596</v>
      </c>
      <c r="G1532" s="107">
        <v>8</v>
      </c>
      <c r="H1532" s="107">
        <v>0</v>
      </c>
      <c r="I1532" s="107">
        <v>0</v>
      </c>
      <c r="J1532" s="107">
        <f t="shared" si="24"/>
        <v>1</v>
      </c>
      <c r="K1532" s="107">
        <v>3996</v>
      </c>
      <c r="L1532" s="107">
        <v>1794</v>
      </c>
      <c r="M1532" s="107" t="s">
        <v>290</v>
      </c>
      <c r="N1532" s="107"/>
      <c r="O1532" s="107"/>
    </row>
    <row r="1533" spans="1:15" x14ac:dyDescent="0.15">
      <c r="A1533" s="107">
        <v>1662</v>
      </c>
      <c r="B1533" s="107" t="s">
        <v>261</v>
      </c>
      <c r="C1533" s="107" t="s">
        <v>274</v>
      </c>
      <c r="D1533" s="107">
        <v>6.5</v>
      </c>
      <c r="E1533" s="107" t="s">
        <v>293</v>
      </c>
      <c r="F1533" s="107" t="s">
        <v>596</v>
      </c>
      <c r="G1533" s="107">
        <v>6</v>
      </c>
      <c r="H1533" s="107">
        <v>10</v>
      </c>
      <c r="I1533" s="107">
        <v>0</v>
      </c>
      <c r="J1533" s="107">
        <f t="shared" si="24"/>
        <v>1</v>
      </c>
      <c r="K1533" s="107">
        <v>3997</v>
      </c>
      <c r="L1533" s="107">
        <v>1795</v>
      </c>
      <c r="M1533" s="107" t="s">
        <v>290</v>
      </c>
      <c r="N1533" s="107"/>
      <c r="O1533" s="107"/>
    </row>
    <row r="1534" spans="1:15" x14ac:dyDescent="0.15">
      <c r="A1534" s="107">
        <v>1663</v>
      </c>
      <c r="B1534" s="107" t="s">
        <v>261</v>
      </c>
      <c r="C1534" s="107" t="s">
        <v>274</v>
      </c>
      <c r="D1534" s="107">
        <v>64</v>
      </c>
      <c r="E1534" s="107" t="s">
        <v>299</v>
      </c>
      <c r="F1534" s="107" t="s">
        <v>596</v>
      </c>
      <c r="G1534" s="107">
        <v>36</v>
      </c>
      <c r="H1534" s="107">
        <v>0</v>
      </c>
      <c r="I1534" s="107">
        <v>0</v>
      </c>
      <c r="J1534" s="107">
        <f t="shared" si="24"/>
        <v>0.5625</v>
      </c>
      <c r="K1534" s="107">
        <v>3998</v>
      </c>
      <c r="L1534" s="107">
        <v>1797</v>
      </c>
      <c r="M1534" s="107" t="s">
        <v>290</v>
      </c>
      <c r="N1534" s="107"/>
      <c r="O1534" s="107"/>
    </row>
    <row r="1535" spans="1:15" x14ac:dyDescent="0.15">
      <c r="A1535" s="107">
        <v>1665</v>
      </c>
      <c r="B1535" s="107" t="s">
        <v>244</v>
      </c>
      <c r="C1535" s="107" t="s">
        <v>274</v>
      </c>
      <c r="D1535" s="107">
        <v>10</v>
      </c>
      <c r="E1535" s="107" t="s">
        <v>291</v>
      </c>
      <c r="F1535" s="107" t="s">
        <v>596</v>
      </c>
      <c r="G1535" s="107">
        <v>430</v>
      </c>
      <c r="H1535" s="107">
        <v>0</v>
      </c>
      <c r="I1535" s="107">
        <v>0</v>
      </c>
      <c r="J1535" s="107">
        <f t="shared" si="24"/>
        <v>43</v>
      </c>
      <c r="K1535" s="107">
        <v>4000</v>
      </c>
      <c r="L1535" s="107">
        <v>1798</v>
      </c>
      <c r="M1535" s="107">
        <v>102</v>
      </c>
      <c r="N1535" s="107"/>
      <c r="O1535" s="107"/>
    </row>
    <row r="1536" spans="1:15" x14ac:dyDescent="0.15">
      <c r="A1536" s="107">
        <v>1666</v>
      </c>
      <c r="B1536" s="107" t="s">
        <v>197</v>
      </c>
      <c r="C1536" s="107" t="s">
        <v>274</v>
      </c>
      <c r="D1536" s="107">
        <v>27</v>
      </c>
      <c r="E1536" s="107" t="s">
        <v>291</v>
      </c>
      <c r="F1536" s="107" t="s">
        <v>596</v>
      </c>
      <c r="G1536" s="107">
        <v>1066</v>
      </c>
      <c r="H1536" s="107">
        <v>10</v>
      </c>
      <c r="I1536" s="107">
        <v>0</v>
      </c>
      <c r="J1536" s="107">
        <f t="shared" si="24"/>
        <v>39.5</v>
      </c>
      <c r="K1536" s="107">
        <v>4001</v>
      </c>
      <c r="L1536" s="107">
        <v>1800</v>
      </c>
      <c r="M1536" s="107">
        <v>40</v>
      </c>
      <c r="N1536" s="107"/>
      <c r="O1536" s="107"/>
    </row>
    <row r="1537" spans="1:14" x14ac:dyDescent="0.15">
      <c r="A1537" s="107">
        <v>1666</v>
      </c>
      <c r="B1537" s="107" t="s">
        <v>196</v>
      </c>
      <c r="C1537" s="107" t="s">
        <v>274</v>
      </c>
      <c r="D1537" s="107">
        <v>4</v>
      </c>
      <c r="E1537" s="107" t="s">
        <v>212</v>
      </c>
      <c r="F1537" s="107" t="s">
        <v>596</v>
      </c>
      <c r="G1537" s="107">
        <v>36</v>
      </c>
      <c r="H1537" s="107">
        <v>0</v>
      </c>
      <c r="I1537" s="107">
        <v>0</v>
      </c>
      <c r="J1537" s="107">
        <f t="shared" si="24"/>
        <v>9</v>
      </c>
      <c r="K1537" s="107">
        <v>4001</v>
      </c>
      <c r="L1537" s="107">
        <v>1800</v>
      </c>
      <c r="M1537" s="107">
        <v>47</v>
      </c>
      <c r="N1537" s="107"/>
    </row>
    <row r="1538" spans="1:14" x14ac:dyDescent="0.15">
      <c r="A1538" s="107">
        <v>1667</v>
      </c>
      <c r="B1538" s="107" t="s">
        <v>197</v>
      </c>
      <c r="C1538" s="107" t="s">
        <v>274</v>
      </c>
      <c r="D1538" s="107">
        <v>22</v>
      </c>
      <c r="E1538" s="107" t="s">
        <v>291</v>
      </c>
      <c r="F1538" s="107" t="s">
        <v>596</v>
      </c>
      <c r="G1538" s="107">
        <v>869</v>
      </c>
      <c r="H1538" s="107">
        <v>0</v>
      </c>
      <c r="I1538" s="107">
        <v>0</v>
      </c>
      <c r="J1538" s="107">
        <f t="shared" si="24"/>
        <v>39.5</v>
      </c>
      <c r="K1538" s="107">
        <v>4002</v>
      </c>
      <c r="L1538" s="107">
        <v>1802</v>
      </c>
      <c r="M1538" s="107">
        <v>761</v>
      </c>
      <c r="N1538" s="107"/>
    </row>
    <row r="1539" spans="1:14" x14ac:dyDescent="0.15">
      <c r="A1539" s="107">
        <v>1668</v>
      </c>
      <c r="B1539" s="107" t="s">
        <v>197</v>
      </c>
      <c r="C1539" s="107" t="s">
        <v>274</v>
      </c>
      <c r="D1539" s="107">
        <v>80.5</v>
      </c>
      <c r="E1539" s="107" t="s">
        <v>293</v>
      </c>
      <c r="F1539" s="107" t="s">
        <v>596</v>
      </c>
      <c r="G1539" s="107">
        <v>96</v>
      </c>
      <c r="H1539" s="107">
        <v>12</v>
      </c>
      <c r="I1539" s="107">
        <v>0</v>
      </c>
      <c r="J1539" s="107">
        <f t="shared" si="24"/>
        <v>1.2</v>
      </c>
      <c r="K1539" s="107">
        <v>4003</v>
      </c>
      <c r="L1539" s="107">
        <v>1802</v>
      </c>
      <c r="M1539" s="107">
        <v>42</v>
      </c>
      <c r="N1539" s="107"/>
    </row>
    <row r="1540" spans="1:14" x14ac:dyDescent="0.15">
      <c r="A1540" s="107">
        <v>1669</v>
      </c>
      <c r="B1540" s="107" t="s">
        <v>196</v>
      </c>
      <c r="C1540" s="107" t="s">
        <v>274</v>
      </c>
      <c r="D1540" s="107">
        <v>35.25</v>
      </c>
      <c r="E1540" s="107" t="s">
        <v>293</v>
      </c>
      <c r="F1540" s="107" t="s">
        <v>596</v>
      </c>
      <c r="G1540" s="107">
        <v>52</v>
      </c>
      <c r="H1540" s="107">
        <v>17</v>
      </c>
      <c r="I1540" s="107">
        <v>8</v>
      </c>
      <c r="J1540" s="107">
        <f t="shared" si="24"/>
        <v>1.5</v>
      </c>
      <c r="K1540" s="107">
        <v>4004</v>
      </c>
      <c r="L1540" s="107">
        <v>1805</v>
      </c>
      <c r="M1540" s="107">
        <v>570</v>
      </c>
      <c r="N1540" s="107"/>
    </row>
    <row r="1541" spans="1:14" x14ac:dyDescent="0.15">
      <c r="A1541" s="107">
        <v>1670</v>
      </c>
      <c r="B1541" s="107" t="s">
        <v>197</v>
      </c>
      <c r="C1541" s="107" t="s">
        <v>274</v>
      </c>
      <c r="D1541" s="107">
        <v>1</v>
      </c>
      <c r="E1541" s="107" t="s">
        <v>296</v>
      </c>
      <c r="F1541" s="107" t="s">
        <v>596</v>
      </c>
      <c r="G1541" s="107">
        <v>90</v>
      </c>
      <c r="H1541" s="107">
        <v>0</v>
      </c>
      <c r="I1541" s="107">
        <v>0</v>
      </c>
      <c r="J1541" s="107">
        <f t="shared" si="24"/>
        <v>90</v>
      </c>
      <c r="K1541" s="107">
        <v>4006</v>
      </c>
      <c r="L1541" s="107">
        <v>1808</v>
      </c>
      <c r="M1541" s="107">
        <v>635</v>
      </c>
      <c r="N1541" s="107"/>
    </row>
    <row r="1542" spans="1:14" x14ac:dyDescent="0.15">
      <c r="A1542" s="107">
        <v>1671</v>
      </c>
      <c r="B1542" s="107" t="s">
        <v>197</v>
      </c>
      <c r="C1542" s="107" t="s">
        <v>274</v>
      </c>
      <c r="D1542" s="107">
        <v>0.75</v>
      </c>
      <c r="E1542" s="107" t="s">
        <v>293</v>
      </c>
      <c r="F1542" s="107" t="s">
        <v>596</v>
      </c>
      <c r="G1542" s="107">
        <v>0</v>
      </c>
      <c r="H1542" s="107">
        <v>12</v>
      </c>
      <c r="I1542" s="107">
        <v>0</v>
      </c>
      <c r="J1542" s="107">
        <f t="shared" si="24"/>
        <v>0.79999999999999993</v>
      </c>
      <c r="K1542" s="107">
        <v>4008</v>
      </c>
      <c r="L1542" s="107">
        <v>1810</v>
      </c>
      <c r="M1542" s="107">
        <v>410</v>
      </c>
      <c r="N1542" s="107"/>
    </row>
    <row r="1543" spans="1:14" x14ac:dyDescent="0.15">
      <c r="A1543" s="107">
        <v>1672</v>
      </c>
      <c r="B1543" s="107" t="s">
        <v>197</v>
      </c>
      <c r="C1543" s="107" t="s">
        <v>274</v>
      </c>
      <c r="D1543" s="107">
        <v>11</v>
      </c>
      <c r="E1543" s="107" t="s">
        <v>293</v>
      </c>
      <c r="F1543" s="107" t="s">
        <v>596</v>
      </c>
      <c r="G1543" s="107">
        <v>13</v>
      </c>
      <c r="H1543" s="107">
        <v>15</v>
      </c>
      <c r="I1543" s="107">
        <v>0</v>
      </c>
      <c r="J1543" s="107">
        <f t="shared" si="24"/>
        <v>1.25</v>
      </c>
      <c r="K1543" s="107">
        <v>4008</v>
      </c>
      <c r="L1543" s="107">
        <v>1810</v>
      </c>
      <c r="M1543" s="107">
        <v>525</v>
      </c>
      <c r="N1543" s="107"/>
    </row>
    <row r="1544" spans="1:14" x14ac:dyDescent="0.15">
      <c r="A1544" s="107">
        <v>1673</v>
      </c>
      <c r="B1544" s="107" t="s">
        <v>197</v>
      </c>
      <c r="C1544" s="107" t="s">
        <v>274</v>
      </c>
      <c r="D1544" s="107">
        <v>12</v>
      </c>
      <c r="E1544" s="107" t="s">
        <v>293</v>
      </c>
      <c r="F1544" s="107" t="s">
        <v>596</v>
      </c>
      <c r="G1544" s="107">
        <v>7</v>
      </c>
      <c r="H1544" s="107">
        <v>10</v>
      </c>
      <c r="I1544" s="107">
        <v>0</v>
      </c>
      <c r="J1544" s="107">
        <f t="shared" si="24"/>
        <v>0.625</v>
      </c>
      <c r="K1544" s="107">
        <v>4010</v>
      </c>
      <c r="L1544" s="107">
        <v>1812</v>
      </c>
      <c r="M1544" s="107">
        <v>548</v>
      </c>
      <c r="N1544" s="107"/>
    </row>
    <row r="1545" spans="1:14" x14ac:dyDescent="0.15">
      <c r="A1545" s="107">
        <v>1674</v>
      </c>
      <c r="B1545" s="107" t="s">
        <v>197</v>
      </c>
      <c r="C1545" s="107" t="s">
        <v>274</v>
      </c>
      <c r="D1545" s="107">
        <v>3</v>
      </c>
      <c r="E1545" s="107" t="s">
        <v>293</v>
      </c>
      <c r="F1545" s="107" t="s">
        <v>596</v>
      </c>
      <c r="G1545" s="107">
        <v>2</v>
      </c>
      <c r="H1545" s="107">
        <v>8</v>
      </c>
      <c r="I1545" s="107">
        <v>0</v>
      </c>
      <c r="J1545" s="107">
        <f t="shared" si="24"/>
        <v>0.79999999999999993</v>
      </c>
      <c r="K1545" s="107">
        <v>4011</v>
      </c>
      <c r="L1545" s="107">
        <v>1814</v>
      </c>
      <c r="M1545" s="107">
        <v>594</v>
      </c>
      <c r="N1545" s="107" t="s">
        <v>294</v>
      </c>
    </row>
    <row r="1546" spans="1:14" x14ac:dyDescent="0.15">
      <c r="A1546" s="107">
        <v>1676</v>
      </c>
      <c r="B1546" s="107" t="s">
        <v>197</v>
      </c>
      <c r="C1546" s="107" t="s">
        <v>274</v>
      </c>
      <c r="D1546" s="107">
        <v>18</v>
      </c>
      <c r="E1546" s="107" t="s">
        <v>293</v>
      </c>
      <c r="F1546" s="107" t="s">
        <v>596</v>
      </c>
      <c r="G1546" s="107">
        <v>14</v>
      </c>
      <c r="H1546" s="107">
        <v>0</v>
      </c>
      <c r="I1546" s="107">
        <v>0</v>
      </c>
      <c r="J1546" s="107">
        <f t="shared" si="24"/>
        <v>0.77777777777777779</v>
      </c>
      <c r="K1546" s="107">
        <v>4012</v>
      </c>
      <c r="L1546" s="107">
        <v>1814</v>
      </c>
      <c r="M1546" s="107">
        <v>427</v>
      </c>
      <c r="N1546" s="107"/>
    </row>
    <row r="1547" spans="1:14" x14ac:dyDescent="0.15">
      <c r="A1547" s="107">
        <v>1677</v>
      </c>
      <c r="B1547" s="107" t="s">
        <v>197</v>
      </c>
      <c r="C1547" s="107" t="s">
        <v>274</v>
      </c>
      <c r="D1547" s="107">
        <v>128</v>
      </c>
      <c r="E1547" s="107" t="s">
        <v>293</v>
      </c>
      <c r="F1547" s="107" t="s">
        <v>596</v>
      </c>
      <c r="G1547" s="107">
        <v>102</v>
      </c>
      <c r="H1547" s="107">
        <v>8</v>
      </c>
      <c r="I1547" s="107">
        <v>0</v>
      </c>
      <c r="J1547" s="107">
        <f t="shared" si="24"/>
        <v>0.8</v>
      </c>
      <c r="K1547" s="107">
        <v>4013</v>
      </c>
      <c r="L1547" s="107">
        <v>1816</v>
      </c>
      <c r="M1547" s="107">
        <v>742</v>
      </c>
      <c r="N1547" s="107"/>
    </row>
    <row r="1548" spans="1:14" x14ac:dyDescent="0.15">
      <c r="A1548" s="107">
        <v>1678</v>
      </c>
      <c r="B1548" s="107" t="s">
        <v>197</v>
      </c>
      <c r="C1548" s="107" t="s">
        <v>295</v>
      </c>
      <c r="D1548" s="107">
        <v>0.25</v>
      </c>
      <c r="E1548" s="107" t="s">
        <v>296</v>
      </c>
      <c r="F1548" s="107" t="s">
        <v>596</v>
      </c>
      <c r="G1548" s="107">
        <v>22</v>
      </c>
      <c r="H1548" s="107">
        <v>10</v>
      </c>
      <c r="I1548" s="107">
        <v>0</v>
      </c>
      <c r="J1548" s="107">
        <f t="shared" si="24"/>
        <v>90</v>
      </c>
      <c r="K1548" s="107">
        <v>4014</v>
      </c>
      <c r="L1548" s="107">
        <v>4903</v>
      </c>
      <c r="M1548" s="107">
        <v>666</v>
      </c>
      <c r="N1548" s="107"/>
    </row>
    <row r="1549" spans="1:14" x14ac:dyDescent="0.15">
      <c r="A1549" s="107">
        <v>1681</v>
      </c>
      <c r="B1549" s="107" t="s">
        <v>197</v>
      </c>
      <c r="C1549" s="107" t="s">
        <v>271</v>
      </c>
      <c r="D1549" s="107">
        <v>5.5</v>
      </c>
      <c r="E1549" s="107" t="s">
        <v>293</v>
      </c>
      <c r="F1549" s="107" t="s">
        <v>596</v>
      </c>
      <c r="G1549" s="107">
        <v>3</v>
      </c>
      <c r="H1549" s="107">
        <v>17</v>
      </c>
      <c r="I1549" s="107">
        <v>0</v>
      </c>
      <c r="J1549" s="107">
        <f t="shared" si="24"/>
        <v>0.70000000000000007</v>
      </c>
      <c r="K1549" s="107">
        <v>4017</v>
      </c>
      <c r="L1549" s="107">
        <v>1819</v>
      </c>
      <c r="M1549" s="107">
        <v>425</v>
      </c>
      <c r="N1549" s="107"/>
    </row>
    <row r="1550" spans="1:14" x14ac:dyDescent="0.15">
      <c r="A1550" s="107">
        <v>1683</v>
      </c>
      <c r="B1550" s="107" t="s">
        <v>197</v>
      </c>
      <c r="C1550" s="107" t="s">
        <v>271</v>
      </c>
      <c r="D1550" s="107">
        <v>1</v>
      </c>
      <c r="E1550" s="107" t="s">
        <v>293</v>
      </c>
      <c r="F1550" s="107" t="s">
        <v>596</v>
      </c>
      <c r="G1550" s="107">
        <v>0</v>
      </c>
      <c r="H1550" s="107">
        <v>14</v>
      </c>
      <c r="I1550" s="107">
        <v>0</v>
      </c>
      <c r="J1550" s="107">
        <f t="shared" si="24"/>
        <v>0.7</v>
      </c>
      <c r="K1550" s="107">
        <v>4019</v>
      </c>
      <c r="L1550" s="107">
        <v>1822</v>
      </c>
      <c r="M1550" s="107">
        <v>600</v>
      </c>
      <c r="N1550" s="107"/>
    </row>
    <row r="1551" spans="1:14" x14ac:dyDescent="0.15">
      <c r="A1551" s="107">
        <v>1684</v>
      </c>
      <c r="B1551" s="107" t="s">
        <v>197</v>
      </c>
      <c r="C1551" s="107" t="s">
        <v>271</v>
      </c>
      <c r="D1551" s="107">
        <v>4</v>
      </c>
      <c r="E1551" s="107" t="s">
        <v>293</v>
      </c>
      <c r="F1551" s="107" t="s">
        <v>596</v>
      </c>
      <c r="G1551" s="107">
        <v>2</v>
      </c>
      <c r="H1551" s="107">
        <v>16</v>
      </c>
      <c r="I1551" s="107">
        <v>0</v>
      </c>
      <c r="J1551" s="107">
        <f t="shared" si="24"/>
        <v>0.7</v>
      </c>
      <c r="K1551" s="107">
        <v>4021</v>
      </c>
      <c r="L1551" s="107">
        <v>1825</v>
      </c>
      <c r="M1551" s="107">
        <v>666</v>
      </c>
      <c r="N1551" s="107"/>
    </row>
    <row r="1552" spans="1:14" x14ac:dyDescent="0.15">
      <c r="A1552" s="107">
        <v>1685</v>
      </c>
      <c r="B1552" s="107" t="s">
        <v>197</v>
      </c>
      <c r="C1552" s="107" t="s">
        <v>271</v>
      </c>
      <c r="D1552" s="107">
        <v>64</v>
      </c>
      <c r="E1552" s="107" t="s">
        <v>293</v>
      </c>
      <c r="F1552" s="107" t="s">
        <v>596</v>
      </c>
      <c r="G1552" s="107">
        <v>80</v>
      </c>
      <c r="H1552" s="107">
        <v>0</v>
      </c>
      <c r="I1552" s="107">
        <v>0</v>
      </c>
      <c r="J1552" s="107">
        <f t="shared" si="24"/>
        <v>1.25</v>
      </c>
      <c r="K1552" s="107">
        <v>4022</v>
      </c>
      <c r="L1552" s="107">
        <v>1827</v>
      </c>
      <c r="M1552" s="107">
        <v>609</v>
      </c>
      <c r="N1552" s="107"/>
    </row>
    <row r="1553" spans="1:14" x14ac:dyDescent="0.15">
      <c r="A1553" s="107">
        <v>1686</v>
      </c>
      <c r="B1553" s="107" t="s">
        <v>197</v>
      </c>
      <c r="C1553" s="107" t="s">
        <v>271</v>
      </c>
      <c r="D1553" s="107">
        <v>64</v>
      </c>
      <c r="E1553" s="107" t="s">
        <v>293</v>
      </c>
      <c r="F1553" s="107" t="s">
        <v>596</v>
      </c>
      <c r="G1553" s="107">
        <v>44</v>
      </c>
      <c r="H1553" s="107">
        <v>16</v>
      </c>
      <c r="I1553" s="107">
        <v>0</v>
      </c>
      <c r="J1553" s="107">
        <f t="shared" si="24"/>
        <v>0.7</v>
      </c>
      <c r="K1553" s="107">
        <v>4023</v>
      </c>
      <c r="L1553" s="107">
        <v>1829</v>
      </c>
      <c r="M1553" s="107">
        <v>706</v>
      </c>
      <c r="N1553" s="107"/>
    </row>
    <row r="1554" spans="1:14" x14ac:dyDescent="0.15">
      <c r="A1554" s="107">
        <v>1686</v>
      </c>
      <c r="B1554" s="107" t="s">
        <v>247</v>
      </c>
      <c r="C1554" s="107" t="s">
        <v>295</v>
      </c>
      <c r="D1554" s="107">
        <v>1.5</v>
      </c>
      <c r="E1554" s="107" t="s">
        <v>293</v>
      </c>
      <c r="F1554" s="107" t="s">
        <v>596</v>
      </c>
      <c r="G1554" s="107">
        <v>19</v>
      </c>
      <c r="H1554" s="107">
        <v>10</v>
      </c>
      <c r="I1554" s="107">
        <v>0</v>
      </c>
      <c r="J1554" s="107">
        <f t="shared" si="24"/>
        <v>13</v>
      </c>
      <c r="K1554" s="107">
        <v>4023</v>
      </c>
      <c r="L1554" s="107">
        <v>1829</v>
      </c>
      <c r="M1554" s="107">
        <v>830</v>
      </c>
      <c r="N1554" s="107"/>
    </row>
    <row r="1555" spans="1:14" x14ac:dyDescent="0.15">
      <c r="A1555" s="107">
        <v>1688</v>
      </c>
      <c r="B1555" s="107" t="s">
        <v>260</v>
      </c>
      <c r="C1555" s="107" t="s">
        <v>271</v>
      </c>
      <c r="D1555" s="107">
        <v>64</v>
      </c>
      <c r="E1555" s="107" t="s">
        <v>293</v>
      </c>
      <c r="F1555" s="107" t="s">
        <v>596</v>
      </c>
      <c r="G1555" s="107">
        <v>40</v>
      </c>
      <c r="H1555" s="107">
        <v>0</v>
      </c>
      <c r="I1555" s="107">
        <v>0</v>
      </c>
      <c r="J1555" s="107">
        <f t="shared" si="24"/>
        <v>0.625</v>
      </c>
      <c r="K1555" s="107">
        <v>4025</v>
      </c>
      <c r="L1555" s="107">
        <v>1831</v>
      </c>
      <c r="M1555" s="107">
        <v>579</v>
      </c>
      <c r="N1555" s="107"/>
    </row>
    <row r="1556" spans="1:14" x14ac:dyDescent="0.15">
      <c r="A1556" s="107">
        <v>1689</v>
      </c>
      <c r="B1556" s="107" t="s">
        <v>197</v>
      </c>
      <c r="C1556" s="107" t="s">
        <v>271</v>
      </c>
      <c r="D1556" s="107">
        <v>10</v>
      </c>
      <c r="E1556" s="107" t="s">
        <v>293</v>
      </c>
      <c r="F1556" s="107" t="s">
        <v>596</v>
      </c>
      <c r="G1556" s="107">
        <v>7</v>
      </c>
      <c r="H1556" s="107">
        <v>0</v>
      </c>
      <c r="I1556" s="107">
        <v>0</v>
      </c>
      <c r="J1556" s="107">
        <f t="shared" si="24"/>
        <v>0.7</v>
      </c>
      <c r="K1556" s="107">
        <v>4027</v>
      </c>
      <c r="L1556" s="107">
        <v>1832</v>
      </c>
      <c r="M1556" s="107">
        <v>482</v>
      </c>
      <c r="N1556" s="107"/>
    </row>
    <row r="1557" spans="1:14" x14ac:dyDescent="0.15">
      <c r="A1557" s="107">
        <v>1691</v>
      </c>
      <c r="B1557" s="107" t="s">
        <v>244</v>
      </c>
      <c r="C1557" s="107" t="s">
        <v>271</v>
      </c>
      <c r="D1557" s="107">
        <v>32</v>
      </c>
      <c r="E1557" s="107" t="s">
        <v>293</v>
      </c>
      <c r="F1557" s="107" t="s">
        <v>596</v>
      </c>
      <c r="G1557" s="107">
        <v>32</v>
      </c>
      <c r="H1557" s="107">
        <v>16</v>
      </c>
      <c r="I1557" s="107">
        <v>0</v>
      </c>
      <c r="J1557" s="107">
        <f t="shared" si="24"/>
        <v>1.0249999999999999</v>
      </c>
      <c r="K1557" s="107">
        <v>4028</v>
      </c>
      <c r="L1557" s="107">
        <v>1834</v>
      </c>
      <c r="M1557" s="107">
        <v>379</v>
      </c>
      <c r="N1557" s="107"/>
    </row>
    <row r="1558" spans="1:14" x14ac:dyDescent="0.15">
      <c r="A1558" s="107">
        <v>1693</v>
      </c>
      <c r="B1558" s="107" t="s">
        <v>197</v>
      </c>
      <c r="C1558" s="107" t="s">
        <v>271</v>
      </c>
      <c r="D1558" s="107">
        <v>192</v>
      </c>
      <c r="E1558" s="107" t="s">
        <v>293</v>
      </c>
      <c r="F1558" s="107" t="s">
        <v>596</v>
      </c>
      <c r="G1558" s="107">
        <v>192</v>
      </c>
      <c r="H1558" s="107">
        <v>0</v>
      </c>
      <c r="I1558" s="107">
        <v>0</v>
      </c>
      <c r="J1558" s="107">
        <f t="shared" si="24"/>
        <v>1</v>
      </c>
      <c r="K1558" s="107">
        <v>4030</v>
      </c>
      <c r="L1558" s="107">
        <v>1836</v>
      </c>
      <c r="M1558" s="107">
        <v>256</v>
      </c>
      <c r="N1558" s="107"/>
    </row>
    <row r="1559" spans="1:14" x14ac:dyDescent="0.15">
      <c r="A1559" s="107">
        <v>1695</v>
      </c>
      <c r="B1559" s="107" t="s">
        <v>197</v>
      </c>
      <c r="C1559" s="107" t="s">
        <v>271</v>
      </c>
      <c r="D1559" s="107">
        <v>128</v>
      </c>
      <c r="E1559" s="107" t="s">
        <v>293</v>
      </c>
      <c r="F1559" s="107" t="s">
        <v>596</v>
      </c>
      <c r="G1559" s="107">
        <v>128</v>
      </c>
      <c r="H1559" s="107">
        <v>0</v>
      </c>
      <c r="I1559" s="107">
        <v>0</v>
      </c>
      <c r="J1559" s="107">
        <f t="shared" si="24"/>
        <v>1</v>
      </c>
      <c r="K1559" s="107">
        <v>4035</v>
      </c>
      <c r="L1559" s="107">
        <v>1841</v>
      </c>
      <c r="M1559" s="107">
        <v>65</v>
      </c>
      <c r="N1559" s="107"/>
    </row>
    <row r="1560" spans="1:14" x14ac:dyDescent="0.15">
      <c r="A1560" s="107">
        <v>1696</v>
      </c>
      <c r="B1560" s="107" t="s">
        <v>244</v>
      </c>
      <c r="C1560" s="107" t="s">
        <v>271</v>
      </c>
      <c r="D1560" s="107">
        <v>64</v>
      </c>
      <c r="E1560" s="107" t="s">
        <v>293</v>
      </c>
      <c r="F1560" s="107" t="s">
        <v>596</v>
      </c>
      <c r="G1560" s="107">
        <v>96</v>
      </c>
      <c r="H1560" s="107">
        <v>0</v>
      </c>
      <c r="I1560" s="107">
        <v>0</v>
      </c>
      <c r="J1560" s="107">
        <f t="shared" si="24"/>
        <v>1.5</v>
      </c>
      <c r="K1560" s="107">
        <v>4037</v>
      </c>
      <c r="L1560" s="107">
        <v>1844</v>
      </c>
      <c r="M1560" s="107">
        <v>1382</v>
      </c>
      <c r="N1560" s="107"/>
    </row>
    <row r="1561" spans="1:14" x14ac:dyDescent="0.15">
      <c r="A1561" s="107">
        <v>1697</v>
      </c>
      <c r="B1561" s="107" t="s">
        <v>197</v>
      </c>
      <c r="C1561" s="107" t="s">
        <v>271</v>
      </c>
      <c r="D1561" s="107">
        <v>21.5</v>
      </c>
      <c r="E1561" s="107" t="s">
        <v>293</v>
      </c>
      <c r="F1561" s="107" t="s">
        <v>596</v>
      </c>
      <c r="G1561" s="107">
        <v>25</v>
      </c>
      <c r="H1561" s="107">
        <v>16</v>
      </c>
      <c r="I1561" s="107">
        <v>0</v>
      </c>
      <c r="J1561" s="107">
        <f t="shared" si="24"/>
        <v>1.2</v>
      </c>
      <c r="K1561" s="107">
        <v>4038</v>
      </c>
      <c r="L1561" s="107">
        <v>1846</v>
      </c>
      <c r="M1561" s="107">
        <v>713</v>
      </c>
      <c r="N1561" s="107" t="s">
        <v>294</v>
      </c>
    </row>
    <row r="1562" spans="1:14" x14ac:dyDescent="0.15">
      <c r="A1562" s="107">
        <v>1698</v>
      </c>
      <c r="B1562" s="107" t="s">
        <v>200</v>
      </c>
      <c r="C1562" s="107" t="s">
        <v>271</v>
      </c>
      <c r="D1562" s="107">
        <v>9</v>
      </c>
      <c r="E1562" s="107" t="s">
        <v>293</v>
      </c>
      <c r="F1562" s="107" t="s">
        <v>596</v>
      </c>
      <c r="G1562" s="107">
        <v>9</v>
      </c>
      <c r="H1562" s="107">
        <v>0</v>
      </c>
      <c r="I1562" s="107">
        <v>0</v>
      </c>
      <c r="J1562" s="107">
        <f t="shared" si="24"/>
        <v>1</v>
      </c>
      <c r="K1562" s="107">
        <v>4043</v>
      </c>
      <c r="L1562" s="107">
        <v>1851</v>
      </c>
      <c r="M1562" s="107">
        <v>827</v>
      </c>
      <c r="N1562" s="107"/>
    </row>
    <row r="1563" spans="1:14" x14ac:dyDescent="0.15">
      <c r="A1563" s="107">
        <v>1699</v>
      </c>
      <c r="B1563" s="107" t="s">
        <v>197</v>
      </c>
      <c r="C1563" s="107" t="s">
        <v>271</v>
      </c>
      <c r="D1563" s="107">
        <v>29</v>
      </c>
      <c r="E1563" s="107" t="s">
        <v>293</v>
      </c>
      <c r="F1563" s="107" t="s">
        <v>596</v>
      </c>
      <c r="G1563" s="107">
        <v>29</v>
      </c>
      <c r="H1563" s="107">
        <v>0</v>
      </c>
      <c r="I1563" s="107">
        <v>0</v>
      </c>
      <c r="J1563" s="107">
        <f t="shared" si="24"/>
        <v>1</v>
      </c>
      <c r="K1563" s="107">
        <v>4043</v>
      </c>
      <c r="L1563" s="107">
        <v>1851</v>
      </c>
      <c r="M1563" s="107">
        <v>851</v>
      </c>
      <c r="N1563" s="107"/>
    </row>
    <row r="1564" spans="1:14" x14ac:dyDescent="0.15">
      <c r="A1564" s="107">
        <v>1702</v>
      </c>
      <c r="B1564" s="107" t="s">
        <v>226</v>
      </c>
      <c r="C1564" s="107" t="s">
        <v>271</v>
      </c>
      <c r="D1564" s="107">
        <v>30</v>
      </c>
      <c r="E1564" s="107" t="s">
        <v>293</v>
      </c>
      <c r="F1564" s="107" t="s">
        <v>596</v>
      </c>
      <c r="G1564" s="107">
        <v>41</v>
      </c>
      <c r="H1564" s="107">
        <v>5</v>
      </c>
      <c r="I1564" s="107">
        <v>0</v>
      </c>
      <c r="J1564" s="107">
        <f t="shared" si="24"/>
        <v>1.375</v>
      </c>
      <c r="K1564" s="107">
        <v>4049</v>
      </c>
      <c r="L1564" s="107">
        <v>1856</v>
      </c>
      <c r="M1564" s="107">
        <v>512</v>
      </c>
      <c r="N1564" s="107"/>
    </row>
    <row r="1565" spans="1:14" x14ac:dyDescent="0.15">
      <c r="A1565" s="107">
        <v>1703</v>
      </c>
      <c r="B1565" s="107" t="s">
        <v>200</v>
      </c>
      <c r="C1565" s="107" t="s">
        <v>271</v>
      </c>
      <c r="D1565" s="107">
        <v>49</v>
      </c>
      <c r="E1565" s="107" t="s">
        <v>212</v>
      </c>
      <c r="F1565" s="107" t="s">
        <v>596</v>
      </c>
      <c r="G1565" s="107">
        <v>20</v>
      </c>
      <c r="H1565" s="107">
        <v>15</v>
      </c>
      <c r="I1565" s="107">
        <v>0</v>
      </c>
      <c r="J1565" s="107">
        <f t="shared" si="24"/>
        <v>0.42346938775510207</v>
      </c>
      <c r="K1565" s="107">
        <v>4050</v>
      </c>
      <c r="L1565" s="107">
        <v>1858</v>
      </c>
      <c r="M1565" s="107">
        <v>536</v>
      </c>
      <c r="N1565" s="107"/>
    </row>
    <row r="1566" spans="1:14" x14ac:dyDescent="0.15">
      <c r="A1566" s="107">
        <v>1682</v>
      </c>
      <c r="B1566" s="107" t="s">
        <v>197</v>
      </c>
      <c r="C1566" s="107" t="s">
        <v>271</v>
      </c>
      <c r="D1566" s="107">
        <v>4.5</v>
      </c>
      <c r="E1566" s="107" t="s">
        <v>293</v>
      </c>
      <c r="F1566" s="107" t="s">
        <v>599</v>
      </c>
      <c r="G1566" s="107">
        <v>3</v>
      </c>
      <c r="H1566" s="107">
        <v>3</v>
      </c>
      <c r="I1566" s="107">
        <v>0</v>
      </c>
      <c r="J1566" s="107">
        <f t="shared" si="24"/>
        <v>0.7</v>
      </c>
      <c r="K1566" s="107">
        <v>4018</v>
      </c>
      <c r="L1566" s="107">
        <v>1820</v>
      </c>
      <c r="M1566" s="107">
        <v>756</v>
      </c>
      <c r="N1566" s="107" t="s">
        <v>294</v>
      </c>
    </row>
    <row r="1567" spans="1:14" x14ac:dyDescent="0.15">
      <c r="A1567" s="107">
        <v>1700</v>
      </c>
      <c r="B1567" s="107" t="s">
        <v>200</v>
      </c>
      <c r="C1567" s="107" t="s">
        <v>271</v>
      </c>
      <c r="D1567" s="107">
        <v>30.5</v>
      </c>
      <c r="E1567" s="107" t="s">
        <v>293</v>
      </c>
      <c r="F1567" s="107" t="s">
        <v>599</v>
      </c>
      <c r="G1567" s="107">
        <v>32</v>
      </c>
      <c r="H1567" s="107">
        <v>0</v>
      </c>
      <c r="I1567" s="107">
        <v>8</v>
      </c>
      <c r="J1567" s="107">
        <f t="shared" si="24"/>
        <v>1.05</v>
      </c>
      <c r="K1567" s="107">
        <v>4047</v>
      </c>
      <c r="L1567" s="107">
        <v>1855</v>
      </c>
      <c r="M1567" s="107">
        <v>524</v>
      </c>
      <c r="N1567" s="107" t="s">
        <v>272</v>
      </c>
    </row>
    <row r="1568" spans="1:14" x14ac:dyDescent="0.15">
      <c r="A1568" s="107">
        <v>1701</v>
      </c>
      <c r="B1568" s="107" t="s">
        <v>197</v>
      </c>
      <c r="C1568" s="107" t="s">
        <v>271</v>
      </c>
      <c r="D1568" s="107">
        <v>6</v>
      </c>
      <c r="E1568" s="107" t="s">
        <v>293</v>
      </c>
      <c r="F1568" s="107" t="s">
        <v>599</v>
      </c>
      <c r="G1568" s="107">
        <v>6</v>
      </c>
      <c r="H1568" s="107">
        <v>6</v>
      </c>
      <c r="I1568" s="107">
        <v>0</v>
      </c>
      <c r="J1568" s="107">
        <f t="shared" si="24"/>
        <v>1.05</v>
      </c>
      <c r="K1568" s="107">
        <v>4047</v>
      </c>
      <c r="L1568" s="107">
        <v>1855</v>
      </c>
      <c r="M1568" s="107">
        <v>554</v>
      </c>
      <c r="N1568" s="107" t="s">
        <v>294</v>
      </c>
    </row>
    <row r="1569" spans="1:14" x14ac:dyDescent="0.15">
      <c r="A1569" s="107">
        <v>1656</v>
      </c>
      <c r="B1569" s="107" t="s">
        <v>283</v>
      </c>
      <c r="C1569" s="107" t="s">
        <v>274</v>
      </c>
      <c r="D1569" s="107">
        <v>12</v>
      </c>
      <c r="E1569" s="107" t="s">
        <v>204</v>
      </c>
      <c r="F1569" s="107" t="s">
        <v>600</v>
      </c>
      <c r="G1569" s="107">
        <v>153</v>
      </c>
      <c r="H1569" s="107">
        <v>0</v>
      </c>
      <c r="I1569" s="107">
        <v>0</v>
      </c>
      <c r="J1569" s="107">
        <f t="shared" si="24"/>
        <v>12.75</v>
      </c>
      <c r="K1569" s="107">
        <v>3991</v>
      </c>
      <c r="L1569" s="107">
        <v>1788</v>
      </c>
      <c r="M1569" s="107">
        <v>149</v>
      </c>
      <c r="N1569" s="107" t="s">
        <v>284</v>
      </c>
    </row>
    <row r="1570" spans="1:14" x14ac:dyDescent="0.15">
      <c r="A1570" s="107">
        <v>1686</v>
      </c>
      <c r="B1570" s="107" t="s">
        <v>247</v>
      </c>
      <c r="C1570" s="107" t="s">
        <v>295</v>
      </c>
      <c r="D1570" s="107">
        <v>72</v>
      </c>
      <c r="E1570" s="107" t="s">
        <v>291</v>
      </c>
      <c r="F1570" s="107" t="s">
        <v>601</v>
      </c>
      <c r="G1570" s="107">
        <v>10</v>
      </c>
      <c r="H1570" s="107">
        <v>16</v>
      </c>
      <c r="I1570" s="107">
        <v>0</v>
      </c>
      <c r="J1570" s="107">
        <f t="shared" si="24"/>
        <v>0.15000000000000002</v>
      </c>
      <c r="K1570" s="107">
        <v>4023</v>
      </c>
      <c r="L1570" s="107">
        <v>1829</v>
      </c>
      <c r="M1570" s="107">
        <v>830</v>
      </c>
      <c r="N1570" s="107"/>
    </row>
    <row r="1571" spans="1:14" x14ac:dyDescent="0.15">
      <c r="A1571" s="107">
        <v>1655</v>
      </c>
      <c r="B1571" s="107" t="s">
        <v>236</v>
      </c>
      <c r="C1571" s="107" t="s">
        <v>274</v>
      </c>
      <c r="D1571" s="107">
        <v>2</v>
      </c>
      <c r="E1571" s="107" t="s">
        <v>323</v>
      </c>
      <c r="F1571" s="107" t="s">
        <v>602</v>
      </c>
      <c r="G1571" s="107">
        <v>36</v>
      </c>
      <c r="H1571" s="107">
        <v>0</v>
      </c>
      <c r="I1571" s="107">
        <v>0</v>
      </c>
      <c r="J1571" s="107">
        <f t="shared" si="24"/>
        <v>18</v>
      </c>
      <c r="K1571" s="107">
        <v>3990</v>
      </c>
      <c r="L1571" s="107">
        <v>1788</v>
      </c>
      <c r="M1571" s="107">
        <v>203</v>
      </c>
      <c r="N1571" s="107" t="s">
        <v>521</v>
      </c>
    </row>
    <row r="1572" spans="1:14" x14ac:dyDescent="0.15">
      <c r="A1572" s="107">
        <v>1656</v>
      </c>
      <c r="B1572" s="107" t="s">
        <v>283</v>
      </c>
      <c r="C1572" s="107" t="s">
        <v>274</v>
      </c>
      <c r="D1572" s="107">
        <v>2</v>
      </c>
      <c r="E1572" s="107" t="s">
        <v>323</v>
      </c>
      <c r="F1572" s="107" t="s">
        <v>602</v>
      </c>
      <c r="G1572" s="107">
        <v>36</v>
      </c>
      <c r="H1572" s="107">
        <v>0</v>
      </c>
      <c r="I1572" s="107">
        <v>0</v>
      </c>
      <c r="J1572" s="107">
        <f t="shared" si="24"/>
        <v>18</v>
      </c>
      <c r="K1572" s="107">
        <v>3991</v>
      </c>
      <c r="L1572" s="107">
        <v>1788</v>
      </c>
      <c r="M1572" s="107">
        <v>149</v>
      </c>
      <c r="N1572" s="107" t="s">
        <v>284</v>
      </c>
    </row>
    <row r="1573" spans="1:14" x14ac:dyDescent="0.15">
      <c r="A1573" s="107">
        <v>1656</v>
      </c>
      <c r="B1573" s="107" t="s">
        <v>261</v>
      </c>
      <c r="C1573" s="107" t="s">
        <v>274</v>
      </c>
      <c r="D1573" s="107">
        <v>1</v>
      </c>
      <c r="E1573" s="107" t="s">
        <v>375</v>
      </c>
      <c r="F1573" s="107" t="s">
        <v>603</v>
      </c>
      <c r="G1573" s="107">
        <v>12</v>
      </c>
      <c r="H1573" s="107">
        <v>15</v>
      </c>
      <c r="I1573" s="107"/>
      <c r="J1573" s="107">
        <f t="shared" si="24"/>
        <v>12.75</v>
      </c>
      <c r="K1573" s="107">
        <v>3991</v>
      </c>
      <c r="L1573" s="107">
        <v>1788</v>
      </c>
      <c r="M1573" s="107">
        <v>157</v>
      </c>
      <c r="N1573" s="107"/>
    </row>
    <row r="1574" spans="1:14" x14ac:dyDescent="0.15">
      <c r="A1574" s="107">
        <v>1657</v>
      </c>
      <c r="B1574" s="107" t="s">
        <v>197</v>
      </c>
      <c r="C1574" s="107" t="s">
        <v>274</v>
      </c>
      <c r="D1574" s="107">
        <v>2</v>
      </c>
      <c r="E1574" s="107" t="s">
        <v>375</v>
      </c>
      <c r="F1574" s="107" t="s">
        <v>603</v>
      </c>
      <c r="G1574" s="107">
        <v>25</v>
      </c>
      <c r="H1574" s="107">
        <v>4</v>
      </c>
      <c r="I1574" s="107">
        <v>0</v>
      </c>
      <c r="J1574" s="107">
        <f t="shared" si="24"/>
        <v>12.6</v>
      </c>
      <c r="K1574" s="107">
        <v>3992</v>
      </c>
      <c r="L1574" s="107">
        <v>1789</v>
      </c>
      <c r="M1574" s="107">
        <v>228</v>
      </c>
      <c r="N1574" s="107"/>
    </row>
    <row r="1575" spans="1:14" x14ac:dyDescent="0.15">
      <c r="A1575" s="107">
        <v>1658</v>
      </c>
      <c r="B1575" s="107" t="s">
        <v>197</v>
      </c>
      <c r="C1575" s="107" t="s">
        <v>274</v>
      </c>
      <c r="D1575" s="107">
        <v>1</v>
      </c>
      <c r="E1575" s="107" t="s">
        <v>375</v>
      </c>
      <c r="F1575" s="107" t="s">
        <v>603</v>
      </c>
      <c r="G1575" s="107">
        <v>13</v>
      </c>
      <c r="H1575" s="107">
        <v>4</v>
      </c>
      <c r="I1575" s="107">
        <v>0</v>
      </c>
      <c r="J1575" s="107">
        <f t="shared" si="24"/>
        <v>13.2</v>
      </c>
      <c r="K1575" s="107">
        <v>3993</v>
      </c>
      <c r="L1575" s="107">
        <v>1791</v>
      </c>
      <c r="M1575" s="107">
        <v>275</v>
      </c>
      <c r="N1575" s="107"/>
    </row>
    <row r="1576" spans="1:14" x14ac:dyDescent="0.15">
      <c r="A1576" s="107">
        <v>1661</v>
      </c>
      <c r="B1576" s="107" t="s">
        <v>197</v>
      </c>
      <c r="C1576" s="107" t="s">
        <v>274</v>
      </c>
      <c r="D1576" s="107">
        <v>100</v>
      </c>
      <c r="E1576" s="107" t="s">
        <v>193</v>
      </c>
      <c r="F1576" s="107" t="s">
        <v>603</v>
      </c>
      <c r="G1576" s="107">
        <v>18</v>
      </c>
      <c r="H1576" s="107">
        <v>0</v>
      </c>
      <c r="I1576" s="107">
        <v>0</v>
      </c>
      <c r="J1576" s="107">
        <f t="shared" si="24"/>
        <v>0.18</v>
      </c>
      <c r="K1576" s="107">
        <v>3996</v>
      </c>
      <c r="L1576" s="107">
        <v>1794</v>
      </c>
      <c r="M1576" s="107" t="s">
        <v>290</v>
      </c>
      <c r="N1576" s="107"/>
    </row>
    <row r="1577" spans="1:14" x14ac:dyDescent="0.15">
      <c r="A1577" s="107">
        <v>1668</v>
      </c>
      <c r="B1577" s="107" t="s">
        <v>197</v>
      </c>
      <c r="C1577" s="107" t="s">
        <v>274</v>
      </c>
      <c r="D1577" s="107">
        <v>4</v>
      </c>
      <c r="E1577" s="107" t="s">
        <v>375</v>
      </c>
      <c r="F1577" s="107" t="s">
        <v>603</v>
      </c>
      <c r="G1577" s="107">
        <v>72</v>
      </c>
      <c r="H1577" s="107">
        <v>0</v>
      </c>
      <c r="I1577" s="107">
        <v>0</v>
      </c>
      <c r="J1577" s="107">
        <f t="shared" si="24"/>
        <v>18</v>
      </c>
      <c r="K1577" s="107">
        <v>4003</v>
      </c>
      <c r="L1577" s="107">
        <v>1802</v>
      </c>
      <c r="M1577" s="107">
        <v>36</v>
      </c>
      <c r="N1577" s="107"/>
    </row>
    <row r="1578" spans="1:14" x14ac:dyDescent="0.15">
      <c r="A1578" s="107">
        <v>1668</v>
      </c>
      <c r="B1578" s="107" t="s">
        <v>196</v>
      </c>
      <c r="C1578" s="107" t="s">
        <v>274</v>
      </c>
      <c r="D1578" s="107">
        <v>1</v>
      </c>
      <c r="E1578" s="107" t="s">
        <v>193</v>
      </c>
      <c r="F1578" s="107" t="s">
        <v>603</v>
      </c>
      <c r="G1578" s="107">
        <v>0</v>
      </c>
      <c r="H1578" s="107">
        <v>1</v>
      </c>
      <c r="I1578" s="107">
        <v>0</v>
      </c>
      <c r="J1578" s="107">
        <f t="shared" si="24"/>
        <v>0.05</v>
      </c>
      <c r="K1578" s="107">
        <v>4003</v>
      </c>
      <c r="L1578" s="107">
        <v>1802</v>
      </c>
      <c r="M1578" s="107">
        <v>48</v>
      </c>
      <c r="N1578" s="107"/>
    </row>
    <row r="1579" spans="1:14" x14ac:dyDescent="0.15">
      <c r="A1579" s="107">
        <v>1674</v>
      </c>
      <c r="B1579" s="107" t="s">
        <v>196</v>
      </c>
      <c r="C1579" s="107" t="s">
        <v>274</v>
      </c>
      <c r="D1579" s="107">
        <v>7</v>
      </c>
      <c r="E1579" s="107" t="s">
        <v>193</v>
      </c>
      <c r="F1579" s="107" t="s">
        <v>603</v>
      </c>
      <c r="G1579" s="107">
        <v>1</v>
      </c>
      <c r="H1579" s="107">
        <v>1</v>
      </c>
      <c r="I1579" s="107">
        <v>0</v>
      </c>
      <c r="J1579" s="107">
        <f t="shared" si="24"/>
        <v>0.15</v>
      </c>
      <c r="K1579" s="107">
        <v>4011</v>
      </c>
      <c r="L1579" s="107">
        <v>1814</v>
      </c>
      <c r="M1579" s="107">
        <v>599</v>
      </c>
      <c r="N1579" s="107" t="s">
        <v>294</v>
      </c>
    </row>
    <row r="1580" spans="1:14" x14ac:dyDescent="0.15">
      <c r="A1580" s="107">
        <v>1676</v>
      </c>
      <c r="B1580" s="107" t="s">
        <v>197</v>
      </c>
      <c r="C1580" s="107" t="s">
        <v>274</v>
      </c>
      <c r="D1580" s="107">
        <v>20</v>
      </c>
      <c r="E1580" s="107" t="s">
        <v>193</v>
      </c>
      <c r="F1580" s="107" t="s">
        <v>603</v>
      </c>
      <c r="G1580" s="107">
        <v>3</v>
      </c>
      <c r="H1580" s="107">
        <v>0</v>
      </c>
      <c r="I1580" s="107">
        <v>0</v>
      </c>
      <c r="J1580" s="107">
        <f t="shared" si="24"/>
        <v>0.15</v>
      </c>
      <c r="K1580" s="107">
        <v>4012</v>
      </c>
      <c r="L1580" s="107">
        <v>1814</v>
      </c>
      <c r="M1580" s="107">
        <v>428</v>
      </c>
      <c r="N1580" s="107"/>
    </row>
    <row r="1581" spans="1:14" x14ac:dyDescent="0.15">
      <c r="A1581" s="107">
        <v>1677</v>
      </c>
      <c r="B1581" s="107" t="s">
        <v>197</v>
      </c>
      <c r="C1581" s="107" t="s">
        <v>274</v>
      </c>
      <c r="D1581" s="107">
        <v>4</v>
      </c>
      <c r="E1581" s="107" t="s">
        <v>193</v>
      </c>
      <c r="F1581" s="107" t="s">
        <v>603</v>
      </c>
      <c r="G1581" s="107">
        <v>0</v>
      </c>
      <c r="H1581" s="107">
        <v>12</v>
      </c>
      <c r="I1581" s="107">
        <v>0</v>
      </c>
      <c r="J1581" s="107">
        <f t="shared" si="24"/>
        <v>0.15</v>
      </c>
      <c r="K1581" s="107">
        <v>4013</v>
      </c>
      <c r="L1581" s="107">
        <v>1816</v>
      </c>
      <c r="M1581" s="107">
        <v>742</v>
      </c>
      <c r="N1581" s="107"/>
    </row>
    <row r="1582" spans="1:14" x14ac:dyDescent="0.15">
      <c r="A1582" s="107">
        <v>1678</v>
      </c>
      <c r="B1582" s="107" t="s">
        <v>197</v>
      </c>
      <c r="C1582" s="107" t="s">
        <v>295</v>
      </c>
      <c r="D1582" s="107">
        <v>30</v>
      </c>
      <c r="E1582" s="107" t="s">
        <v>193</v>
      </c>
      <c r="F1582" s="107" t="s">
        <v>603</v>
      </c>
      <c r="G1582" s="107">
        <v>12</v>
      </c>
      <c r="H1582" s="107">
        <v>15</v>
      </c>
      <c r="I1582" s="107">
        <v>0</v>
      </c>
      <c r="J1582" s="107">
        <f t="shared" si="24"/>
        <v>0.42499999999999999</v>
      </c>
      <c r="K1582" s="107">
        <v>4014</v>
      </c>
      <c r="L1582" s="107">
        <v>4903</v>
      </c>
      <c r="M1582" s="107">
        <v>667</v>
      </c>
      <c r="N1582" s="107"/>
    </row>
    <row r="1583" spans="1:14" x14ac:dyDescent="0.15">
      <c r="A1583" s="107">
        <v>1681</v>
      </c>
      <c r="B1583" s="107" t="s">
        <v>197</v>
      </c>
      <c r="C1583" s="107" t="s">
        <v>271</v>
      </c>
      <c r="D1583" s="107">
        <v>72.5</v>
      </c>
      <c r="E1583" s="107" t="s">
        <v>193</v>
      </c>
      <c r="F1583" s="107" t="s">
        <v>603</v>
      </c>
      <c r="G1583" s="107">
        <v>9</v>
      </c>
      <c r="H1583" s="107">
        <v>19</v>
      </c>
      <c r="I1583" s="107">
        <v>6</v>
      </c>
      <c r="J1583" s="107">
        <f t="shared" si="24"/>
        <v>0.13750000000000001</v>
      </c>
      <c r="K1583" s="107">
        <v>4017</v>
      </c>
      <c r="L1583" s="107">
        <v>1819</v>
      </c>
      <c r="M1583" s="107">
        <v>426</v>
      </c>
      <c r="N1583" s="107"/>
    </row>
    <row r="1584" spans="1:14" x14ac:dyDescent="0.15">
      <c r="A1584" s="107">
        <v>1682</v>
      </c>
      <c r="B1584" s="107" t="s">
        <v>197</v>
      </c>
      <c r="C1584" s="107" t="s">
        <v>271</v>
      </c>
      <c r="D1584" s="107">
        <v>5</v>
      </c>
      <c r="E1584" s="107" t="s">
        <v>193</v>
      </c>
      <c r="F1584" s="107" t="s">
        <v>603</v>
      </c>
      <c r="G1584" s="107">
        <v>0</v>
      </c>
      <c r="H1584" s="107">
        <v>13</v>
      </c>
      <c r="I1584" s="107">
        <v>12</v>
      </c>
      <c r="J1584" s="107">
        <f t="shared" ref="J1584:J1647" si="25">(G1584+H1584/20+I1584/320)/D1584</f>
        <v>0.13750000000000001</v>
      </c>
      <c r="K1584" s="107">
        <v>4018</v>
      </c>
      <c r="L1584" s="107">
        <v>1820</v>
      </c>
      <c r="M1584" s="107">
        <v>763</v>
      </c>
      <c r="N1584" s="107" t="s">
        <v>273</v>
      </c>
    </row>
    <row r="1585" spans="1:14" x14ac:dyDescent="0.15">
      <c r="A1585" s="107">
        <v>1683</v>
      </c>
      <c r="B1585" s="107" t="s">
        <v>197</v>
      </c>
      <c r="C1585" s="107" t="s">
        <v>271</v>
      </c>
      <c r="D1585" s="107">
        <v>77.75</v>
      </c>
      <c r="E1585" s="107" t="s">
        <v>193</v>
      </c>
      <c r="F1585" s="107" t="s">
        <v>603</v>
      </c>
      <c r="G1585" s="107">
        <v>10</v>
      </c>
      <c r="H1585" s="107">
        <v>13</v>
      </c>
      <c r="I1585" s="107">
        <v>13</v>
      </c>
      <c r="J1585" s="107">
        <f t="shared" si="25"/>
        <v>0.13750000000000001</v>
      </c>
      <c r="K1585" s="107">
        <v>4019</v>
      </c>
      <c r="L1585" s="107">
        <v>1822</v>
      </c>
      <c r="M1585" s="107">
        <v>600</v>
      </c>
      <c r="N1585" s="107"/>
    </row>
    <row r="1586" spans="1:14" x14ac:dyDescent="0.15">
      <c r="A1586" s="107">
        <v>1684</v>
      </c>
      <c r="B1586" s="107" t="s">
        <v>197</v>
      </c>
      <c r="C1586" s="107" t="s">
        <v>271</v>
      </c>
      <c r="D1586" s="107">
        <v>78.75</v>
      </c>
      <c r="E1586" s="107" t="s">
        <v>193</v>
      </c>
      <c r="F1586" s="107" t="s">
        <v>603</v>
      </c>
      <c r="G1586" s="107">
        <v>11</v>
      </c>
      <c r="H1586" s="107">
        <v>16</v>
      </c>
      <c r="I1586" s="107">
        <v>9</v>
      </c>
      <c r="J1586" s="107">
        <f t="shared" si="25"/>
        <v>0.15019841269841269</v>
      </c>
      <c r="K1586" s="107">
        <v>4021</v>
      </c>
      <c r="L1586" s="107">
        <v>1825</v>
      </c>
      <c r="M1586" s="107">
        <v>666</v>
      </c>
      <c r="N1586" s="107"/>
    </row>
    <row r="1587" spans="1:14" x14ac:dyDescent="0.15">
      <c r="A1587" s="107">
        <v>1685</v>
      </c>
      <c r="B1587" s="107" t="s">
        <v>197</v>
      </c>
      <c r="C1587" s="107" t="s">
        <v>271</v>
      </c>
      <c r="D1587" s="107">
        <v>2.5</v>
      </c>
      <c r="E1587" s="107" t="s">
        <v>193</v>
      </c>
      <c r="F1587" s="107" t="s">
        <v>603</v>
      </c>
      <c r="G1587" s="107">
        <v>0</v>
      </c>
      <c r="H1587" s="107">
        <v>18</v>
      </c>
      <c r="I1587" s="107">
        <v>12</v>
      </c>
      <c r="J1587" s="107">
        <f t="shared" si="25"/>
        <v>0.375</v>
      </c>
      <c r="K1587" s="107">
        <v>4022</v>
      </c>
      <c r="L1587" s="107">
        <v>1827</v>
      </c>
      <c r="M1587" s="107">
        <v>609</v>
      </c>
      <c r="N1587" s="107"/>
    </row>
    <row r="1588" spans="1:14" x14ac:dyDescent="0.15">
      <c r="A1588" s="107">
        <v>1685</v>
      </c>
      <c r="B1588" s="107" t="s">
        <v>260</v>
      </c>
      <c r="C1588" s="107" t="s">
        <v>271</v>
      </c>
      <c r="D1588" s="107">
        <v>6</v>
      </c>
      <c r="E1588" s="107" t="s">
        <v>193</v>
      </c>
      <c r="F1588" s="107" t="s">
        <v>603</v>
      </c>
      <c r="G1588" s="107">
        <v>0</v>
      </c>
      <c r="H1588" s="107">
        <v>16</v>
      </c>
      <c r="I1588" s="107">
        <v>8</v>
      </c>
      <c r="J1588" s="107">
        <f t="shared" si="25"/>
        <v>0.13750000000000001</v>
      </c>
      <c r="K1588" s="107">
        <v>4022</v>
      </c>
      <c r="L1588" s="107">
        <v>1827</v>
      </c>
      <c r="M1588" s="107">
        <v>608</v>
      </c>
      <c r="N1588" s="107"/>
    </row>
    <row r="1589" spans="1:14" x14ac:dyDescent="0.15">
      <c r="A1589" s="107">
        <v>1686</v>
      </c>
      <c r="B1589" s="107" t="s">
        <v>247</v>
      </c>
      <c r="C1589" s="107" t="s">
        <v>295</v>
      </c>
      <c r="D1589" s="107">
        <v>4</v>
      </c>
      <c r="E1589" s="107" t="s">
        <v>193</v>
      </c>
      <c r="F1589" s="107" t="s">
        <v>603</v>
      </c>
      <c r="G1589" s="107">
        <v>0</v>
      </c>
      <c r="H1589" s="107">
        <v>11</v>
      </c>
      <c r="I1589" s="107">
        <v>0</v>
      </c>
      <c r="J1589" s="107">
        <f t="shared" si="25"/>
        <v>0.13750000000000001</v>
      </c>
      <c r="K1589" s="107">
        <v>4023</v>
      </c>
      <c r="L1589" s="107">
        <v>1829</v>
      </c>
      <c r="M1589" s="107">
        <v>830</v>
      </c>
      <c r="N1589" s="107"/>
    </row>
    <row r="1590" spans="1:14" x14ac:dyDescent="0.15">
      <c r="A1590" s="107">
        <v>1689</v>
      </c>
      <c r="B1590" s="107" t="s">
        <v>197</v>
      </c>
      <c r="C1590" s="107" t="s">
        <v>271</v>
      </c>
      <c r="D1590" s="107">
        <v>10</v>
      </c>
      <c r="E1590" s="107" t="s">
        <v>193</v>
      </c>
      <c r="F1590" s="107" t="s">
        <v>603</v>
      </c>
      <c r="G1590" s="107">
        <v>1</v>
      </c>
      <c r="H1590" s="107">
        <v>10</v>
      </c>
      <c r="I1590" s="107">
        <v>0</v>
      </c>
      <c r="J1590" s="107">
        <f t="shared" si="25"/>
        <v>0.15</v>
      </c>
      <c r="K1590" s="107">
        <v>4027</v>
      </c>
      <c r="L1590" s="107">
        <v>1832</v>
      </c>
      <c r="M1590" s="107">
        <v>483</v>
      </c>
      <c r="N1590" s="107"/>
    </row>
    <row r="1591" spans="1:14" x14ac:dyDescent="0.15">
      <c r="A1591" s="107">
        <v>1690</v>
      </c>
      <c r="B1591" s="107" t="s">
        <v>192</v>
      </c>
      <c r="C1591" s="107" t="s">
        <v>271</v>
      </c>
      <c r="D1591" s="107">
        <v>4</v>
      </c>
      <c r="E1591" s="107" t="s">
        <v>193</v>
      </c>
      <c r="F1591" s="107" t="s">
        <v>603</v>
      </c>
      <c r="G1591" s="107">
        <v>0</v>
      </c>
      <c r="H1591" s="107">
        <v>12</v>
      </c>
      <c r="I1591" s="107">
        <v>0</v>
      </c>
      <c r="J1591" s="107">
        <f t="shared" si="25"/>
        <v>0.15</v>
      </c>
      <c r="K1591" s="107">
        <v>4028</v>
      </c>
      <c r="L1591" s="107">
        <v>1834</v>
      </c>
      <c r="M1591" s="107">
        <v>396</v>
      </c>
      <c r="N1591" s="107"/>
    </row>
    <row r="1592" spans="1:14" x14ac:dyDescent="0.15">
      <c r="A1592" s="107">
        <v>1692</v>
      </c>
      <c r="B1592" s="107" t="s">
        <v>247</v>
      </c>
      <c r="C1592" s="107" t="s">
        <v>271</v>
      </c>
      <c r="D1592" s="107">
        <v>10</v>
      </c>
      <c r="E1592" s="107" t="s">
        <v>193</v>
      </c>
      <c r="F1592" s="107" t="s">
        <v>603</v>
      </c>
      <c r="G1592" s="107">
        <v>1</v>
      </c>
      <c r="H1592" s="107">
        <v>10</v>
      </c>
      <c r="I1592" s="107">
        <v>0</v>
      </c>
      <c r="J1592" s="107">
        <f t="shared" si="25"/>
        <v>0.15</v>
      </c>
      <c r="K1592" s="107">
        <v>4030</v>
      </c>
      <c r="L1592" s="107">
        <v>1836</v>
      </c>
      <c r="M1592" s="107">
        <v>242</v>
      </c>
      <c r="N1592" s="107"/>
    </row>
    <row r="1593" spans="1:14" x14ac:dyDescent="0.15">
      <c r="A1593" s="107">
        <v>1693</v>
      </c>
      <c r="B1593" s="107" t="s">
        <v>261</v>
      </c>
      <c r="C1593" s="107" t="s">
        <v>271</v>
      </c>
      <c r="D1593" s="107">
        <v>4</v>
      </c>
      <c r="E1593" s="107" t="s">
        <v>193</v>
      </c>
      <c r="F1593" s="107" t="s">
        <v>603</v>
      </c>
      <c r="G1593" s="107">
        <v>0</v>
      </c>
      <c r="H1593" s="107">
        <v>12</v>
      </c>
      <c r="I1593" s="107">
        <v>0</v>
      </c>
      <c r="J1593" s="107">
        <f t="shared" si="25"/>
        <v>0.15</v>
      </c>
      <c r="K1593" s="107">
        <v>4032</v>
      </c>
      <c r="L1593" s="107">
        <v>1839</v>
      </c>
      <c r="M1593" s="107">
        <v>260</v>
      </c>
      <c r="N1593" s="107"/>
    </row>
    <row r="1594" spans="1:14" x14ac:dyDescent="0.15">
      <c r="A1594" s="107">
        <v>1694</v>
      </c>
      <c r="B1594" s="107" t="s">
        <v>197</v>
      </c>
      <c r="C1594" s="107" t="s">
        <v>271</v>
      </c>
      <c r="D1594" s="107">
        <v>6</v>
      </c>
      <c r="E1594" s="107" t="s">
        <v>193</v>
      </c>
      <c r="F1594" s="107" t="s">
        <v>603</v>
      </c>
      <c r="G1594" s="107">
        <v>0</v>
      </c>
      <c r="H1594" s="107">
        <v>10</v>
      </c>
      <c r="I1594" s="107">
        <v>0</v>
      </c>
      <c r="J1594" s="107">
        <f t="shared" si="25"/>
        <v>8.3333333333333329E-2</v>
      </c>
      <c r="K1594" s="107">
        <v>4032</v>
      </c>
      <c r="L1594" s="107">
        <v>1839</v>
      </c>
      <c r="M1594" s="107">
        <v>275</v>
      </c>
      <c r="N1594" s="107"/>
    </row>
    <row r="1595" spans="1:14" x14ac:dyDescent="0.15">
      <c r="A1595" s="107">
        <v>1695</v>
      </c>
      <c r="B1595" s="107" t="s">
        <v>197</v>
      </c>
      <c r="C1595" s="107" t="s">
        <v>271</v>
      </c>
      <c r="D1595" s="107">
        <v>8</v>
      </c>
      <c r="E1595" s="107" t="s">
        <v>193</v>
      </c>
      <c r="F1595" s="107" t="s">
        <v>603</v>
      </c>
      <c r="G1595" s="107">
        <v>1</v>
      </c>
      <c r="H1595" s="107">
        <v>4</v>
      </c>
      <c r="I1595" s="107">
        <v>0</v>
      </c>
      <c r="J1595" s="107">
        <f t="shared" si="25"/>
        <v>0.15</v>
      </c>
      <c r="K1595" s="107">
        <v>4035</v>
      </c>
      <c r="L1595" s="107">
        <v>1841</v>
      </c>
      <c r="M1595" s="107">
        <v>65</v>
      </c>
      <c r="N1595" s="107"/>
    </row>
    <row r="1596" spans="1:14" x14ac:dyDescent="0.15">
      <c r="A1596" s="107">
        <v>1696</v>
      </c>
      <c r="B1596" s="107" t="s">
        <v>244</v>
      </c>
      <c r="C1596" s="107" t="s">
        <v>271</v>
      </c>
      <c r="D1596" s="107">
        <v>4</v>
      </c>
      <c r="E1596" s="107" t="s">
        <v>193</v>
      </c>
      <c r="F1596" s="107" t="s">
        <v>603</v>
      </c>
      <c r="G1596" s="107">
        <v>0</v>
      </c>
      <c r="H1596" s="107">
        <v>12</v>
      </c>
      <c r="I1596" s="107">
        <v>0</v>
      </c>
      <c r="J1596" s="107">
        <f t="shared" si="25"/>
        <v>0.15</v>
      </c>
      <c r="K1596" s="107">
        <v>4037</v>
      </c>
      <c r="L1596" s="107">
        <v>1844</v>
      </c>
      <c r="M1596" s="107">
        <v>1382</v>
      </c>
      <c r="N1596" s="107"/>
    </row>
    <row r="1597" spans="1:14" x14ac:dyDescent="0.15">
      <c r="A1597" s="107">
        <v>1697</v>
      </c>
      <c r="B1597" s="107" t="s">
        <v>197</v>
      </c>
      <c r="C1597" s="107" t="s">
        <v>271</v>
      </c>
      <c r="D1597" s="107">
        <v>10</v>
      </c>
      <c r="E1597" s="107" t="s">
        <v>193</v>
      </c>
      <c r="F1597" s="107" t="s">
        <v>603</v>
      </c>
      <c r="G1597" s="107">
        <v>1</v>
      </c>
      <c r="H1597" s="107">
        <v>10</v>
      </c>
      <c r="I1597" s="107">
        <v>0</v>
      </c>
      <c r="J1597" s="107">
        <f t="shared" si="25"/>
        <v>0.15</v>
      </c>
      <c r="K1597" s="107">
        <v>4038</v>
      </c>
      <c r="L1597" s="107">
        <v>1846</v>
      </c>
      <c r="M1597" s="107">
        <v>714</v>
      </c>
      <c r="N1597" s="107" t="s">
        <v>294</v>
      </c>
    </row>
    <row r="1598" spans="1:14" x14ac:dyDescent="0.15">
      <c r="A1598" s="107">
        <v>1698</v>
      </c>
      <c r="B1598" s="107" t="s">
        <v>200</v>
      </c>
      <c r="C1598" s="107" t="s">
        <v>271</v>
      </c>
      <c r="D1598" s="107">
        <v>3</v>
      </c>
      <c r="E1598" s="107" t="s">
        <v>193</v>
      </c>
      <c r="F1598" s="107" t="s">
        <v>603</v>
      </c>
      <c r="G1598" s="107">
        <v>0</v>
      </c>
      <c r="H1598" s="107">
        <v>9</v>
      </c>
      <c r="I1598" s="107">
        <v>0</v>
      </c>
      <c r="J1598" s="107">
        <f t="shared" si="25"/>
        <v>0.15</v>
      </c>
      <c r="K1598" s="107">
        <v>4043</v>
      </c>
      <c r="L1598" s="107">
        <v>1851</v>
      </c>
      <c r="M1598" s="107">
        <v>827</v>
      </c>
      <c r="N1598" s="107"/>
    </row>
    <row r="1599" spans="1:14" x14ac:dyDescent="0.15">
      <c r="A1599" s="107">
        <v>1699</v>
      </c>
      <c r="B1599" s="107" t="s">
        <v>197</v>
      </c>
      <c r="C1599" s="107" t="s">
        <v>271</v>
      </c>
      <c r="D1599" s="107">
        <v>9.5</v>
      </c>
      <c r="E1599" s="107" t="s">
        <v>193</v>
      </c>
      <c r="F1599" s="107" t="s">
        <v>603</v>
      </c>
      <c r="G1599" s="107">
        <v>1</v>
      </c>
      <c r="H1599" s="107">
        <v>8</v>
      </c>
      <c r="I1599" s="107">
        <v>8</v>
      </c>
      <c r="J1599" s="107">
        <f t="shared" si="25"/>
        <v>0.15</v>
      </c>
      <c r="K1599" s="107">
        <v>4043</v>
      </c>
      <c r="L1599" s="107">
        <v>1851</v>
      </c>
      <c r="M1599" s="107">
        <v>851</v>
      </c>
      <c r="N1599" s="107"/>
    </row>
    <row r="1600" spans="1:14" x14ac:dyDescent="0.15">
      <c r="A1600" s="107">
        <v>1702</v>
      </c>
      <c r="B1600" s="107" t="s">
        <v>226</v>
      </c>
      <c r="C1600" s="107" t="s">
        <v>271</v>
      </c>
      <c r="D1600" s="107">
        <v>20</v>
      </c>
      <c r="E1600" s="107" t="s">
        <v>193</v>
      </c>
      <c r="F1600" s="107" t="s">
        <v>603</v>
      </c>
      <c r="G1600" s="107">
        <v>3</v>
      </c>
      <c r="H1600" s="107">
        <v>0</v>
      </c>
      <c r="I1600" s="107">
        <v>0</v>
      </c>
      <c r="J1600" s="107">
        <f t="shared" si="25"/>
        <v>0.15</v>
      </c>
      <c r="K1600" s="107">
        <v>4049</v>
      </c>
      <c r="L1600" s="107">
        <v>1856</v>
      </c>
      <c r="M1600" s="107">
        <v>503</v>
      </c>
      <c r="N1600" s="107"/>
    </row>
    <row r="1601" spans="1:15" x14ac:dyDescent="0.15">
      <c r="A1601" s="107">
        <v>1703</v>
      </c>
      <c r="B1601" s="107" t="s">
        <v>226</v>
      </c>
      <c r="C1601" s="107" t="s">
        <v>271</v>
      </c>
      <c r="D1601" s="107">
        <v>19</v>
      </c>
      <c r="E1601" s="107" t="s">
        <v>193</v>
      </c>
      <c r="F1601" s="107" t="s">
        <v>603</v>
      </c>
      <c r="G1601" s="107">
        <v>2</v>
      </c>
      <c r="H1601" s="107">
        <v>7</v>
      </c>
      <c r="I1601" s="107">
        <v>8</v>
      </c>
      <c r="J1601" s="107">
        <f t="shared" si="25"/>
        <v>0.125</v>
      </c>
      <c r="K1601" s="107">
        <v>4050</v>
      </c>
      <c r="L1601" s="107">
        <v>1858</v>
      </c>
      <c r="M1601" s="107">
        <v>543</v>
      </c>
      <c r="N1601" s="107"/>
      <c r="O1601" s="107"/>
    </row>
    <row r="1602" spans="1:15" x14ac:dyDescent="0.15">
      <c r="A1602" s="107">
        <v>1713</v>
      </c>
      <c r="B1602" s="107" t="s">
        <v>236</v>
      </c>
      <c r="C1602" s="107" t="s">
        <v>268</v>
      </c>
      <c r="D1602" s="25">
        <v>6</v>
      </c>
      <c r="E1602" s="107" t="s">
        <v>193</v>
      </c>
      <c r="F1602" s="107" t="s">
        <v>603</v>
      </c>
      <c r="G1602" s="107">
        <v>0</v>
      </c>
      <c r="H1602" s="107">
        <v>18</v>
      </c>
      <c r="I1602" s="107">
        <v>0</v>
      </c>
      <c r="J1602" s="107">
        <f t="shared" si="25"/>
        <v>0.15</v>
      </c>
      <c r="K1602" s="107">
        <v>5646</v>
      </c>
      <c r="L1602" s="107"/>
      <c r="M1602" s="107"/>
      <c r="N1602" s="107"/>
      <c r="O1602" s="107"/>
    </row>
    <row r="1603" spans="1:15" x14ac:dyDescent="0.15">
      <c r="A1603" s="107">
        <v>1759</v>
      </c>
      <c r="B1603" s="107" t="s">
        <v>261</v>
      </c>
      <c r="C1603" s="107" t="s">
        <v>268</v>
      </c>
      <c r="D1603" s="25">
        <v>30</v>
      </c>
      <c r="E1603" s="107" t="s">
        <v>193</v>
      </c>
      <c r="F1603" s="107" t="s">
        <v>603</v>
      </c>
      <c r="G1603" s="107">
        <v>4</v>
      </c>
      <c r="H1603" s="107">
        <v>4</v>
      </c>
      <c r="I1603" s="107">
        <v>8</v>
      </c>
      <c r="J1603" s="107">
        <f t="shared" si="25"/>
        <v>0.14083333333333334</v>
      </c>
      <c r="K1603" s="107">
        <v>6370</v>
      </c>
      <c r="L1603" s="107"/>
      <c r="M1603" s="107"/>
      <c r="N1603" s="107"/>
      <c r="O1603" s="107"/>
    </row>
    <row r="1604" spans="1:15" x14ac:dyDescent="0.15">
      <c r="A1604" s="107">
        <v>1786</v>
      </c>
      <c r="B1604" s="107" t="s">
        <v>261</v>
      </c>
      <c r="C1604" s="107" t="s">
        <v>268</v>
      </c>
      <c r="D1604" s="25">
        <v>12</v>
      </c>
      <c r="E1604" s="107" t="s">
        <v>193</v>
      </c>
      <c r="F1604" s="107" t="s">
        <v>603</v>
      </c>
      <c r="G1604" s="107">
        <v>2</v>
      </c>
      <c r="H1604" s="107">
        <v>3</v>
      </c>
      <c r="I1604" s="107">
        <v>0</v>
      </c>
      <c r="J1604" s="107">
        <f t="shared" si="25"/>
        <v>0.17916666666666667</v>
      </c>
      <c r="K1604" s="107">
        <v>6746</v>
      </c>
      <c r="L1604" s="107"/>
      <c r="M1604" s="107"/>
      <c r="N1604" s="107"/>
      <c r="O1604" s="107"/>
    </row>
    <row r="1605" spans="1:15" x14ac:dyDescent="0.15">
      <c r="A1605" s="107">
        <v>1713</v>
      </c>
      <c r="B1605" s="107" t="s">
        <v>260</v>
      </c>
      <c r="C1605" s="107" t="s">
        <v>268</v>
      </c>
      <c r="D1605" s="25">
        <v>8</v>
      </c>
      <c r="E1605" s="107" t="s">
        <v>193</v>
      </c>
      <c r="F1605" s="107" t="s">
        <v>604</v>
      </c>
      <c r="G1605" s="107">
        <v>1</v>
      </c>
      <c r="H1605" s="107">
        <v>4</v>
      </c>
      <c r="I1605" s="107">
        <v>0</v>
      </c>
      <c r="J1605" s="107">
        <f t="shared" si="25"/>
        <v>0.15</v>
      </c>
      <c r="K1605" s="107">
        <v>5644</v>
      </c>
      <c r="L1605" s="107"/>
      <c r="M1605" s="107"/>
      <c r="N1605" s="107"/>
      <c r="O1605" s="107"/>
    </row>
    <row r="1606" spans="1:15" x14ac:dyDescent="0.15">
      <c r="A1606" s="107">
        <v>1716</v>
      </c>
      <c r="B1606" s="107" t="s">
        <v>197</v>
      </c>
      <c r="C1606" s="107" t="s">
        <v>268</v>
      </c>
      <c r="D1606" s="25">
        <v>4</v>
      </c>
      <c r="E1606" s="107" t="s">
        <v>193</v>
      </c>
      <c r="F1606" s="107" t="s">
        <v>604</v>
      </c>
      <c r="G1606" s="107">
        <v>0</v>
      </c>
      <c r="H1606" s="107">
        <v>12</v>
      </c>
      <c r="I1606" s="107">
        <v>0</v>
      </c>
      <c r="J1606" s="107">
        <f t="shared" si="25"/>
        <v>0.15</v>
      </c>
      <c r="K1606" s="107">
        <v>5670</v>
      </c>
      <c r="L1606" s="107"/>
      <c r="M1606" s="107"/>
      <c r="N1606" s="107"/>
      <c r="O1606" s="107"/>
    </row>
    <row r="1607" spans="1:15" x14ac:dyDescent="0.15">
      <c r="A1607" s="107">
        <v>1717</v>
      </c>
      <c r="B1607" s="107" t="s">
        <v>192</v>
      </c>
      <c r="C1607" s="107" t="s">
        <v>268</v>
      </c>
      <c r="D1607" s="25">
        <v>3</v>
      </c>
      <c r="E1607" s="107" t="s">
        <v>193</v>
      </c>
      <c r="F1607" s="107" t="s">
        <v>604</v>
      </c>
      <c r="G1607" s="107">
        <v>0</v>
      </c>
      <c r="H1607" s="107">
        <v>9</v>
      </c>
      <c r="I1607" s="107">
        <v>0</v>
      </c>
      <c r="J1607" s="107">
        <f t="shared" si="25"/>
        <v>0.15</v>
      </c>
      <c r="K1607" s="107">
        <v>5683</v>
      </c>
      <c r="L1607" s="107"/>
      <c r="M1607" s="107"/>
      <c r="N1607" s="107"/>
      <c r="O1607" s="107"/>
    </row>
    <row r="1608" spans="1:15" x14ac:dyDescent="0.15">
      <c r="A1608" s="107">
        <v>1720</v>
      </c>
      <c r="B1608" s="107" t="s">
        <v>253</v>
      </c>
      <c r="C1608" s="107" t="s">
        <v>268</v>
      </c>
      <c r="D1608" s="25">
        <v>3</v>
      </c>
      <c r="E1608" s="107" t="s">
        <v>193</v>
      </c>
      <c r="F1608" s="107" t="s">
        <v>604</v>
      </c>
      <c r="G1608" s="107">
        <v>0</v>
      </c>
      <c r="H1608" s="107">
        <v>8</v>
      </c>
      <c r="I1608" s="107">
        <v>0</v>
      </c>
      <c r="J1608" s="107">
        <f t="shared" si="25"/>
        <v>0.13333333333333333</v>
      </c>
      <c r="K1608" s="107">
        <v>5731</v>
      </c>
      <c r="L1608" s="107"/>
      <c r="M1608" s="107"/>
      <c r="N1608" s="107"/>
      <c r="O1608" s="107"/>
    </row>
    <row r="1609" spans="1:15" x14ac:dyDescent="0.15">
      <c r="A1609" s="107">
        <v>1721</v>
      </c>
      <c r="B1609" s="107" t="s">
        <v>192</v>
      </c>
      <c r="C1609" s="107" t="s">
        <v>268</v>
      </c>
      <c r="D1609" s="25">
        <v>4</v>
      </c>
      <c r="E1609" s="107" t="s">
        <v>193</v>
      </c>
      <c r="F1609" s="107" t="s">
        <v>604</v>
      </c>
      <c r="G1609" s="107">
        <v>0</v>
      </c>
      <c r="H1609" s="107">
        <v>11</v>
      </c>
      <c r="I1609" s="107">
        <v>0</v>
      </c>
      <c r="J1609" s="107">
        <f t="shared" si="25"/>
        <v>0.13750000000000001</v>
      </c>
      <c r="K1609" s="107">
        <v>5753</v>
      </c>
      <c r="L1609" s="107"/>
      <c r="M1609" s="107"/>
      <c r="N1609" s="107"/>
      <c r="O1609" s="107"/>
    </row>
    <row r="1610" spans="1:15" x14ac:dyDescent="0.15">
      <c r="A1610" s="107">
        <v>1659</v>
      </c>
      <c r="B1610" s="107" t="s">
        <v>197</v>
      </c>
      <c r="C1610" s="107" t="s">
        <v>274</v>
      </c>
      <c r="D1610" s="107">
        <v>36</v>
      </c>
      <c r="E1610" s="107" t="s">
        <v>204</v>
      </c>
      <c r="F1610" s="107" t="s">
        <v>605</v>
      </c>
      <c r="G1610" s="107">
        <v>156</v>
      </c>
      <c r="H1610" s="107">
        <v>12</v>
      </c>
      <c r="I1610" s="107">
        <v>0</v>
      </c>
      <c r="J1610" s="107">
        <f t="shared" si="25"/>
        <v>4.3499999999999996</v>
      </c>
      <c r="K1610" s="107">
        <v>3993</v>
      </c>
      <c r="L1610" s="107">
        <v>1792</v>
      </c>
      <c r="M1610" s="107">
        <v>167</v>
      </c>
      <c r="N1610" s="107" t="s">
        <v>317</v>
      </c>
      <c r="O1610" s="107"/>
    </row>
    <row r="1611" spans="1:15" x14ac:dyDescent="0.15">
      <c r="A1611" s="107">
        <v>1656</v>
      </c>
      <c r="B1611" s="107" t="s">
        <v>253</v>
      </c>
      <c r="C1611" s="107" t="s">
        <v>274</v>
      </c>
      <c r="D1611" s="107">
        <v>100</v>
      </c>
      <c r="E1611" s="107" t="s">
        <v>204</v>
      </c>
      <c r="F1611" s="107" t="s">
        <v>606</v>
      </c>
      <c r="G1611" s="107">
        <v>450</v>
      </c>
      <c r="H1611" s="107">
        <v>0</v>
      </c>
      <c r="I1611" s="107">
        <v>0</v>
      </c>
      <c r="J1611" s="107">
        <f t="shared" si="25"/>
        <v>4.5</v>
      </c>
      <c r="K1611" s="107">
        <v>3991</v>
      </c>
      <c r="L1611" s="107">
        <v>1788</v>
      </c>
      <c r="M1611" s="107">
        <v>151</v>
      </c>
      <c r="N1611" s="107" t="s">
        <v>383</v>
      </c>
      <c r="O1611" s="107"/>
    </row>
    <row r="1612" spans="1:15" x14ac:dyDescent="0.15">
      <c r="A1612" s="107">
        <v>1655</v>
      </c>
      <c r="B1612" s="107" t="s">
        <v>226</v>
      </c>
      <c r="C1612" s="107" t="s">
        <v>274</v>
      </c>
      <c r="D1612" s="107">
        <v>77</v>
      </c>
      <c r="E1612" s="107" t="s">
        <v>315</v>
      </c>
      <c r="F1612" s="107" t="s">
        <v>607</v>
      </c>
      <c r="G1612" s="107">
        <v>392</v>
      </c>
      <c r="H1612" s="107">
        <v>14</v>
      </c>
      <c r="I1612" s="107">
        <v>0</v>
      </c>
      <c r="J1612" s="107">
        <f t="shared" si="25"/>
        <v>5.0999999999999996</v>
      </c>
      <c r="K1612" s="107">
        <v>3990</v>
      </c>
      <c r="L1612" s="107">
        <v>1788</v>
      </c>
      <c r="M1612" s="107">
        <v>208</v>
      </c>
      <c r="N1612" s="107" t="s">
        <v>276</v>
      </c>
      <c r="O1612" s="107" t="s">
        <v>277</v>
      </c>
    </row>
    <row r="1613" spans="1:15" x14ac:dyDescent="0.15">
      <c r="A1613" s="107">
        <v>1655</v>
      </c>
      <c r="B1613" s="107" t="s">
        <v>244</v>
      </c>
      <c r="C1613" s="107" t="s">
        <v>274</v>
      </c>
      <c r="D1613" s="107">
        <v>1</v>
      </c>
      <c r="E1613" s="107" t="s">
        <v>414</v>
      </c>
      <c r="F1613" s="107" t="s">
        <v>608</v>
      </c>
      <c r="G1613" s="107">
        <v>0</v>
      </c>
      <c r="H1613" s="107">
        <v>16</v>
      </c>
      <c r="I1613" s="107">
        <v>0</v>
      </c>
      <c r="J1613" s="107">
        <f t="shared" si="25"/>
        <v>0.8</v>
      </c>
      <c r="K1613" s="107">
        <v>3990</v>
      </c>
      <c r="L1613" s="107">
        <v>1788</v>
      </c>
      <c r="M1613" s="107">
        <v>203</v>
      </c>
      <c r="N1613" s="107" t="s">
        <v>421</v>
      </c>
      <c r="O1613" s="107"/>
    </row>
    <row r="1614" spans="1:15" x14ac:dyDescent="0.15">
      <c r="A1614" s="107">
        <v>1655</v>
      </c>
      <c r="B1614" s="107" t="s">
        <v>236</v>
      </c>
      <c r="C1614" s="107" t="s">
        <v>274</v>
      </c>
      <c r="D1614" s="107">
        <v>10</v>
      </c>
      <c r="E1614" s="107" t="s">
        <v>414</v>
      </c>
      <c r="F1614" s="107" t="s">
        <v>608</v>
      </c>
      <c r="G1614" s="107">
        <v>8</v>
      </c>
      <c r="H1614" s="107">
        <v>0</v>
      </c>
      <c r="I1614" s="107">
        <v>0</v>
      </c>
      <c r="J1614" s="107">
        <f t="shared" si="25"/>
        <v>0.8</v>
      </c>
      <c r="K1614" s="107">
        <v>3990</v>
      </c>
      <c r="L1614" s="107">
        <v>1788</v>
      </c>
      <c r="M1614" s="107">
        <v>203</v>
      </c>
      <c r="N1614" s="107"/>
      <c r="O1614" s="107"/>
    </row>
    <row r="1615" spans="1:15" x14ac:dyDescent="0.15">
      <c r="A1615" s="107">
        <v>1656</v>
      </c>
      <c r="B1615" s="107" t="s">
        <v>283</v>
      </c>
      <c r="C1615" s="107" t="s">
        <v>274</v>
      </c>
      <c r="D1615" s="107">
        <v>341</v>
      </c>
      <c r="E1615" s="107"/>
      <c r="F1615" s="107" t="s">
        <v>609</v>
      </c>
      <c r="G1615" s="107">
        <v>252</v>
      </c>
      <c r="H1615" s="107">
        <v>0</v>
      </c>
      <c r="I1615" s="107">
        <v>0</v>
      </c>
      <c r="J1615" s="107">
        <f t="shared" si="25"/>
        <v>0.73900293255131966</v>
      </c>
      <c r="K1615" s="107">
        <v>3991</v>
      </c>
      <c r="L1615" s="107">
        <v>1788</v>
      </c>
      <c r="M1615" s="107">
        <v>150</v>
      </c>
      <c r="N1615" s="107" t="s">
        <v>284</v>
      </c>
      <c r="O1615" s="107"/>
    </row>
    <row r="1616" spans="1:15" x14ac:dyDescent="0.15">
      <c r="A1616" s="107">
        <v>1655</v>
      </c>
      <c r="B1616" s="107" t="s">
        <v>236</v>
      </c>
      <c r="C1616" s="107" t="s">
        <v>274</v>
      </c>
      <c r="D1616" s="107">
        <v>7</v>
      </c>
      <c r="E1616" s="107" t="s">
        <v>610</v>
      </c>
      <c r="F1616" s="107" t="s">
        <v>611</v>
      </c>
      <c r="G1616" s="107">
        <v>208</v>
      </c>
      <c r="H1616" s="107">
        <v>0</v>
      </c>
      <c r="I1616" s="107">
        <v>0</v>
      </c>
      <c r="J1616" s="107">
        <f t="shared" si="25"/>
        <v>29.714285714285715</v>
      </c>
      <c r="K1616" s="107">
        <v>3990</v>
      </c>
      <c r="L1616" s="107">
        <v>1788</v>
      </c>
      <c r="M1616" s="107">
        <v>204</v>
      </c>
      <c r="N1616" s="107" t="s">
        <v>349</v>
      </c>
      <c r="O1616" s="107"/>
    </row>
    <row r="1617" spans="1:15" x14ac:dyDescent="0.15">
      <c r="A1617" s="107">
        <v>1656</v>
      </c>
      <c r="B1617" s="107" t="s">
        <v>283</v>
      </c>
      <c r="C1617" s="107" t="s">
        <v>274</v>
      </c>
      <c r="D1617" s="107">
        <v>2</v>
      </c>
      <c r="E1617" s="107"/>
      <c r="F1617" s="107" t="s">
        <v>612</v>
      </c>
      <c r="G1617" s="107">
        <v>60</v>
      </c>
      <c r="H1617" s="107">
        <v>0</v>
      </c>
      <c r="I1617" s="107">
        <v>0</v>
      </c>
      <c r="J1617" s="107">
        <f t="shared" si="25"/>
        <v>30</v>
      </c>
      <c r="K1617" s="107">
        <v>3991</v>
      </c>
      <c r="L1617" s="107">
        <v>1788</v>
      </c>
      <c r="M1617" s="107">
        <v>150</v>
      </c>
      <c r="N1617" s="107" t="s">
        <v>284</v>
      </c>
      <c r="O1617" s="107"/>
    </row>
    <row r="1618" spans="1:15" x14ac:dyDescent="0.15">
      <c r="A1618" s="107">
        <v>1655</v>
      </c>
      <c r="B1618" s="107" t="s">
        <v>226</v>
      </c>
      <c r="C1618" s="107" t="s">
        <v>274</v>
      </c>
      <c r="D1618" s="107">
        <v>6</v>
      </c>
      <c r="E1618" s="107"/>
      <c r="F1618" s="107" t="s">
        <v>613</v>
      </c>
      <c r="G1618" s="107">
        <v>24</v>
      </c>
      <c r="H1618" s="107">
        <v>0</v>
      </c>
      <c r="I1618" s="107">
        <v>0</v>
      </c>
      <c r="J1618" s="107">
        <f t="shared" si="25"/>
        <v>4</v>
      </c>
      <c r="K1618" s="107">
        <v>3990</v>
      </c>
      <c r="L1618" s="107">
        <v>1788</v>
      </c>
      <c r="M1618" s="107">
        <v>208</v>
      </c>
      <c r="N1618" s="107" t="s">
        <v>276</v>
      </c>
      <c r="O1618" s="107" t="s">
        <v>277</v>
      </c>
    </row>
    <row r="1619" spans="1:15" x14ac:dyDescent="0.15">
      <c r="A1619" s="107">
        <v>1655</v>
      </c>
      <c r="B1619" s="107" t="s">
        <v>247</v>
      </c>
      <c r="C1619" s="107" t="s">
        <v>274</v>
      </c>
      <c r="D1619" s="107">
        <v>1</v>
      </c>
      <c r="E1619" s="107"/>
      <c r="F1619" s="107" t="s">
        <v>614</v>
      </c>
      <c r="G1619" s="107">
        <v>23</v>
      </c>
      <c r="H1619" s="107">
        <v>10</v>
      </c>
      <c r="I1619" s="107">
        <v>0</v>
      </c>
      <c r="J1619" s="107">
        <f t="shared" si="25"/>
        <v>23.5</v>
      </c>
      <c r="K1619" s="107">
        <v>3990</v>
      </c>
      <c r="L1619" s="107">
        <v>1788</v>
      </c>
      <c r="M1619" s="107">
        <v>225</v>
      </c>
      <c r="N1619" s="107" t="s">
        <v>287</v>
      </c>
      <c r="O1619" s="107" t="s">
        <v>319</v>
      </c>
    </row>
    <row r="1620" spans="1:15" x14ac:dyDescent="0.15">
      <c r="A1620" s="107">
        <v>1655</v>
      </c>
      <c r="B1620" s="107" t="s">
        <v>247</v>
      </c>
      <c r="C1620" s="107" t="s">
        <v>274</v>
      </c>
      <c r="D1620" s="107">
        <v>3</v>
      </c>
      <c r="E1620" s="107"/>
      <c r="F1620" s="107" t="s">
        <v>615</v>
      </c>
      <c r="G1620" s="107">
        <v>0</v>
      </c>
      <c r="H1620" s="107">
        <v>18</v>
      </c>
      <c r="I1620" s="107">
        <v>0</v>
      </c>
      <c r="J1620" s="107">
        <f t="shared" si="25"/>
        <v>0.3</v>
      </c>
      <c r="K1620" s="107">
        <v>3990</v>
      </c>
      <c r="L1620" s="107">
        <v>1788</v>
      </c>
      <c r="M1620" s="107">
        <v>225</v>
      </c>
      <c r="N1620" s="107" t="s">
        <v>287</v>
      </c>
      <c r="O1620" s="107" t="s">
        <v>319</v>
      </c>
    </row>
    <row r="1621" spans="1:15" x14ac:dyDescent="0.15">
      <c r="A1621" s="107">
        <v>1674</v>
      </c>
      <c r="B1621" s="107" t="s">
        <v>196</v>
      </c>
      <c r="C1621" s="107" t="s">
        <v>274</v>
      </c>
      <c r="D1621" s="107">
        <v>12</v>
      </c>
      <c r="E1621" s="107" t="s">
        <v>193</v>
      </c>
      <c r="F1621" s="107" t="s">
        <v>616</v>
      </c>
      <c r="G1621" s="107">
        <v>0</v>
      </c>
      <c r="H1621" s="107">
        <v>12</v>
      </c>
      <c r="I1621" s="107">
        <v>0</v>
      </c>
      <c r="J1621" s="107">
        <f t="shared" si="25"/>
        <v>4.9999999999999996E-2</v>
      </c>
      <c r="K1621" s="107">
        <v>4011</v>
      </c>
      <c r="L1621" s="107">
        <v>1814</v>
      </c>
      <c r="M1621" s="107">
        <v>603</v>
      </c>
      <c r="N1621" s="107" t="s">
        <v>380</v>
      </c>
      <c r="O1621" s="107"/>
    </row>
    <row r="1622" spans="1:15" x14ac:dyDescent="0.15">
      <c r="A1622" s="107">
        <v>1656</v>
      </c>
      <c r="B1622" s="107" t="s">
        <v>244</v>
      </c>
      <c r="C1622" s="107" t="s">
        <v>274</v>
      </c>
      <c r="D1622" s="107">
        <v>4</v>
      </c>
      <c r="E1622" s="107" t="s">
        <v>193</v>
      </c>
      <c r="F1622" s="107" t="s">
        <v>617</v>
      </c>
      <c r="G1622" s="107">
        <v>0</v>
      </c>
      <c r="H1622" s="107">
        <v>8</v>
      </c>
      <c r="I1622" s="107">
        <v>0</v>
      </c>
      <c r="J1622" s="107">
        <f t="shared" si="25"/>
        <v>0.1</v>
      </c>
      <c r="K1622" s="107">
        <v>3991</v>
      </c>
      <c r="L1622" s="107">
        <v>1788</v>
      </c>
      <c r="M1622" s="107">
        <v>162</v>
      </c>
      <c r="N1622" s="107"/>
      <c r="O1622" s="107"/>
    </row>
    <row r="1623" spans="1:15" x14ac:dyDescent="0.15">
      <c r="A1623" s="107">
        <v>1657</v>
      </c>
      <c r="B1623" s="107" t="s">
        <v>261</v>
      </c>
      <c r="C1623" s="107" t="s">
        <v>274</v>
      </c>
      <c r="D1623" s="107">
        <v>10</v>
      </c>
      <c r="E1623" s="107" t="s">
        <v>193</v>
      </c>
      <c r="F1623" s="107" t="s">
        <v>617</v>
      </c>
      <c r="G1623" s="107">
        <v>1</v>
      </c>
      <c r="H1623" s="107">
        <v>0</v>
      </c>
      <c r="I1623" s="107">
        <v>0</v>
      </c>
      <c r="J1623" s="107">
        <f t="shared" si="25"/>
        <v>0.1</v>
      </c>
      <c r="K1623" s="107">
        <v>3992</v>
      </c>
      <c r="L1623" s="107">
        <v>1789</v>
      </c>
      <c r="M1623" s="107">
        <v>240</v>
      </c>
      <c r="N1623" s="107"/>
      <c r="O1623" s="107"/>
    </row>
    <row r="1624" spans="1:15" x14ac:dyDescent="0.15">
      <c r="A1624" s="107">
        <v>1662</v>
      </c>
      <c r="B1624" s="107" t="s">
        <v>261</v>
      </c>
      <c r="C1624" s="107" t="s">
        <v>274</v>
      </c>
      <c r="D1624" s="107">
        <v>10</v>
      </c>
      <c r="E1624" s="107" t="s">
        <v>193</v>
      </c>
      <c r="F1624" s="107" t="s">
        <v>617</v>
      </c>
      <c r="G1624" s="107">
        <v>0</v>
      </c>
      <c r="H1624" s="107">
        <v>10</v>
      </c>
      <c r="I1624" s="107">
        <v>0</v>
      </c>
      <c r="J1624" s="107">
        <f t="shared" si="25"/>
        <v>0.05</v>
      </c>
      <c r="K1624" s="107">
        <v>3997</v>
      </c>
      <c r="L1624" s="107">
        <v>1795</v>
      </c>
      <c r="M1624" s="107" t="s">
        <v>290</v>
      </c>
      <c r="N1624" s="107"/>
      <c r="O1624" s="107"/>
    </row>
    <row r="1625" spans="1:15" x14ac:dyDescent="0.15">
      <c r="A1625" s="107">
        <v>1663</v>
      </c>
      <c r="B1625" s="107" t="s">
        <v>236</v>
      </c>
      <c r="C1625" s="107" t="s">
        <v>274</v>
      </c>
      <c r="D1625" s="107">
        <v>90</v>
      </c>
      <c r="E1625" s="107" t="s">
        <v>193</v>
      </c>
      <c r="F1625" s="107" t="s">
        <v>617</v>
      </c>
      <c r="G1625" s="107">
        <v>4</v>
      </c>
      <c r="H1625" s="107">
        <v>10</v>
      </c>
      <c r="I1625" s="107">
        <v>0</v>
      </c>
      <c r="J1625" s="107">
        <f t="shared" si="25"/>
        <v>0.05</v>
      </c>
      <c r="K1625" s="107">
        <v>3998</v>
      </c>
      <c r="L1625" s="107">
        <v>1797</v>
      </c>
      <c r="M1625" s="107" t="s">
        <v>290</v>
      </c>
      <c r="N1625" s="107"/>
      <c r="O1625" s="107"/>
    </row>
    <row r="1626" spans="1:15" x14ac:dyDescent="0.15">
      <c r="A1626" s="107">
        <v>1665</v>
      </c>
      <c r="B1626" s="107" t="s">
        <v>244</v>
      </c>
      <c r="C1626" s="107" t="s">
        <v>274</v>
      </c>
      <c r="D1626" s="107">
        <v>160</v>
      </c>
      <c r="E1626" s="107" t="s">
        <v>193</v>
      </c>
      <c r="F1626" s="107" t="s">
        <v>617</v>
      </c>
      <c r="G1626" s="107">
        <v>8</v>
      </c>
      <c r="H1626" s="107">
        <v>0</v>
      </c>
      <c r="I1626" s="107">
        <v>0</v>
      </c>
      <c r="J1626" s="107">
        <f t="shared" si="25"/>
        <v>0.05</v>
      </c>
      <c r="K1626" s="107">
        <v>4000</v>
      </c>
      <c r="L1626" s="107">
        <v>1798</v>
      </c>
      <c r="M1626" s="107">
        <v>104</v>
      </c>
      <c r="N1626" s="107"/>
      <c r="O1626" s="107"/>
    </row>
    <row r="1627" spans="1:15" x14ac:dyDescent="0.15">
      <c r="A1627" s="107">
        <v>1668</v>
      </c>
      <c r="B1627" s="107" t="s">
        <v>197</v>
      </c>
      <c r="C1627" s="107" t="s">
        <v>274</v>
      </c>
      <c r="D1627" s="107">
        <v>144</v>
      </c>
      <c r="E1627" s="107" t="s">
        <v>193</v>
      </c>
      <c r="F1627" s="107" t="s">
        <v>617</v>
      </c>
      <c r="G1627" s="107">
        <v>7</v>
      </c>
      <c r="H1627" s="107">
        <v>4</v>
      </c>
      <c r="I1627" s="107">
        <v>0</v>
      </c>
      <c r="J1627" s="107">
        <f t="shared" si="25"/>
        <v>0.05</v>
      </c>
      <c r="K1627" s="107">
        <v>4003</v>
      </c>
      <c r="L1627" s="107">
        <v>1802</v>
      </c>
      <c r="M1627" s="107">
        <v>42</v>
      </c>
      <c r="N1627" s="107"/>
      <c r="O1627" s="107"/>
    </row>
    <row r="1628" spans="1:15" x14ac:dyDescent="0.15">
      <c r="A1628" s="107">
        <v>1669</v>
      </c>
      <c r="B1628" s="107" t="s">
        <v>196</v>
      </c>
      <c r="C1628" s="107" t="s">
        <v>274</v>
      </c>
      <c r="D1628" s="107">
        <v>173</v>
      </c>
      <c r="E1628" s="107" t="s">
        <v>193</v>
      </c>
      <c r="F1628" s="107" t="s">
        <v>617</v>
      </c>
      <c r="G1628" s="107">
        <v>16</v>
      </c>
      <c r="H1628" s="107">
        <v>6</v>
      </c>
      <c r="I1628" s="107">
        <v>0</v>
      </c>
      <c r="J1628" s="107">
        <f t="shared" si="25"/>
        <v>9.421965317919076E-2</v>
      </c>
      <c r="K1628" s="107">
        <v>4004</v>
      </c>
      <c r="L1628" s="107">
        <v>1805</v>
      </c>
      <c r="M1628" s="107">
        <v>570</v>
      </c>
      <c r="N1628" s="107"/>
      <c r="O1628" s="107"/>
    </row>
    <row r="1629" spans="1:15" x14ac:dyDescent="0.15">
      <c r="A1629" s="107">
        <v>1670</v>
      </c>
      <c r="B1629" s="107" t="s">
        <v>197</v>
      </c>
      <c r="C1629" s="107" t="s">
        <v>274</v>
      </c>
      <c r="D1629" s="107">
        <v>100</v>
      </c>
      <c r="E1629" s="107" t="s">
        <v>193</v>
      </c>
      <c r="F1629" s="107" t="s">
        <v>617</v>
      </c>
      <c r="G1629" s="107">
        <v>10</v>
      </c>
      <c r="H1629" s="107">
        <v>0</v>
      </c>
      <c r="I1629" s="107">
        <v>0</v>
      </c>
      <c r="J1629" s="107">
        <f t="shared" si="25"/>
        <v>0.1</v>
      </c>
      <c r="K1629" s="107">
        <v>4006</v>
      </c>
      <c r="L1629" s="107">
        <v>1808</v>
      </c>
      <c r="M1629" s="107">
        <v>635</v>
      </c>
      <c r="N1629" s="107"/>
      <c r="O1629" s="107"/>
    </row>
    <row r="1630" spans="1:15" x14ac:dyDescent="0.15">
      <c r="A1630" s="107">
        <v>1671</v>
      </c>
      <c r="B1630" s="107" t="s">
        <v>197</v>
      </c>
      <c r="C1630" s="107" t="s">
        <v>274</v>
      </c>
      <c r="D1630" s="107">
        <v>12</v>
      </c>
      <c r="E1630" s="107" t="s">
        <v>193</v>
      </c>
      <c r="F1630" s="107" t="s">
        <v>617</v>
      </c>
      <c r="G1630" s="107">
        <v>1</v>
      </c>
      <c r="H1630" s="107">
        <v>4</v>
      </c>
      <c r="I1630" s="107">
        <v>0</v>
      </c>
      <c r="J1630" s="107">
        <f t="shared" si="25"/>
        <v>9.9999999999999992E-2</v>
      </c>
      <c r="K1630" s="107">
        <v>4008</v>
      </c>
      <c r="L1630" s="107">
        <v>1810</v>
      </c>
      <c r="M1630" s="107">
        <v>410</v>
      </c>
      <c r="N1630" s="107"/>
      <c r="O1630" s="107"/>
    </row>
    <row r="1631" spans="1:15" x14ac:dyDescent="0.15">
      <c r="A1631" s="107">
        <v>1672</v>
      </c>
      <c r="B1631" s="107" t="s">
        <v>253</v>
      </c>
      <c r="C1631" s="107" t="s">
        <v>274</v>
      </c>
      <c r="D1631" s="107">
        <v>96</v>
      </c>
      <c r="E1631" s="107" t="s">
        <v>193</v>
      </c>
      <c r="F1631" s="107" t="s">
        <v>617</v>
      </c>
      <c r="G1631" s="107">
        <v>14</v>
      </c>
      <c r="H1631" s="107">
        <v>8</v>
      </c>
      <c r="I1631" s="107">
        <v>0</v>
      </c>
      <c r="J1631" s="107">
        <f t="shared" si="25"/>
        <v>0.15</v>
      </c>
      <c r="K1631" s="107">
        <v>4008</v>
      </c>
      <c r="L1631" s="107">
        <v>1810</v>
      </c>
      <c r="M1631" s="107">
        <v>537</v>
      </c>
      <c r="N1631" s="107"/>
      <c r="O1631" s="107"/>
    </row>
    <row r="1632" spans="1:15" x14ac:dyDescent="0.15">
      <c r="A1632" s="107">
        <v>1673</v>
      </c>
      <c r="B1632" s="107" t="s">
        <v>197</v>
      </c>
      <c r="C1632" s="107" t="s">
        <v>274</v>
      </c>
      <c r="D1632" s="107">
        <v>140</v>
      </c>
      <c r="E1632" s="107" t="s">
        <v>193</v>
      </c>
      <c r="F1632" s="107" t="s">
        <v>617</v>
      </c>
      <c r="G1632" s="107">
        <v>10</v>
      </c>
      <c r="H1632" s="107">
        <v>10</v>
      </c>
      <c r="I1632" s="107">
        <v>0</v>
      </c>
      <c r="J1632" s="107">
        <f t="shared" si="25"/>
        <v>7.4999999999999997E-2</v>
      </c>
      <c r="K1632" s="107">
        <v>4010</v>
      </c>
      <c r="L1632" s="107">
        <v>1812</v>
      </c>
      <c r="M1632" s="107">
        <v>548</v>
      </c>
      <c r="N1632" s="107"/>
      <c r="O1632" s="107"/>
    </row>
    <row r="1633" spans="1:15" x14ac:dyDescent="0.15">
      <c r="A1633" s="107">
        <v>1655</v>
      </c>
      <c r="B1633" s="107" t="s">
        <v>226</v>
      </c>
      <c r="C1633" s="107" t="s">
        <v>274</v>
      </c>
      <c r="D1633" s="107">
        <v>0.5</v>
      </c>
      <c r="E1633" s="107"/>
      <c r="F1633" s="107" t="s">
        <v>618</v>
      </c>
      <c r="G1633" s="107">
        <v>3</v>
      </c>
      <c r="H1633" s="107">
        <v>5</v>
      </c>
      <c r="I1633" s="107">
        <v>0</v>
      </c>
      <c r="J1633" s="107">
        <f t="shared" si="25"/>
        <v>6.5</v>
      </c>
      <c r="K1633" s="107">
        <v>3990</v>
      </c>
      <c r="L1633" s="107">
        <v>1788</v>
      </c>
      <c r="M1633" s="107">
        <v>208</v>
      </c>
      <c r="N1633" s="107" t="s">
        <v>276</v>
      </c>
      <c r="O1633" s="107" t="s">
        <v>277</v>
      </c>
    </row>
    <row r="1634" spans="1:15" x14ac:dyDescent="0.15">
      <c r="A1634" s="107">
        <v>1655</v>
      </c>
      <c r="B1634" s="107" t="s">
        <v>236</v>
      </c>
      <c r="C1634" s="107" t="s">
        <v>274</v>
      </c>
      <c r="D1634" s="107">
        <v>8056</v>
      </c>
      <c r="E1634" s="107" t="s">
        <v>193</v>
      </c>
      <c r="F1634" s="107" t="s">
        <v>216</v>
      </c>
      <c r="G1634" s="107">
        <v>205</v>
      </c>
      <c r="H1634" s="107">
        <v>8</v>
      </c>
      <c r="I1634" s="107">
        <v>9</v>
      </c>
      <c r="J1634" s="107">
        <f t="shared" si="25"/>
        <v>2.5500015516385303E-2</v>
      </c>
      <c r="K1634" s="107">
        <v>3990</v>
      </c>
      <c r="L1634" s="107">
        <v>1788</v>
      </c>
      <c r="M1634" s="107">
        <v>204</v>
      </c>
      <c r="N1634" s="107" t="s">
        <v>286</v>
      </c>
      <c r="O1634" s="107"/>
    </row>
    <row r="1635" spans="1:15" x14ac:dyDescent="0.15">
      <c r="A1635" s="107">
        <v>1655</v>
      </c>
      <c r="B1635" s="107" t="s">
        <v>196</v>
      </c>
      <c r="C1635" s="107" t="s">
        <v>274</v>
      </c>
      <c r="D1635" s="107">
        <v>1</v>
      </c>
      <c r="E1635" s="107" t="s">
        <v>333</v>
      </c>
      <c r="F1635" s="107" t="s">
        <v>216</v>
      </c>
      <c r="G1635" s="107">
        <v>76</v>
      </c>
      <c r="H1635" s="107">
        <v>10</v>
      </c>
      <c r="I1635" s="107">
        <v>0</v>
      </c>
      <c r="J1635" s="107">
        <f t="shared" si="25"/>
        <v>76.5</v>
      </c>
      <c r="K1635" s="107">
        <v>3990</v>
      </c>
      <c r="L1635" s="107">
        <v>1788</v>
      </c>
      <c r="M1635" s="107">
        <v>206</v>
      </c>
      <c r="N1635" s="107" t="s">
        <v>288</v>
      </c>
      <c r="O1635" s="107" t="s">
        <v>277</v>
      </c>
    </row>
    <row r="1636" spans="1:15" x14ac:dyDescent="0.15">
      <c r="A1636" s="107">
        <v>1655</v>
      </c>
      <c r="B1636" s="107" t="s">
        <v>197</v>
      </c>
      <c r="C1636" s="107" t="s">
        <v>274</v>
      </c>
      <c r="D1636" s="107">
        <v>600</v>
      </c>
      <c r="E1636" s="107" t="s">
        <v>193</v>
      </c>
      <c r="F1636" s="107" t="s">
        <v>216</v>
      </c>
      <c r="G1636" s="107">
        <v>15</v>
      </c>
      <c r="H1636" s="107">
        <v>6</v>
      </c>
      <c r="I1636" s="107">
        <v>0</v>
      </c>
      <c r="J1636" s="107">
        <f t="shared" si="25"/>
        <v>2.5500000000000002E-2</v>
      </c>
      <c r="K1636" s="107">
        <v>3990</v>
      </c>
      <c r="L1636" s="107">
        <v>1788</v>
      </c>
      <c r="M1636" s="107">
        <v>209</v>
      </c>
      <c r="N1636" s="107" t="s">
        <v>281</v>
      </c>
      <c r="O1636" s="107" t="s">
        <v>282</v>
      </c>
    </row>
    <row r="1637" spans="1:15" x14ac:dyDescent="0.15">
      <c r="A1637" s="107">
        <v>1655</v>
      </c>
      <c r="B1637" s="107" t="s">
        <v>192</v>
      </c>
      <c r="C1637" s="107" t="s">
        <v>274</v>
      </c>
      <c r="D1637" s="107">
        <v>1</v>
      </c>
      <c r="E1637" s="107" t="s">
        <v>333</v>
      </c>
      <c r="F1637" s="107" t="s">
        <v>216</v>
      </c>
      <c r="G1637" s="107">
        <v>76</v>
      </c>
      <c r="H1637" s="107">
        <v>10</v>
      </c>
      <c r="I1637" s="107">
        <v>0</v>
      </c>
      <c r="J1637" s="107">
        <f t="shared" si="25"/>
        <v>76.5</v>
      </c>
      <c r="K1637" s="107">
        <v>3990</v>
      </c>
      <c r="L1637" s="107">
        <v>1788</v>
      </c>
      <c r="M1637" s="107">
        <v>227</v>
      </c>
      <c r="N1637" s="107" t="s">
        <v>287</v>
      </c>
      <c r="O1637" s="107" t="s">
        <v>507</v>
      </c>
    </row>
    <row r="1638" spans="1:15" x14ac:dyDescent="0.15">
      <c r="A1638" s="107">
        <v>1655</v>
      </c>
      <c r="B1638" s="107" t="s">
        <v>186</v>
      </c>
      <c r="C1638" s="107" t="s">
        <v>274</v>
      </c>
      <c r="D1638" s="107">
        <v>500</v>
      </c>
      <c r="E1638" s="107" t="s">
        <v>193</v>
      </c>
      <c r="F1638" s="107" t="s">
        <v>216</v>
      </c>
      <c r="G1638" s="107">
        <v>12</v>
      </c>
      <c r="H1638" s="107">
        <v>15</v>
      </c>
      <c r="I1638" s="107">
        <v>0</v>
      </c>
      <c r="J1638" s="107">
        <f t="shared" si="25"/>
        <v>2.5499999999999998E-2</v>
      </c>
      <c r="K1638" s="107">
        <v>3990</v>
      </c>
      <c r="L1638" s="107">
        <v>1788</v>
      </c>
      <c r="M1638" s="107">
        <v>228</v>
      </c>
      <c r="N1638" s="107" t="s">
        <v>287</v>
      </c>
      <c r="O1638" s="107" t="s">
        <v>397</v>
      </c>
    </row>
    <row r="1639" spans="1:15" x14ac:dyDescent="0.15">
      <c r="A1639" s="107">
        <v>1655</v>
      </c>
      <c r="B1639" s="107" t="s">
        <v>186</v>
      </c>
      <c r="C1639" s="107" t="s">
        <v>274</v>
      </c>
      <c r="D1639" s="107">
        <v>1290</v>
      </c>
      <c r="E1639" s="107" t="s">
        <v>193</v>
      </c>
      <c r="F1639" s="107" t="s">
        <v>216</v>
      </c>
      <c r="G1639" s="107">
        <v>26</v>
      </c>
      <c r="H1639" s="107">
        <v>0</v>
      </c>
      <c r="I1639" s="107">
        <v>0</v>
      </c>
      <c r="J1639" s="107">
        <f t="shared" si="25"/>
        <v>2.0155038759689922E-2</v>
      </c>
      <c r="K1639" s="107">
        <v>3990</v>
      </c>
      <c r="L1639" s="107">
        <v>1788</v>
      </c>
      <c r="M1639" s="107">
        <v>230</v>
      </c>
      <c r="N1639" s="107" t="s">
        <v>287</v>
      </c>
      <c r="O1639" s="107" t="s">
        <v>548</v>
      </c>
    </row>
    <row r="1640" spans="1:15" x14ac:dyDescent="0.15">
      <c r="A1640" s="107">
        <v>1655</v>
      </c>
      <c r="B1640" s="107" t="s">
        <v>197</v>
      </c>
      <c r="C1640" s="107" t="s">
        <v>274</v>
      </c>
      <c r="D1640" s="107">
        <v>74701</v>
      </c>
      <c r="E1640" s="107" t="s">
        <v>193</v>
      </c>
      <c r="F1640" s="107" t="s">
        <v>216</v>
      </c>
      <c r="G1640" s="107">
        <v>1432</v>
      </c>
      <c r="H1640" s="107">
        <v>16</v>
      </c>
      <c r="I1640" s="107">
        <v>12</v>
      </c>
      <c r="J1640" s="107">
        <f t="shared" si="25"/>
        <v>1.9180968126263367E-2</v>
      </c>
      <c r="K1640" s="107">
        <v>3990</v>
      </c>
      <c r="L1640" s="107">
        <v>1788</v>
      </c>
      <c r="M1640" s="107">
        <v>149</v>
      </c>
      <c r="N1640" s="107"/>
      <c r="O1640" s="107"/>
    </row>
    <row r="1641" spans="1:15" x14ac:dyDescent="0.15">
      <c r="A1641" s="107">
        <v>1656</v>
      </c>
      <c r="B1641" s="107" t="s">
        <v>283</v>
      </c>
      <c r="C1641" s="107" t="s">
        <v>274</v>
      </c>
      <c r="D1641" s="107">
        <v>65845</v>
      </c>
      <c r="E1641" s="107" t="s">
        <v>193</v>
      </c>
      <c r="F1641" s="107" t="s">
        <v>216</v>
      </c>
      <c r="G1641" s="107">
        <v>1399</v>
      </c>
      <c r="H1641" s="107">
        <v>11</v>
      </c>
      <c r="I1641" s="107">
        <v>11</v>
      </c>
      <c r="J1641" s="107">
        <f t="shared" si="25"/>
        <v>2.1255742653200696E-2</v>
      </c>
      <c r="K1641" s="107">
        <v>3991</v>
      </c>
      <c r="L1641" s="107">
        <v>1788</v>
      </c>
      <c r="M1641" s="107">
        <v>150</v>
      </c>
      <c r="N1641" s="107" t="s">
        <v>284</v>
      </c>
      <c r="O1641" s="107"/>
    </row>
    <row r="1642" spans="1:15" x14ac:dyDescent="0.15">
      <c r="A1642" s="107">
        <v>1656</v>
      </c>
      <c r="B1642" s="107" t="s">
        <v>197</v>
      </c>
      <c r="C1642" s="107" t="s">
        <v>274</v>
      </c>
      <c r="D1642" s="107">
        <v>65845</v>
      </c>
      <c r="E1642" s="107" t="s">
        <v>193</v>
      </c>
      <c r="F1642" s="107" t="s">
        <v>216</v>
      </c>
      <c r="G1642" s="107">
        <v>1399</v>
      </c>
      <c r="H1642" s="107">
        <v>11</v>
      </c>
      <c r="I1642" s="107">
        <v>11</v>
      </c>
      <c r="J1642" s="107">
        <f t="shared" si="25"/>
        <v>2.1255742653200696E-2</v>
      </c>
      <c r="K1642" s="107">
        <v>3991</v>
      </c>
      <c r="L1642" s="107">
        <v>1788</v>
      </c>
      <c r="M1642" s="107">
        <v>149</v>
      </c>
      <c r="N1642" s="107"/>
      <c r="O1642" s="107"/>
    </row>
    <row r="1643" spans="1:15" x14ac:dyDescent="0.15">
      <c r="A1643" s="107">
        <v>1657</v>
      </c>
      <c r="B1643" s="107" t="s">
        <v>197</v>
      </c>
      <c r="C1643" s="107" t="s">
        <v>274</v>
      </c>
      <c r="D1643" s="107">
        <v>31457</v>
      </c>
      <c r="E1643" s="107" t="s">
        <v>193</v>
      </c>
      <c r="F1643" s="107" t="s">
        <v>216</v>
      </c>
      <c r="G1643" s="107">
        <v>718</v>
      </c>
      <c r="H1643" s="107">
        <v>17</v>
      </c>
      <c r="I1643" s="107">
        <v>9</v>
      </c>
      <c r="J1643" s="107">
        <f t="shared" si="25"/>
        <v>2.2852723559144229E-2</v>
      </c>
      <c r="K1643" s="107">
        <v>3992</v>
      </c>
      <c r="L1643" s="107">
        <v>1789</v>
      </c>
      <c r="M1643" s="107">
        <v>228</v>
      </c>
      <c r="N1643" s="107"/>
      <c r="O1643" s="107"/>
    </row>
    <row r="1644" spans="1:15" x14ac:dyDescent="0.15">
      <c r="A1644" s="107">
        <v>1658</v>
      </c>
      <c r="B1644" s="107" t="s">
        <v>197</v>
      </c>
      <c r="C1644" s="107" t="s">
        <v>274</v>
      </c>
      <c r="D1644" s="107">
        <v>25694</v>
      </c>
      <c r="E1644" s="107" t="s">
        <v>193</v>
      </c>
      <c r="F1644" s="107" t="s">
        <v>216</v>
      </c>
      <c r="G1644" s="107">
        <v>641</v>
      </c>
      <c r="H1644" s="107">
        <v>7</v>
      </c>
      <c r="I1644" s="107">
        <v>0</v>
      </c>
      <c r="J1644" s="107">
        <f t="shared" si="25"/>
        <v>2.4961080407877326E-2</v>
      </c>
      <c r="K1644" s="107">
        <v>3993</v>
      </c>
      <c r="L1644" s="107">
        <v>1791</v>
      </c>
      <c r="M1644" s="107">
        <v>269</v>
      </c>
      <c r="N1644" s="107"/>
      <c r="O1644" s="107"/>
    </row>
    <row r="1645" spans="1:15" x14ac:dyDescent="0.15">
      <c r="A1645" s="107">
        <v>1659</v>
      </c>
      <c r="B1645" s="107" t="s">
        <v>197</v>
      </c>
      <c r="C1645" s="107" t="s">
        <v>274</v>
      </c>
      <c r="D1645" s="107">
        <v>17574</v>
      </c>
      <c r="E1645" s="107" t="s">
        <v>193</v>
      </c>
      <c r="F1645" s="107" t="s">
        <v>216</v>
      </c>
      <c r="G1645" s="107">
        <v>390</v>
      </c>
      <c r="H1645" s="107">
        <v>2</v>
      </c>
      <c r="I1645" s="107">
        <v>4</v>
      </c>
      <c r="J1645" s="107">
        <f t="shared" si="25"/>
        <v>2.2198275862068965E-2</v>
      </c>
      <c r="K1645" s="107">
        <v>3994</v>
      </c>
      <c r="L1645" s="107">
        <v>1792</v>
      </c>
      <c r="M1645" s="107">
        <v>169</v>
      </c>
      <c r="N1645" s="107"/>
      <c r="O1645" s="107"/>
    </row>
    <row r="1646" spans="1:15" x14ac:dyDescent="0.15">
      <c r="A1646" s="107">
        <v>1660</v>
      </c>
      <c r="B1646" s="107" t="s">
        <v>197</v>
      </c>
      <c r="C1646" s="107" t="s">
        <v>274</v>
      </c>
      <c r="D1646" s="107">
        <v>250</v>
      </c>
      <c r="E1646" s="107" t="s">
        <v>193</v>
      </c>
      <c r="F1646" s="107" t="s">
        <v>216</v>
      </c>
      <c r="G1646" s="107">
        <v>6</v>
      </c>
      <c r="H1646" s="107">
        <v>5</v>
      </c>
      <c r="I1646" s="107">
        <v>0</v>
      </c>
      <c r="J1646" s="107">
        <f t="shared" si="25"/>
        <v>2.5000000000000001E-2</v>
      </c>
      <c r="K1646" s="107">
        <v>3995</v>
      </c>
      <c r="L1646" s="107">
        <v>1793</v>
      </c>
      <c r="M1646" s="107">
        <v>198</v>
      </c>
      <c r="N1646" s="107"/>
      <c r="O1646" s="107"/>
    </row>
    <row r="1647" spans="1:15" x14ac:dyDescent="0.15">
      <c r="A1647" s="107">
        <v>1661</v>
      </c>
      <c r="B1647" s="107" t="s">
        <v>197</v>
      </c>
      <c r="C1647" s="107" t="s">
        <v>274</v>
      </c>
      <c r="D1647" s="107">
        <v>65337</v>
      </c>
      <c r="E1647" s="107" t="s">
        <v>193</v>
      </c>
      <c r="F1647" s="107" t="s">
        <v>216</v>
      </c>
      <c r="G1647" s="107">
        <v>1633</v>
      </c>
      <c r="H1647" s="107">
        <v>8</v>
      </c>
      <c r="I1647" s="107">
        <v>8</v>
      </c>
      <c r="J1647" s="107">
        <f t="shared" si="25"/>
        <v>2.5000000000000001E-2</v>
      </c>
      <c r="K1647" s="107">
        <v>3996</v>
      </c>
      <c r="L1647" s="107">
        <v>1794</v>
      </c>
      <c r="M1647" s="107" t="s">
        <v>290</v>
      </c>
      <c r="N1647" s="107"/>
      <c r="O1647" s="107"/>
    </row>
    <row r="1648" spans="1:15" x14ac:dyDescent="0.15">
      <c r="A1648" s="107">
        <v>1662</v>
      </c>
      <c r="B1648" s="107" t="s">
        <v>253</v>
      </c>
      <c r="C1648" s="107" t="s">
        <v>274</v>
      </c>
      <c r="D1648" s="107">
        <v>3046</v>
      </c>
      <c r="E1648" s="107" t="s">
        <v>193</v>
      </c>
      <c r="F1648" s="107" t="s">
        <v>216</v>
      </c>
      <c r="G1648" s="107">
        <v>114</v>
      </c>
      <c r="H1648" s="107">
        <v>4</v>
      </c>
      <c r="I1648" s="107">
        <v>8</v>
      </c>
      <c r="J1648" s="107">
        <f t="shared" ref="J1648:J1711" si="26">(G1648+H1648/20+I1648/320)/D1648</f>
        <v>3.7500000000000006E-2</v>
      </c>
      <c r="K1648" s="107">
        <v>3997</v>
      </c>
      <c r="L1648" s="107">
        <v>1795</v>
      </c>
      <c r="M1648" s="107" t="s">
        <v>290</v>
      </c>
      <c r="N1648" s="107"/>
      <c r="O1648" s="107"/>
    </row>
    <row r="1649" spans="1:14" x14ac:dyDescent="0.15">
      <c r="A1649" s="107">
        <v>1663</v>
      </c>
      <c r="B1649" s="107" t="s">
        <v>197</v>
      </c>
      <c r="C1649" s="107" t="s">
        <v>274</v>
      </c>
      <c r="D1649" s="107">
        <v>17</v>
      </c>
      <c r="E1649" s="107" t="s">
        <v>333</v>
      </c>
      <c r="F1649" s="107" t="s">
        <v>216</v>
      </c>
      <c r="G1649" s="107">
        <v>1530</v>
      </c>
      <c r="H1649" s="107">
        <v>0</v>
      </c>
      <c r="I1649" s="107">
        <v>0</v>
      </c>
      <c r="J1649" s="107">
        <f t="shared" si="26"/>
        <v>90</v>
      </c>
      <c r="K1649" s="107">
        <v>3998</v>
      </c>
      <c r="L1649" s="107">
        <v>1797</v>
      </c>
      <c r="M1649" s="107" t="s">
        <v>290</v>
      </c>
      <c r="N1649" s="107"/>
    </row>
    <row r="1650" spans="1:14" x14ac:dyDescent="0.15">
      <c r="A1650" s="107">
        <v>1665</v>
      </c>
      <c r="B1650" s="107" t="s">
        <v>197</v>
      </c>
      <c r="C1650" s="107" t="s">
        <v>274</v>
      </c>
      <c r="D1650" s="107">
        <v>7.666666666666667</v>
      </c>
      <c r="E1650" s="107" t="s">
        <v>333</v>
      </c>
      <c r="F1650" s="107" t="s">
        <v>216</v>
      </c>
      <c r="G1650" s="107">
        <v>460</v>
      </c>
      <c r="H1650" s="107">
        <v>0</v>
      </c>
      <c r="I1650" s="107">
        <v>0</v>
      </c>
      <c r="J1650" s="107">
        <f t="shared" si="26"/>
        <v>60</v>
      </c>
      <c r="K1650" s="107">
        <v>4000</v>
      </c>
      <c r="L1650" s="107">
        <v>1798</v>
      </c>
      <c r="M1650" s="107">
        <v>63</v>
      </c>
      <c r="N1650" s="107"/>
    </row>
    <row r="1651" spans="1:14" x14ac:dyDescent="0.15">
      <c r="A1651" s="107">
        <v>1666</v>
      </c>
      <c r="B1651" s="107" t="s">
        <v>197</v>
      </c>
      <c r="C1651" s="107" t="s">
        <v>274</v>
      </c>
      <c r="D1651" s="107">
        <v>25.75</v>
      </c>
      <c r="E1651" s="107" t="s">
        <v>333</v>
      </c>
      <c r="F1651" s="107" t="s">
        <v>216</v>
      </c>
      <c r="G1651" s="107">
        <v>1545</v>
      </c>
      <c r="H1651" s="107">
        <v>0</v>
      </c>
      <c r="I1651" s="107">
        <v>0</v>
      </c>
      <c r="J1651" s="107">
        <f t="shared" si="26"/>
        <v>60</v>
      </c>
      <c r="K1651" s="107">
        <v>4001</v>
      </c>
      <c r="L1651" s="107">
        <v>1800</v>
      </c>
      <c r="M1651" s="107">
        <v>40</v>
      </c>
      <c r="N1651" s="107"/>
    </row>
    <row r="1652" spans="1:14" x14ac:dyDescent="0.15">
      <c r="A1652" s="107">
        <v>1667</v>
      </c>
      <c r="B1652" s="107" t="s">
        <v>197</v>
      </c>
      <c r="C1652" s="107" t="s">
        <v>274</v>
      </c>
      <c r="D1652" s="107">
        <v>3000</v>
      </c>
      <c r="E1652" s="107" t="s">
        <v>193</v>
      </c>
      <c r="F1652" s="107" t="s">
        <v>216</v>
      </c>
      <c r="G1652" s="107">
        <v>60</v>
      </c>
      <c r="H1652" s="107">
        <v>0</v>
      </c>
      <c r="I1652" s="107">
        <v>0</v>
      </c>
      <c r="J1652" s="107">
        <f t="shared" si="26"/>
        <v>0.02</v>
      </c>
      <c r="K1652" s="107">
        <v>4002</v>
      </c>
      <c r="L1652" s="107">
        <v>1802</v>
      </c>
      <c r="M1652" s="107">
        <v>763</v>
      </c>
      <c r="N1652" s="107"/>
    </row>
    <row r="1653" spans="1:14" x14ac:dyDescent="0.15">
      <c r="A1653" s="107">
        <v>1668</v>
      </c>
      <c r="B1653" s="107" t="s">
        <v>197</v>
      </c>
      <c r="C1653" s="107" t="s">
        <v>274</v>
      </c>
      <c r="D1653" s="107">
        <v>135</v>
      </c>
      <c r="E1653" s="107" t="s">
        <v>340</v>
      </c>
      <c r="F1653" s="107" t="s">
        <v>216</v>
      </c>
      <c r="G1653" s="107">
        <v>10486</v>
      </c>
      <c r="H1653" s="107">
        <v>14</v>
      </c>
      <c r="I1653" s="107">
        <v>0</v>
      </c>
      <c r="J1653" s="107">
        <f t="shared" si="26"/>
        <v>77.679259259259268</v>
      </c>
      <c r="K1653" s="107">
        <v>4003</v>
      </c>
      <c r="L1653" s="107">
        <v>1802</v>
      </c>
      <c r="M1653" s="107">
        <v>30</v>
      </c>
      <c r="N1653" s="107"/>
    </row>
    <row r="1654" spans="1:14" x14ac:dyDescent="0.15">
      <c r="A1654" s="107">
        <v>1669</v>
      </c>
      <c r="B1654" s="107" t="s">
        <v>197</v>
      </c>
      <c r="C1654" s="107" t="s">
        <v>274</v>
      </c>
      <c r="D1654" s="107">
        <v>164</v>
      </c>
      <c r="E1654" s="107" t="s">
        <v>333</v>
      </c>
      <c r="F1654" s="107" t="s">
        <v>216</v>
      </c>
      <c r="G1654" s="107">
        <v>10520</v>
      </c>
      <c r="H1654" s="107">
        <v>8</v>
      </c>
      <c r="I1654" s="107">
        <v>2</v>
      </c>
      <c r="J1654" s="107">
        <f t="shared" si="26"/>
        <v>64.148818597560975</v>
      </c>
      <c r="K1654" s="107">
        <v>4004</v>
      </c>
      <c r="L1654" s="107">
        <v>1805</v>
      </c>
      <c r="M1654" s="107">
        <v>558</v>
      </c>
      <c r="N1654" s="107"/>
    </row>
    <row r="1655" spans="1:14" x14ac:dyDescent="0.15">
      <c r="A1655" s="107">
        <v>1670</v>
      </c>
      <c r="B1655" s="107" t="s">
        <v>197</v>
      </c>
      <c r="C1655" s="107" t="s">
        <v>274</v>
      </c>
      <c r="D1655" s="107">
        <v>1</v>
      </c>
      <c r="E1655" s="107" t="s">
        <v>333</v>
      </c>
      <c r="F1655" s="107" t="s">
        <v>216</v>
      </c>
      <c r="G1655" s="107">
        <v>150</v>
      </c>
      <c r="H1655" s="107">
        <v>0</v>
      </c>
      <c r="I1655" s="107">
        <v>0</v>
      </c>
      <c r="J1655" s="107">
        <f t="shared" si="26"/>
        <v>150</v>
      </c>
      <c r="K1655" s="107">
        <v>4006</v>
      </c>
      <c r="L1655" s="107">
        <v>1808</v>
      </c>
      <c r="M1655" s="107">
        <v>635</v>
      </c>
      <c r="N1655" s="107"/>
    </row>
    <row r="1656" spans="1:14" x14ac:dyDescent="0.15">
      <c r="A1656" s="107">
        <v>1671</v>
      </c>
      <c r="B1656" s="107" t="s">
        <v>197</v>
      </c>
      <c r="C1656" s="107" t="s">
        <v>274</v>
      </c>
      <c r="D1656" s="107">
        <v>20</v>
      </c>
      <c r="E1656" s="107" t="s">
        <v>193</v>
      </c>
      <c r="F1656" s="107" t="s">
        <v>216</v>
      </c>
      <c r="G1656" s="107">
        <v>0</v>
      </c>
      <c r="H1656" s="107">
        <v>10</v>
      </c>
      <c r="I1656" s="107">
        <v>0</v>
      </c>
      <c r="J1656" s="107">
        <f t="shared" si="26"/>
        <v>2.5000000000000001E-2</v>
      </c>
      <c r="K1656" s="107">
        <v>4008</v>
      </c>
      <c r="L1656" s="107">
        <v>1810</v>
      </c>
      <c r="M1656" s="107">
        <v>410</v>
      </c>
      <c r="N1656" s="107"/>
    </row>
    <row r="1657" spans="1:14" x14ac:dyDescent="0.15">
      <c r="A1657" s="107">
        <v>1672</v>
      </c>
      <c r="B1657" s="107" t="s">
        <v>253</v>
      </c>
      <c r="C1657" s="107" t="s">
        <v>274</v>
      </c>
      <c r="D1657" s="107">
        <v>10860</v>
      </c>
      <c r="E1657" s="107" t="s">
        <v>193</v>
      </c>
      <c r="F1657" s="107" t="s">
        <v>216</v>
      </c>
      <c r="G1657" s="107">
        <v>543</v>
      </c>
      <c r="H1657" s="107">
        <v>0</v>
      </c>
      <c r="I1657" s="107">
        <v>0</v>
      </c>
      <c r="J1657" s="107">
        <f t="shared" si="26"/>
        <v>0.05</v>
      </c>
      <c r="K1657" s="107">
        <v>4008</v>
      </c>
      <c r="L1657" s="107">
        <v>1810</v>
      </c>
      <c r="M1657" s="107">
        <v>537</v>
      </c>
      <c r="N1657" s="107"/>
    </row>
    <row r="1658" spans="1:14" x14ac:dyDescent="0.15">
      <c r="A1658" s="107">
        <v>1673</v>
      </c>
      <c r="B1658" s="107" t="s">
        <v>197</v>
      </c>
      <c r="C1658" s="107" t="s">
        <v>274</v>
      </c>
      <c r="D1658" s="107">
        <v>26566</v>
      </c>
      <c r="E1658" s="107" t="s">
        <v>193</v>
      </c>
      <c r="F1658" s="107" t="s">
        <v>216</v>
      </c>
      <c r="G1658" s="107">
        <v>664</v>
      </c>
      <c r="H1658" s="107">
        <v>3</v>
      </c>
      <c r="I1658" s="107">
        <v>0</v>
      </c>
      <c r="J1658" s="107">
        <f t="shared" si="26"/>
        <v>2.4999999999999998E-2</v>
      </c>
      <c r="K1658" s="107">
        <v>4010</v>
      </c>
      <c r="L1658" s="107">
        <v>1812</v>
      </c>
      <c r="M1658" s="107">
        <v>548</v>
      </c>
      <c r="N1658" s="107"/>
    </row>
    <row r="1659" spans="1:14" x14ac:dyDescent="0.15">
      <c r="A1659" s="107">
        <v>1674</v>
      </c>
      <c r="B1659" s="107" t="s">
        <v>197</v>
      </c>
      <c r="C1659" s="107" t="s">
        <v>274</v>
      </c>
      <c r="D1659" s="107">
        <v>28842</v>
      </c>
      <c r="E1659" s="107" t="s">
        <v>193</v>
      </c>
      <c r="F1659" s="107" t="s">
        <v>216</v>
      </c>
      <c r="G1659" s="107">
        <v>721</v>
      </c>
      <c r="H1659" s="107">
        <v>1</v>
      </c>
      <c r="I1659" s="107">
        <v>0</v>
      </c>
      <c r="J1659" s="107">
        <f t="shared" si="26"/>
        <v>2.4999999999999998E-2</v>
      </c>
      <c r="K1659" s="107">
        <v>4011</v>
      </c>
      <c r="L1659" s="107">
        <v>1814</v>
      </c>
      <c r="M1659" s="107">
        <v>594</v>
      </c>
      <c r="N1659" s="107" t="s">
        <v>294</v>
      </c>
    </row>
    <row r="1660" spans="1:14" x14ac:dyDescent="0.15">
      <c r="A1660" s="107">
        <v>1674</v>
      </c>
      <c r="B1660" s="107" t="s">
        <v>197</v>
      </c>
      <c r="C1660" s="107" t="s">
        <v>274</v>
      </c>
      <c r="D1660" s="107">
        <v>1448</v>
      </c>
      <c r="E1660" s="107" t="s">
        <v>193</v>
      </c>
      <c r="F1660" s="107" t="s">
        <v>216</v>
      </c>
      <c r="G1660" s="107">
        <v>36</v>
      </c>
      <c r="H1660" s="107">
        <v>4</v>
      </c>
      <c r="I1660" s="107">
        <v>0</v>
      </c>
      <c r="J1660" s="107">
        <f t="shared" si="26"/>
        <v>2.5000000000000001E-2</v>
      </c>
      <c r="K1660" s="107">
        <v>4011</v>
      </c>
      <c r="L1660" s="107">
        <v>1814</v>
      </c>
      <c r="M1660" s="107">
        <v>598</v>
      </c>
      <c r="N1660" s="107" t="s">
        <v>294</v>
      </c>
    </row>
    <row r="1661" spans="1:14" x14ac:dyDescent="0.15">
      <c r="A1661" s="107">
        <v>1676</v>
      </c>
      <c r="B1661" s="107" t="s">
        <v>197</v>
      </c>
      <c r="C1661" s="107" t="s">
        <v>274</v>
      </c>
      <c r="D1661" s="107">
        <v>26045</v>
      </c>
      <c r="E1661" s="107" t="s">
        <v>188</v>
      </c>
      <c r="F1661" s="107" t="s">
        <v>216</v>
      </c>
      <c r="G1661" s="107">
        <v>651</v>
      </c>
      <c r="H1661" s="107">
        <v>2</v>
      </c>
      <c r="I1661" s="107">
        <v>8</v>
      </c>
      <c r="J1661" s="107">
        <f t="shared" si="26"/>
        <v>2.5000000000000001E-2</v>
      </c>
      <c r="K1661" s="107">
        <v>4012</v>
      </c>
      <c r="L1661" s="107">
        <v>1814</v>
      </c>
      <c r="M1661" s="107">
        <v>426</v>
      </c>
      <c r="N1661" s="107"/>
    </row>
    <row r="1662" spans="1:14" x14ac:dyDescent="0.15">
      <c r="A1662" s="107">
        <v>1677</v>
      </c>
      <c r="B1662" s="107" t="s">
        <v>197</v>
      </c>
      <c r="C1662" s="107" t="s">
        <v>274</v>
      </c>
      <c r="D1662" s="107">
        <v>3</v>
      </c>
      <c r="E1662" s="107" t="s">
        <v>340</v>
      </c>
      <c r="F1662" s="107" t="s">
        <v>216</v>
      </c>
      <c r="G1662" s="107">
        <v>270</v>
      </c>
      <c r="H1662" s="107">
        <v>0</v>
      </c>
      <c r="I1662" s="107">
        <v>0</v>
      </c>
      <c r="J1662" s="107">
        <f t="shared" si="26"/>
        <v>90</v>
      </c>
      <c r="K1662" s="107">
        <v>4013</v>
      </c>
      <c r="L1662" s="107">
        <v>1816</v>
      </c>
      <c r="M1662" s="107">
        <v>742</v>
      </c>
      <c r="N1662" s="107"/>
    </row>
    <row r="1663" spans="1:14" x14ac:dyDescent="0.15">
      <c r="A1663" s="107">
        <v>1678</v>
      </c>
      <c r="B1663" s="107" t="s">
        <v>197</v>
      </c>
      <c r="C1663" s="107" t="s">
        <v>295</v>
      </c>
      <c r="D1663" s="107">
        <v>2730</v>
      </c>
      <c r="E1663" s="107" t="s">
        <v>193</v>
      </c>
      <c r="F1663" s="107" t="s">
        <v>216</v>
      </c>
      <c r="G1663" s="107">
        <v>56</v>
      </c>
      <c r="H1663" s="107">
        <v>8</v>
      </c>
      <c r="I1663" s="107">
        <v>8</v>
      </c>
      <c r="J1663" s="107">
        <f t="shared" si="26"/>
        <v>2.0668498168498167E-2</v>
      </c>
      <c r="K1663" s="107">
        <v>4014</v>
      </c>
      <c r="L1663" s="107">
        <v>4903</v>
      </c>
      <c r="M1663" s="107">
        <v>666</v>
      </c>
      <c r="N1663" s="107"/>
    </row>
    <row r="1664" spans="1:14" x14ac:dyDescent="0.15">
      <c r="A1664" s="107">
        <v>1681</v>
      </c>
      <c r="B1664" s="107" t="s">
        <v>197</v>
      </c>
      <c r="C1664" s="107" t="s">
        <v>271</v>
      </c>
      <c r="D1664" s="107">
        <v>24215</v>
      </c>
      <c r="E1664" s="107" t="s">
        <v>193</v>
      </c>
      <c r="F1664" s="107" t="s">
        <v>216</v>
      </c>
      <c r="G1664" s="107">
        <v>472</v>
      </c>
      <c r="H1664" s="107">
        <v>3</v>
      </c>
      <c r="I1664" s="107">
        <v>1</v>
      </c>
      <c r="J1664" s="107">
        <f t="shared" si="26"/>
        <v>1.9498373941771629E-2</v>
      </c>
      <c r="K1664" s="107">
        <v>4017</v>
      </c>
      <c r="L1664" s="107">
        <v>1819</v>
      </c>
      <c r="M1664" s="107">
        <v>425</v>
      </c>
      <c r="N1664" s="107"/>
    </row>
    <row r="1665" spans="1:14" x14ac:dyDescent="0.15">
      <c r="A1665" s="107">
        <v>1682</v>
      </c>
      <c r="B1665" s="107" t="s">
        <v>197</v>
      </c>
      <c r="C1665" s="107" t="s">
        <v>271</v>
      </c>
      <c r="D1665" s="107">
        <v>13120</v>
      </c>
      <c r="E1665" s="107" t="s">
        <v>193</v>
      </c>
      <c r="F1665" s="107" t="s">
        <v>216</v>
      </c>
      <c r="G1665" s="107">
        <v>255</v>
      </c>
      <c r="H1665" s="107">
        <v>16</v>
      </c>
      <c r="I1665" s="107">
        <v>14</v>
      </c>
      <c r="J1665" s="107">
        <f t="shared" si="26"/>
        <v>1.9500285823170732E-2</v>
      </c>
      <c r="K1665" s="107">
        <v>4018</v>
      </c>
      <c r="L1665" s="107">
        <v>1820</v>
      </c>
      <c r="M1665" s="107">
        <v>754</v>
      </c>
      <c r="N1665" s="107" t="s">
        <v>294</v>
      </c>
    </row>
    <row r="1666" spans="1:14" x14ac:dyDescent="0.15">
      <c r="A1666" s="107">
        <v>1683</v>
      </c>
      <c r="B1666" s="107" t="s">
        <v>197</v>
      </c>
      <c r="C1666" s="107" t="s">
        <v>271</v>
      </c>
      <c r="D1666" s="107">
        <v>6550</v>
      </c>
      <c r="E1666" s="107" t="s">
        <v>193</v>
      </c>
      <c r="F1666" s="107" t="s">
        <v>216</v>
      </c>
      <c r="G1666" s="107">
        <v>127</v>
      </c>
      <c r="H1666" s="107">
        <v>14</v>
      </c>
      <c r="I1666" s="107">
        <v>8</v>
      </c>
      <c r="J1666" s="107">
        <f t="shared" si="26"/>
        <v>1.95E-2</v>
      </c>
      <c r="K1666" s="107">
        <v>4019</v>
      </c>
      <c r="L1666" s="107">
        <v>1822</v>
      </c>
      <c r="M1666" s="107">
        <v>600</v>
      </c>
      <c r="N1666" s="107"/>
    </row>
    <row r="1667" spans="1:14" x14ac:dyDescent="0.15">
      <c r="A1667" s="107">
        <v>1684</v>
      </c>
      <c r="B1667" s="107" t="s">
        <v>197</v>
      </c>
      <c r="C1667" s="107" t="s">
        <v>271</v>
      </c>
      <c r="D1667" s="107">
        <v>13930</v>
      </c>
      <c r="E1667" s="107" t="s">
        <v>193</v>
      </c>
      <c r="F1667" s="107" t="s">
        <v>216</v>
      </c>
      <c r="G1667" s="107">
        <v>278</v>
      </c>
      <c r="H1667" s="107">
        <v>12</v>
      </c>
      <c r="I1667" s="107">
        <v>0</v>
      </c>
      <c r="J1667" s="107">
        <f t="shared" si="26"/>
        <v>0.02</v>
      </c>
      <c r="K1667" s="107">
        <v>4021</v>
      </c>
      <c r="L1667" s="107">
        <v>1825</v>
      </c>
      <c r="M1667" s="107">
        <v>666</v>
      </c>
      <c r="N1667" s="107"/>
    </row>
    <row r="1668" spans="1:14" x14ac:dyDescent="0.15">
      <c r="A1668" s="107">
        <v>1685</v>
      </c>
      <c r="B1668" s="107" t="s">
        <v>196</v>
      </c>
      <c r="C1668" s="107" t="s">
        <v>271</v>
      </c>
      <c r="D1668" s="107">
        <v>4.5</v>
      </c>
      <c r="E1668" s="107" t="s">
        <v>333</v>
      </c>
      <c r="F1668" s="107" t="s">
        <v>216</v>
      </c>
      <c r="G1668" s="107">
        <v>337</v>
      </c>
      <c r="H1668" s="107">
        <v>10</v>
      </c>
      <c r="I1668" s="107">
        <v>0</v>
      </c>
      <c r="J1668" s="107">
        <f t="shared" si="26"/>
        <v>75</v>
      </c>
      <c r="K1668" s="107">
        <v>4022</v>
      </c>
      <c r="L1668" s="107">
        <v>1827</v>
      </c>
      <c r="M1668" s="107">
        <v>600</v>
      </c>
      <c r="N1668" s="107"/>
    </row>
    <row r="1669" spans="1:14" x14ac:dyDescent="0.15">
      <c r="A1669" s="107">
        <v>1685</v>
      </c>
      <c r="B1669" s="107" t="s">
        <v>247</v>
      </c>
      <c r="C1669" s="107" t="s">
        <v>271</v>
      </c>
      <c r="D1669" s="107">
        <v>200</v>
      </c>
      <c r="E1669" s="107" t="s">
        <v>193</v>
      </c>
      <c r="F1669" s="107" t="s">
        <v>216</v>
      </c>
      <c r="G1669" s="107">
        <v>5</v>
      </c>
      <c r="H1669" s="107">
        <v>0</v>
      </c>
      <c r="I1669" s="107">
        <v>0</v>
      </c>
      <c r="J1669" s="107">
        <f t="shared" si="26"/>
        <v>2.5000000000000001E-2</v>
      </c>
      <c r="K1669" s="107">
        <v>4022</v>
      </c>
      <c r="L1669" s="107">
        <v>1827</v>
      </c>
      <c r="M1669" s="107">
        <v>614</v>
      </c>
      <c r="N1669" s="107"/>
    </row>
    <row r="1670" spans="1:14" x14ac:dyDescent="0.15">
      <c r="A1670" s="107">
        <v>1686</v>
      </c>
      <c r="B1670" s="107" t="s">
        <v>236</v>
      </c>
      <c r="C1670" s="107" t="s">
        <v>295</v>
      </c>
      <c r="D1670" s="107">
        <v>1686</v>
      </c>
      <c r="E1670" s="107" t="s">
        <v>193</v>
      </c>
      <c r="F1670" s="107" t="s">
        <v>216</v>
      </c>
      <c r="G1670" s="107">
        <v>44</v>
      </c>
      <c r="H1670" s="107">
        <v>19</v>
      </c>
      <c r="I1670" s="107">
        <v>3</v>
      </c>
      <c r="J1670" s="107">
        <f t="shared" si="26"/>
        <v>2.666629596678529E-2</v>
      </c>
      <c r="K1670" s="107">
        <v>4023</v>
      </c>
      <c r="L1670" s="107">
        <v>1829</v>
      </c>
      <c r="M1670" s="107">
        <v>839</v>
      </c>
      <c r="N1670" s="107"/>
    </row>
    <row r="1671" spans="1:14" x14ac:dyDescent="0.15">
      <c r="A1671" s="107">
        <v>1689</v>
      </c>
      <c r="B1671" s="107" t="s">
        <v>197</v>
      </c>
      <c r="C1671" s="107" t="s">
        <v>271</v>
      </c>
      <c r="D1671" s="107">
        <v>1050</v>
      </c>
      <c r="E1671" s="107" t="s">
        <v>193</v>
      </c>
      <c r="F1671" s="107" t="s">
        <v>216</v>
      </c>
      <c r="G1671" s="107">
        <v>24</v>
      </c>
      <c r="H1671" s="107">
        <v>10</v>
      </c>
      <c r="I1671" s="107">
        <v>10</v>
      </c>
      <c r="J1671" s="107">
        <f t="shared" si="26"/>
        <v>2.3363095238095238E-2</v>
      </c>
      <c r="K1671" s="107">
        <v>4027</v>
      </c>
      <c r="L1671" s="107">
        <v>1832</v>
      </c>
      <c r="M1671" s="107">
        <v>482</v>
      </c>
      <c r="N1671" s="107"/>
    </row>
    <row r="1672" spans="1:14" x14ac:dyDescent="0.15">
      <c r="A1672" s="107">
        <v>1692</v>
      </c>
      <c r="B1672" s="107" t="s">
        <v>247</v>
      </c>
      <c r="C1672" s="107" t="s">
        <v>271</v>
      </c>
      <c r="D1672" s="107">
        <v>200</v>
      </c>
      <c r="E1672" s="107" t="s">
        <v>193</v>
      </c>
      <c r="F1672" s="107" t="s">
        <v>216</v>
      </c>
      <c r="G1672" s="107">
        <v>5</v>
      </c>
      <c r="H1672" s="107">
        <v>0</v>
      </c>
      <c r="I1672" s="107">
        <v>0</v>
      </c>
      <c r="J1672" s="107">
        <f t="shared" si="26"/>
        <v>2.5000000000000001E-2</v>
      </c>
      <c r="K1672" s="107">
        <v>4030</v>
      </c>
      <c r="L1672" s="107">
        <v>1836</v>
      </c>
      <c r="M1672" s="107">
        <v>242</v>
      </c>
      <c r="N1672" s="107"/>
    </row>
    <row r="1673" spans="1:14" x14ac:dyDescent="0.15">
      <c r="A1673" s="107">
        <v>1693</v>
      </c>
      <c r="B1673" s="107" t="s">
        <v>197</v>
      </c>
      <c r="C1673" s="107" t="s">
        <v>271</v>
      </c>
      <c r="D1673" s="107">
        <v>150</v>
      </c>
      <c r="E1673" s="107" t="s">
        <v>193</v>
      </c>
      <c r="F1673" s="107" t="s">
        <v>216</v>
      </c>
      <c r="G1673" s="107">
        <v>3</v>
      </c>
      <c r="H1673" s="107">
        <v>15</v>
      </c>
      <c r="I1673" s="107">
        <v>0</v>
      </c>
      <c r="J1673" s="107">
        <f t="shared" si="26"/>
        <v>2.5000000000000001E-2</v>
      </c>
      <c r="K1673" s="107">
        <v>4030</v>
      </c>
      <c r="L1673" s="107">
        <v>1836</v>
      </c>
      <c r="M1673" s="107">
        <v>256</v>
      </c>
      <c r="N1673" s="107"/>
    </row>
    <row r="1674" spans="1:14" x14ac:dyDescent="0.15">
      <c r="A1674" s="107">
        <v>1694</v>
      </c>
      <c r="B1674" s="107" t="s">
        <v>196</v>
      </c>
      <c r="C1674" s="107" t="s">
        <v>271</v>
      </c>
      <c r="D1674" s="107">
        <v>3500</v>
      </c>
      <c r="E1674" s="107" t="s">
        <v>193</v>
      </c>
      <c r="F1674" s="107" t="s">
        <v>216</v>
      </c>
      <c r="G1674" s="107">
        <v>78</v>
      </c>
      <c r="H1674" s="107">
        <v>0</v>
      </c>
      <c r="I1674" s="107">
        <v>0</v>
      </c>
      <c r="J1674" s="107">
        <f t="shared" si="26"/>
        <v>2.2285714285714287E-2</v>
      </c>
      <c r="K1674" s="107">
        <v>4032</v>
      </c>
      <c r="L1674" s="107">
        <v>1839</v>
      </c>
      <c r="M1674" s="107">
        <v>262</v>
      </c>
      <c r="N1674" s="107"/>
    </row>
    <row r="1675" spans="1:14" x14ac:dyDescent="0.15">
      <c r="A1675" s="107">
        <v>1695</v>
      </c>
      <c r="B1675" s="107" t="s">
        <v>244</v>
      </c>
      <c r="C1675" s="107" t="s">
        <v>271</v>
      </c>
      <c r="D1675" s="107">
        <v>600</v>
      </c>
      <c r="E1675" s="107" t="s">
        <v>193</v>
      </c>
      <c r="F1675" s="107" t="s">
        <v>216</v>
      </c>
      <c r="G1675" s="107">
        <v>30</v>
      </c>
      <c r="H1675" s="107">
        <v>0</v>
      </c>
      <c r="I1675" s="107">
        <v>0</v>
      </c>
      <c r="J1675" s="107">
        <f t="shared" si="26"/>
        <v>0.05</v>
      </c>
      <c r="K1675" s="107">
        <v>4035</v>
      </c>
      <c r="L1675" s="107">
        <v>1841</v>
      </c>
      <c r="M1675" s="107">
        <v>67</v>
      </c>
      <c r="N1675" s="107"/>
    </row>
    <row r="1676" spans="1:14" x14ac:dyDescent="0.15">
      <c r="A1676" s="107">
        <v>1696</v>
      </c>
      <c r="B1676" s="107" t="s">
        <v>260</v>
      </c>
      <c r="C1676" s="107" t="s">
        <v>271</v>
      </c>
      <c r="D1676" s="107">
        <v>200</v>
      </c>
      <c r="E1676" s="107" t="s">
        <v>193</v>
      </c>
      <c r="F1676" s="107" t="s">
        <v>216</v>
      </c>
      <c r="G1676" s="107">
        <v>3</v>
      </c>
      <c r="H1676" s="107">
        <v>15</v>
      </c>
      <c r="I1676" s="107">
        <v>0</v>
      </c>
      <c r="J1676" s="107">
        <f t="shared" si="26"/>
        <v>1.8749999999999999E-2</v>
      </c>
      <c r="K1676" s="107">
        <v>4035</v>
      </c>
      <c r="L1676" s="107">
        <v>1841</v>
      </c>
      <c r="M1676" s="107">
        <v>67</v>
      </c>
      <c r="N1676" s="107"/>
    </row>
    <row r="1677" spans="1:14" x14ac:dyDescent="0.15">
      <c r="A1677" s="107">
        <v>1697</v>
      </c>
      <c r="B1677" s="107" t="s">
        <v>197</v>
      </c>
      <c r="C1677" s="107" t="s">
        <v>271</v>
      </c>
      <c r="D1677" s="107">
        <v>8548</v>
      </c>
      <c r="E1677" s="107" t="s">
        <v>193</v>
      </c>
      <c r="F1677" s="107" t="s">
        <v>216</v>
      </c>
      <c r="G1677" s="107">
        <v>320</v>
      </c>
      <c r="H1677" s="107">
        <v>10</v>
      </c>
      <c r="I1677" s="107">
        <v>8</v>
      </c>
      <c r="J1677" s="107">
        <f t="shared" si="26"/>
        <v>3.7497075339260645E-2</v>
      </c>
      <c r="K1677" s="107">
        <v>4038</v>
      </c>
      <c r="L1677" s="107">
        <v>1846</v>
      </c>
      <c r="M1677" s="107">
        <v>713</v>
      </c>
      <c r="N1677" s="107" t="s">
        <v>294</v>
      </c>
    </row>
    <row r="1678" spans="1:14" x14ac:dyDescent="0.15">
      <c r="A1678" s="107">
        <v>1698</v>
      </c>
      <c r="B1678" s="107" t="s">
        <v>200</v>
      </c>
      <c r="C1678" s="107" t="s">
        <v>271</v>
      </c>
      <c r="D1678" s="107">
        <v>32740</v>
      </c>
      <c r="E1678" s="107" t="s">
        <v>193</v>
      </c>
      <c r="F1678" s="107" t="s">
        <v>216</v>
      </c>
      <c r="G1678" s="107">
        <v>818</v>
      </c>
      <c r="H1678" s="107">
        <v>10</v>
      </c>
      <c r="I1678" s="107">
        <v>0</v>
      </c>
      <c r="J1678" s="107">
        <f t="shared" si="26"/>
        <v>2.5000000000000001E-2</v>
      </c>
      <c r="K1678" s="107">
        <v>4043</v>
      </c>
      <c r="L1678" s="107">
        <v>1851</v>
      </c>
      <c r="M1678" s="107">
        <v>827</v>
      </c>
      <c r="N1678" s="107"/>
    </row>
    <row r="1679" spans="1:14" x14ac:dyDescent="0.15">
      <c r="A1679" s="107">
        <v>1699</v>
      </c>
      <c r="B1679" s="107" t="s">
        <v>197</v>
      </c>
      <c r="C1679" s="107" t="s">
        <v>271</v>
      </c>
      <c r="D1679" s="107">
        <v>1340</v>
      </c>
      <c r="E1679" s="107" t="s">
        <v>193</v>
      </c>
      <c r="F1679" s="107" t="s">
        <v>216</v>
      </c>
      <c r="G1679" s="107">
        <v>33</v>
      </c>
      <c r="H1679" s="107">
        <v>10</v>
      </c>
      <c r="I1679" s="107">
        <v>0</v>
      </c>
      <c r="J1679" s="107">
        <f t="shared" si="26"/>
        <v>2.5000000000000001E-2</v>
      </c>
      <c r="K1679" s="107">
        <v>4043</v>
      </c>
      <c r="L1679" s="107">
        <v>1851</v>
      </c>
      <c r="M1679" s="107">
        <v>850</v>
      </c>
      <c r="N1679" s="107"/>
    </row>
    <row r="1680" spans="1:14" x14ac:dyDescent="0.15">
      <c r="A1680" s="107">
        <v>1700</v>
      </c>
      <c r="B1680" s="107" t="s">
        <v>200</v>
      </c>
      <c r="C1680" s="107" t="s">
        <v>271</v>
      </c>
      <c r="D1680" s="107">
        <v>41107</v>
      </c>
      <c r="E1680" s="107" t="s">
        <v>193</v>
      </c>
      <c r="F1680" s="107" t="s">
        <v>216</v>
      </c>
      <c r="G1680" s="107">
        <v>770</v>
      </c>
      <c r="H1680" s="107">
        <v>18</v>
      </c>
      <c r="I1680" s="107">
        <v>2</v>
      </c>
      <c r="J1680" s="107">
        <f t="shared" si="26"/>
        <v>1.8753649013550002E-2</v>
      </c>
      <c r="K1680" s="107">
        <v>4047</v>
      </c>
      <c r="L1680" s="107">
        <v>1855</v>
      </c>
      <c r="M1680" s="107">
        <v>524</v>
      </c>
      <c r="N1680" s="107" t="s">
        <v>272</v>
      </c>
    </row>
    <row r="1681" spans="1:14" x14ac:dyDescent="0.15">
      <c r="A1681" s="107">
        <v>1701</v>
      </c>
      <c r="B1681" s="107" t="s">
        <v>197</v>
      </c>
      <c r="C1681" s="107" t="s">
        <v>271</v>
      </c>
      <c r="D1681" s="107">
        <v>38765</v>
      </c>
      <c r="E1681" s="107" t="s">
        <v>193</v>
      </c>
      <c r="F1681" s="107" t="s">
        <v>216</v>
      </c>
      <c r="G1681" s="107">
        <v>726</v>
      </c>
      <c r="H1681" s="107">
        <v>16</v>
      </c>
      <c r="I1681" s="107">
        <v>11</v>
      </c>
      <c r="J1681" s="107">
        <f t="shared" si="26"/>
        <v>1.8749758158132332E-2</v>
      </c>
      <c r="K1681" s="107">
        <v>4047</v>
      </c>
      <c r="L1681" s="107">
        <v>1855</v>
      </c>
      <c r="M1681" s="107">
        <v>554</v>
      </c>
      <c r="N1681" s="107" t="s">
        <v>294</v>
      </c>
    </row>
    <row r="1682" spans="1:14" x14ac:dyDescent="0.15">
      <c r="A1682" s="107">
        <v>1701</v>
      </c>
      <c r="B1682" s="107" t="s">
        <v>196</v>
      </c>
      <c r="C1682" s="107" t="s">
        <v>271</v>
      </c>
      <c r="D1682" s="107">
        <v>33717</v>
      </c>
      <c r="E1682" s="107" t="s">
        <v>193</v>
      </c>
      <c r="F1682" s="107" t="s">
        <v>216</v>
      </c>
      <c r="G1682" s="107">
        <v>632</v>
      </c>
      <c r="H1682" s="107">
        <v>3</v>
      </c>
      <c r="I1682" s="107">
        <v>14</v>
      </c>
      <c r="J1682" s="107">
        <f t="shared" si="26"/>
        <v>1.8749999999999999E-2</v>
      </c>
      <c r="K1682" s="107">
        <v>4047</v>
      </c>
      <c r="L1682" s="107">
        <v>1855</v>
      </c>
      <c r="M1682" s="107">
        <v>560</v>
      </c>
      <c r="N1682" s="107" t="s">
        <v>294</v>
      </c>
    </row>
    <row r="1683" spans="1:14" x14ac:dyDescent="0.15">
      <c r="A1683" s="107">
        <v>1702</v>
      </c>
      <c r="B1683" s="107" t="s">
        <v>226</v>
      </c>
      <c r="C1683" s="107" t="s">
        <v>271</v>
      </c>
      <c r="D1683" s="107">
        <v>3600</v>
      </c>
      <c r="E1683" s="107" t="s">
        <v>193</v>
      </c>
      <c r="F1683" s="107" t="s">
        <v>216</v>
      </c>
      <c r="G1683" s="107">
        <v>45</v>
      </c>
      <c r="H1683" s="107">
        <v>0</v>
      </c>
      <c r="I1683" s="107">
        <v>0</v>
      </c>
      <c r="J1683" s="107">
        <f t="shared" si="26"/>
        <v>1.2500000000000001E-2</v>
      </c>
      <c r="K1683" s="107">
        <v>4049</v>
      </c>
      <c r="L1683" s="107">
        <v>1856</v>
      </c>
      <c r="M1683" s="107">
        <v>512</v>
      </c>
      <c r="N1683" s="107"/>
    </row>
    <row r="1684" spans="1:14" x14ac:dyDescent="0.15">
      <c r="A1684" s="107">
        <v>1703</v>
      </c>
      <c r="B1684" s="107" t="s">
        <v>247</v>
      </c>
      <c r="C1684" s="107" t="s">
        <v>271</v>
      </c>
      <c r="D1684" s="107">
        <v>3000</v>
      </c>
      <c r="E1684" s="107" t="s">
        <v>193</v>
      </c>
      <c r="F1684" s="107" t="s">
        <v>216</v>
      </c>
      <c r="G1684" s="107">
        <v>75</v>
      </c>
      <c r="H1684" s="107">
        <v>0</v>
      </c>
      <c r="I1684" s="107">
        <v>0</v>
      </c>
      <c r="J1684" s="107">
        <f t="shared" si="26"/>
        <v>2.5000000000000001E-2</v>
      </c>
      <c r="K1684" s="107">
        <v>4050</v>
      </c>
      <c r="L1684" s="107">
        <v>1858</v>
      </c>
      <c r="M1684" s="107">
        <v>527</v>
      </c>
      <c r="N1684" s="107"/>
    </row>
    <row r="1685" spans="1:14" x14ac:dyDescent="0.15">
      <c r="A1685" s="107">
        <v>1705</v>
      </c>
      <c r="B1685" s="107" t="s">
        <v>197</v>
      </c>
      <c r="C1685" s="107" t="s">
        <v>268</v>
      </c>
      <c r="D1685" s="25">
        <v>1500</v>
      </c>
      <c r="E1685" s="107" t="s">
        <v>193</v>
      </c>
      <c r="F1685" s="107" t="s">
        <v>216</v>
      </c>
      <c r="G1685" s="107">
        <v>28</v>
      </c>
      <c r="H1685" s="107">
        <v>2</v>
      </c>
      <c r="I1685" s="107">
        <v>8</v>
      </c>
      <c r="J1685" s="107">
        <f t="shared" si="26"/>
        <v>1.8749999999999999E-2</v>
      </c>
      <c r="K1685" s="107">
        <v>5536</v>
      </c>
      <c r="L1685" s="107"/>
      <c r="M1685" s="107"/>
      <c r="N1685" s="107"/>
    </row>
    <row r="1686" spans="1:14" x14ac:dyDescent="0.15">
      <c r="A1686" s="107">
        <v>1708</v>
      </c>
      <c r="B1686" s="107" t="s">
        <v>253</v>
      </c>
      <c r="C1686" s="107" t="s">
        <v>268</v>
      </c>
      <c r="D1686" s="25">
        <v>16875</v>
      </c>
      <c r="E1686" s="107" t="s">
        <v>193</v>
      </c>
      <c r="F1686" s="107" t="s">
        <v>216</v>
      </c>
      <c r="G1686" s="107">
        <v>896</v>
      </c>
      <c r="H1686" s="107">
        <v>9</v>
      </c>
      <c r="I1686" s="107">
        <v>8</v>
      </c>
      <c r="J1686" s="107">
        <f t="shared" si="26"/>
        <v>5.3124444444444446E-2</v>
      </c>
      <c r="K1686" s="107">
        <v>5571</v>
      </c>
      <c r="L1686" s="107"/>
      <c r="M1686" s="107"/>
      <c r="N1686" s="107"/>
    </row>
    <row r="1687" spans="1:14" x14ac:dyDescent="0.15">
      <c r="A1687" s="107">
        <v>1710</v>
      </c>
      <c r="B1687" s="107" t="s">
        <v>186</v>
      </c>
      <c r="C1687" s="107" t="s">
        <v>268</v>
      </c>
      <c r="D1687" s="25">
        <v>750</v>
      </c>
      <c r="E1687" s="107" t="s">
        <v>193</v>
      </c>
      <c r="F1687" s="107" t="s">
        <v>216</v>
      </c>
      <c r="G1687" s="107">
        <v>18</v>
      </c>
      <c r="H1687" s="107">
        <v>15</v>
      </c>
      <c r="I1687" s="107">
        <v>0</v>
      </c>
      <c r="J1687" s="107">
        <f t="shared" si="26"/>
        <v>2.5000000000000001E-2</v>
      </c>
      <c r="K1687" s="107">
        <v>5611</v>
      </c>
      <c r="L1687" s="107"/>
      <c r="M1687" s="107"/>
      <c r="N1687" s="107"/>
    </row>
    <row r="1688" spans="1:14" x14ac:dyDescent="0.15">
      <c r="A1688" s="107">
        <v>1711</v>
      </c>
      <c r="B1688" s="107" t="s">
        <v>260</v>
      </c>
      <c r="C1688" s="107" t="s">
        <v>268</v>
      </c>
      <c r="D1688" s="25">
        <v>4500</v>
      </c>
      <c r="E1688" s="107" t="s">
        <v>193</v>
      </c>
      <c r="F1688" s="107" t="s">
        <v>216</v>
      </c>
      <c r="G1688" s="107">
        <v>112</v>
      </c>
      <c r="H1688" s="107">
        <v>10</v>
      </c>
      <c r="I1688" s="107">
        <v>0</v>
      </c>
      <c r="J1688" s="107">
        <f t="shared" si="26"/>
        <v>2.5000000000000001E-2</v>
      </c>
      <c r="K1688" s="107">
        <v>5612</v>
      </c>
      <c r="L1688" s="107"/>
      <c r="M1688" s="107"/>
      <c r="N1688" s="107"/>
    </row>
    <row r="1689" spans="1:14" x14ac:dyDescent="0.15">
      <c r="A1689" s="107">
        <v>1713</v>
      </c>
      <c r="B1689" s="107" t="s">
        <v>236</v>
      </c>
      <c r="C1689" s="107" t="s">
        <v>268</v>
      </c>
      <c r="D1689" s="25">
        <v>3000</v>
      </c>
      <c r="E1689" s="107" t="s">
        <v>193</v>
      </c>
      <c r="F1689" s="107" t="s">
        <v>216</v>
      </c>
      <c r="G1689" s="107">
        <v>75</v>
      </c>
      <c r="H1689" s="107">
        <v>0</v>
      </c>
      <c r="I1689" s="107">
        <v>0</v>
      </c>
      <c r="J1689" s="107">
        <f t="shared" si="26"/>
        <v>2.5000000000000001E-2</v>
      </c>
      <c r="K1689" s="107">
        <v>5646</v>
      </c>
      <c r="L1689" s="107"/>
      <c r="M1689" s="107"/>
      <c r="N1689" s="107"/>
    </row>
    <row r="1690" spans="1:14" x14ac:dyDescent="0.15">
      <c r="A1690" s="107">
        <v>1716</v>
      </c>
      <c r="B1690" s="107" t="s">
        <v>197</v>
      </c>
      <c r="C1690" s="107" t="s">
        <v>268</v>
      </c>
      <c r="D1690" s="25">
        <v>12000</v>
      </c>
      <c r="E1690" s="107" t="s">
        <v>193</v>
      </c>
      <c r="F1690" s="107" t="s">
        <v>216</v>
      </c>
      <c r="G1690" s="107">
        <v>225</v>
      </c>
      <c r="H1690" s="107">
        <v>0</v>
      </c>
      <c r="I1690" s="107">
        <v>0</v>
      </c>
      <c r="J1690" s="107">
        <f t="shared" si="26"/>
        <v>1.8749999999999999E-2</v>
      </c>
      <c r="K1690" s="107">
        <v>5670</v>
      </c>
      <c r="L1690" s="107"/>
      <c r="M1690" s="107"/>
      <c r="N1690" s="107"/>
    </row>
    <row r="1691" spans="1:14" x14ac:dyDescent="0.15">
      <c r="A1691" s="107">
        <v>1720</v>
      </c>
      <c r="B1691" s="107" t="s">
        <v>253</v>
      </c>
      <c r="C1691" s="107" t="s">
        <v>268</v>
      </c>
      <c r="D1691" s="25">
        <v>45500</v>
      </c>
      <c r="E1691" s="107" t="s">
        <v>193</v>
      </c>
      <c r="F1691" s="107" t="s">
        <v>216</v>
      </c>
      <c r="G1691" s="107">
        <v>1137</v>
      </c>
      <c r="H1691" s="107">
        <v>10</v>
      </c>
      <c r="I1691" s="107">
        <v>0</v>
      </c>
      <c r="J1691" s="107">
        <f t="shared" si="26"/>
        <v>2.5000000000000001E-2</v>
      </c>
      <c r="K1691" s="107">
        <v>5731</v>
      </c>
      <c r="L1691" s="107"/>
      <c r="M1691" s="107"/>
      <c r="N1691" s="107"/>
    </row>
    <row r="1692" spans="1:14" x14ac:dyDescent="0.15">
      <c r="A1692" s="107">
        <v>1734</v>
      </c>
      <c r="B1692" s="107" t="s">
        <v>196</v>
      </c>
      <c r="C1692" s="107" t="s">
        <v>268</v>
      </c>
      <c r="D1692" s="25">
        <v>3000</v>
      </c>
      <c r="E1692" s="107" t="s">
        <v>193</v>
      </c>
      <c r="F1692" s="107" t="s">
        <v>216</v>
      </c>
      <c r="G1692" s="107">
        <v>75</v>
      </c>
      <c r="H1692" s="107">
        <v>0</v>
      </c>
      <c r="I1692" s="107">
        <v>0</v>
      </c>
      <c r="J1692" s="107">
        <f t="shared" si="26"/>
        <v>2.5000000000000001E-2</v>
      </c>
      <c r="K1692" s="107">
        <v>5981</v>
      </c>
      <c r="L1692" s="107"/>
      <c r="M1692" s="107"/>
      <c r="N1692" s="107"/>
    </row>
    <row r="1693" spans="1:14" x14ac:dyDescent="0.15">
      <c r="A1693" s="107">
        <v>1735</v>
      </c>
      <c r="B1693" s="107" t="s">
        <v>261</v>
      </c>
      <c r="C1693" s="107" t="s">
        <v>268</v>
      </c>
      <c r="D1693" s="25">
        <v>1500</v>
      </c>
      <c r="E1693" s="107" t="s">
        <v>193</v>
      </c>
      <c r="F1693" s="107" t="s">
        <v>216</v>
      </c>
      <c r="G1693" s="107">
        <v>37</v>
      </c>
      <c r="H1693" s="107">
        <v>10</v>
      </c>
      <c r="I1693" s="107">
        <v>0</v>
      </c>
      <c r="J1693" s="107">
        <f t="shared" si="26"/>
        <v>2.5000000000000001E-2</v>
      </c>
      <c r="K1693" s="107">
        <v>5998</v>
      </c>
      <c r="L1693" s="107"/>
      <c r="M1693" s="107"/>
      <c r="N1693" s="107"/>
    </row>
    <row r="1694" spans="1:14" x14ac:dyDescent="0.15">
      <c r="A1694" s="107">
        <v>1745</v>
      </c>
      <c r="B1694" s="107" t="s">
        <v>200</v>
      </c>
      <c r="C1694" s="107" t="s">
        <v>268</v>
      </c>
      <c r="D1694" s="25">
        <v>9000</v>
      </c>
      <c r="E1694" s="107" t="s">
        <v>193</v>
      </c>
      <c r="F1694" s="107" t="s">
        <v>216</v>
      </c>
      <c r="G1694" s="107">
        <v>84</v>
      </c>
      <c r="H1694" s="107">
        <v>0</v>
      </c>
      <c r="I1694" s="107">
        <v>0</v>
      </c>
      <c r="J1694" s="107">
        <f t="shared" si="26"/>
        <v>9.3333333333333341E-3</v>
      </c>
      <c r="K1694" s="107">
        <v>6177</v>
      </c>
      <c r="L1694" s="107"/>
      <c r="M1694" s="107"/>
      <c r="N1694" s="107"/>
    </row>
    <row r="1695" spans="1:14" x14ac:dyDescent="0.15">
      <c r="A1695" s="107">
        <v>1748</v>
      </c>
      <c r="B1695" s="107" t="s">
        <v>260</v>
      </c>
      <c r="C1695" s="107" t="s">
        <v>268</v>
      </c>
      <c r="D1695" s="25">
        <v>2000</v>
      </c>
      <c r="E1695" s="107" t="s">
        <v>193</v>
      </c>
      <c r="F1695" s="107" t="s">
        <v>216</v>
      </c>
      <c r="G1695" s="107">
        <v>50</v>
      </c>
      <c r="H1695" s="107">
        <v>0</v>
      </c>
      <c r="I1695" s="107">
        <v>0</v>
      </c>
      <c r="J1695" s="107">
        <f t="shared" si="26"/>
        <v>2.5000000000000001E-2</v>
      </c>
      <c r="K1695" s="107">
        <v>6218</v>
      </c>
      <c r="L1695" s="107"/>
      <c r="M1695" s="107"/>
      <c r="N1695" s="107"/>
    </row>
    <row r="1696" spans="1:14" x14ac:dyDescent="0.15">
      <c r="A1696" s="107">
        <v>1760</v>
      </c>
      <c r="B1696" s="107" t="s">
        <v>244</v>
      </c>
      <c r="C1696" s="107" t="s">
        <v>268</v>
      </c>
      <c r="D1696" s="25">
        <v>14250</v>
      </c>
      <c r="E1696" s="107" t="s">
        <v>193</v>
      </c>
      <c r="F1696" s="107" t="s">
        <v>216</v>
      </c>
      <c r="G1696" s="107">
        <v>356</v>
      </c>
      <c r="H1696" s="107">
        <v>5</v>
      </c>
      <c r="I1696" s="107">
        <v>0</v>
      </c>
      <c r="J1696" s="107">
        <f t="shared" si="26"/>
        <v>2.5000000000000001E-2</v>
      </c>
      <c r="K1696" s="107">
        <v>6374</v>
      </c>
      <c r="L1696" s="107"/>
      <c r="M1696" s="107"/>
      <c r="N1696" s="107"/>
    </row>
    <row r="1697" spans="1:15" x14ac:dyDescent="0.15">
      <c r="A1697" s="107">
        <v>1768</v>
      </c>
      <c r="B1697" s="107" t="s">
        <v>260</v>
      </c>
      <c r="C1697" s="107" t="s">
        <v>268</v>
      </c>
      <c r="D1697" s="25">
        <v>3000</v>
      </c>
      <c r="E1697" s="107" t="s">
        <v>193</v>
      </c>
      <c r="F1697" s="107" t="s">
        <v>216</v>
      </c>
      <c r="G1697" s="107">
        <v>84</v>
      </c>
      <c r="H1697" s="107">
        <v>7</v>
      </c>
      <c r="I1697" s="107">
        <v>8</v>
      </c>
      <c r="J1697" s="107">
        <f t="shared" si="26"/>
        <v>2.8125000000000001E-2</v>
      </c>
      <c r="K1697" s="107">
        <v>6489</v>
      </c>
      <c r="L1697" s="107"/>
      <c r="M1697" s="107"/>
      <c r="N1697" s="107"/>
      <c r="O1697" s="107"/>
    </row>
    <row r="1698" spans="1:15" x14ac:dyDescent="0.15">
      <c r="A1698" s="107">
        <v>1783</v>
      </c>
      <c r="B1698" s="107" t="s">
        <v>261</v>
      </c>
      <c r="C1698" s="107" t="s">
        <v>268</v>
      </c>
      <c r="D1698" s="25">
        <v>10000</v>
      </c>
      <c r="E1698" s="107" t="s">
        <v>193</v>
      </c>
      <c r="F1698" s="107" t="s">
        <v>216</v>
      </c>
      <c r="G1698" s="107">
        <v>990</v>
      </c>
      <c r="H1698" s="107">
        <v>0</v>
      </c>
      <c r="I1698" s="107">
        <v>0</v>
      </c>
      <c r="J1698" s="107">
        <f t="shared" si="26"/>
        <v>9.9000000000000005E-2</v>
      </c>
      <c r="K1698" s="107">
        <v>6701</v>
      </c>
      <c r="L1698" s="107"/>
      <c r="M1698" s="107"/>
      <c r="N1698" s="107"/>
      <c r="O1698" s="107"/>
    </row>
    <row r="1699" spans="1:15" x14ac:dyDescent="0.15">
      <c r="A1699" s="107">
        <v>1785</v>
      </c>
      <c r="B1699" s="107" t="s">
        <v>186</v>
      </c>
      <c r="C1699" s="107" t="s">
        <v>268</v>
      </c>
      <c r="D1699" s="25">
        <v>1000</v>
      </c>
      <c r="E1699" s="107" t="s">
        <v>193</v>
      </c>
      <c r="F1699" s="107" t="s">
        <v>216</v>
      </c>
      <c r="G1699" s="107">
        <v>143</v>
      </c>
      <c r="H1699" s="107">
        <v>0</v>
      </c>
      <c r="I1699" s="107">
        <v>0</v>
      </c>
      <c r="J1699" s="107">
        <f t="shared" si="26"/>
        <v>0.14299999999999999</v>
      </c>
      <c r="K1699" s="107">
        <v>6736</v>
      </c>
      <c r="L1699" s="107"/>
      <c r="M1699" s="107"/>
      <c r="N1699" s="107"/>
      <c r="O1699" s="107"/>
    </row>
    <row r="1700" spans="1:15" x14ac:dyDescent="0.15">
      <c r="A1700" s="107">
        <v>1786</v>
      </c>
      <c r="B1700" s="107" t="s">
        <v>261</v>
      </c>
      <c r="C1700" s="107" t="s">
        <v>268</v>
      </c>
      <c r="D1700" s="25">
        <v>4840</v>
      </c>
      <c r="E1700" s="107" t="s">
        <v>193</v>
      </c>
      <c r="F1700" s="107" t="s">
        <v>216</v>
      </c>
      <c r="G1700" s="107">
        <v>792</v>
      </c>
      <c r="H1700" s="107">
        <v>2</v>
      </c>
      <c r="I1700" s="107">
        <v>8</v>
      </c>
      <c r="J1700" s="107">
        <f t="shared" si="26"/>
        <v>0.16366219008264463</v>
      </c>
      <c r="K1700" s="107">
        <v>6746</v>
      </c>
      <c r="L1700" s="107"/>
      <c r="M1700" s="107"/>
      <c r="N1700" s="107"/>
      <c r="O1700" s="107"/>
    </row>
    <row r="1701" spans="1:15" x14ac:dyDescent="0.15">
      <c r="A1701" s="107">
        <v>1787</v>
      </c>
      <c r="B1701" s="107" t="s">
        <v>197</v>
      </c>
      <c r="C1701" s="107" t="s">
        <v>268</v>
      </c>
      <c r="D1701" s="25">
        <v>3000</v>
      </c>
      <c r="E1701" s="107" t="s">
        <v>193</v>
      </c>
      <c r="F1701" s="107" t="s">
        <v>216</v>
      </c>
      <c r="G1701" s="107">
        <v>331</v>
      </c>
      <c r="H1701" s="107">
        <v>10</v>
      </c>
      <c r="I1701" s="107">
        <v>0</v>
      </c>
      <c r="J1701" s="107">
        <f t="shared" si="26"/>
        <v>0.1105</v>
      </c>
      <c r="K1701" s="107">
        <v>6752</v>
      </c>
      <c r="L1701" s="107"/>
      <c r="M1701" s="107"/>
      <c r="N1701" s="107"/>
      <c r="O1701" s="107"/>
    </row>
    <row r="1702" spans="1:15" x14ac:dyDescent="0.15">
      <c r="A1702" s="107">
        <v>1789</v>
      </c>
      <c r="B1702" s="107" t="s">
        <v>226</v>
      </c>
      <c r="C1702" s="107" t="s">
        <v>268</v>
      </c>
      <c r="D1702" s="25">
        <v>100</v>
      </c>
      <c r="E1702" s="107" t="s">
        <v>193</v>
      </c>
      <c r="F1702" s="107" t="s">
        <v>216</v>
      </c>
      <c r="G1702" s="107">
        <v>1</v>
      </c>
      <c r="H1702" s="107">
        <v>19</v>
      </c>
      <c r="I1702" s="107">
        <v>0</v>
      </c>
      <c r="J1702" s="107">
        <f t="shared" si="26"/>
        <v>1.95E-2</v>
      </c>
      <c r="K1702" s="25">
        <v>6785</v>
      </c>
      <c r="L1702" s="107"/>
      <c r="M1702" s="107"/>
      <c r="N1702" s="107"/>
      <c r="O1702" s="107"/>
    </row>
    <row r="1703" spans="1:15" x14ac:dyDescent="0.15">
      <c r="A1703" s="107">
        <v>1793</v>
      </c>
      <c r="B1703" s="107" t="s">
        <v>247</v>
      </c>
      <c r="C1703" s="107" t="s">
        <v>270</v>
      </c>
      <c r="D1703" s="25">
        <v>3500</v>
      </c>
      <c r="E1703" s="107" t="s">
        <v>193</v>
      </c>
      <c r="F1703" s="107" t="s">
        <v>216</v>
      </c>
      <c r="G1703" s="107">
        <v>48</v>
      </c>
      <c r="H1703" s="107">
        <v>7</v>
      </c>
      <c r="I1703" s="107">
        <v>0</v>
      </c>
      <c r="J1703" s="107">
        <f t="shared" si="26"/>
        <v>1.3814285714285715E-2</v>
      </c>
      <c r="K1703" s="107">
        <v>6826</v>
      </c>
      <c r="L1703" s="107"/>
      <c r="M1703" s="107"/>
      <c r="N1703" s="107"/>
      <c r="O1703" s="107"/>
    </row>
    <row r="1704" spans="1:15" x14ac:dyDescent="0.15">
      <c r="A1704" s="107">
        <v>1658</v>
      </c>
      <c r="B1704" s="107" t="s">
        <v>236</v>
      </c>
      <c r="C1704" s="107" t="s">
        <v>274</v>
      </c>
      <c r="D1704" s="107">
        <v>6886</v>
      </c>
      <c r="E1704" s="107" t="s">
        <v>193</v>
      </c>
      <c r="F1704" s="107" t="s">
        <v>619</v>
      </c>
      <c r="G1704" s="107">
        <v>172</v>
      </c>
      <c r="H1704" s="107">
        <v>3</v>
      </c>
      <c r="I1704" s="107">
        <v>0</v>
      </c>
      <c r="J1704" s="107">
        <f t="shared" si="26"/>
        <v>2.5000000000000001E-2</v>
      </c>
      <c r="K1704" s="107">
        <v>3993</v>
      </c>
      <c r="L1704" s="107">
        <v>1791</v>
      </c>
      <c r="M1704" s="107">
        <v>318</v>
      </c>
      <c r="N1704" s="107"/>
      <c r="O1704" s="107"/>
    </row>
    <row r="1705" spans="1:15" x14ac:dyDescent="0.15">
      <c r="A1705" s="107">
        <v>1659</v>
      </c>
      <c r="B1705" s="107" t="s">
        <v>197</v>
      </c>
      <c r="C1705" s="107" t="s">
        <v>274</v>
      </c>
      <c r="D1705" s="107">
        <v>1688</v>
      </c>
      <c r="E1705" s="107" t="s">
        <v>193</v>
      </c>
      <c r="F1705" s="107" t="s">
        <v>619</v>
      </c>
      <c r="G1705" s="107">
        <v>42</v>
      </c>
      <c r="H1705" s="107">
        <v>4</v>
      </c>
      <c r="I1705" s="107">
        <v>0</v>
      </c>
      <c r="J1705" s="107">
        <f t="shared" si="26"/>
        <v>2.5000000000000001E-2</v>
      </c>
      <c r="K1705" s="107">
        <v>3994</v>
      </c>
      <c r="L1705" s="107">
        <v>1792</v>
      </c>
      <c r="M1705" s="107">
        <v>169</v>
      </c>
      <c r="N1705" s="107"/>
      <c r="O1705" s="107"/>
    </row>
    <row r="1706" spans="1:15" x14ac:dyDescent="0.15">
      <c r="A1706" s="107">
        <v>1660</v>
      </c>
      <c r="B1706" s="107" t="s">
        <v>186</v>
      </c>
      <c r="C1706" s="107" t="s">
        <v>274</v>
      </c>
      <c r="D1706" s="107">
        <v>700</v>
      </c>
      <c r="E1706" s="107" t="s">
        <v>193</v>
      </c>
      <c r="F1706" s="107" t="s">
        <v>619</v>
      </c>
      <c r="G1706" s="107">
        <v>17</v>
      </c>
      <c r="H1706" s="107">
        <v>10</v>
      </c>
      <c r="I1706" s="107">
        <v>0</v>
      </c>
      <c r="J1706" s="107">
        <f t="shared" si="26"/>
        <v>2.5000000000000001E-2</v>
      </c>
      <c r="K1706" s="107">
        <v>3995</v>
      </c>
      <c r="L1706" s="107">
        <v>1793</v>
      </c>
      <c r="M1706" s="107">
        <v>232</v>
      </c>
      <c r="N1706" s="107"/>
      <c r="O1706" s="107"/>
    </row>
    <row r="1707" spans="1:15" x14ac:dyDescent="0.15">
      <c r="A1707" s="107">
        <v>1661</v>
      </c>
      <c r="B1707" s="107" t="s">
        <v>197</v>
      </c>
      <c r="C1707" s="107" t="s">
        <v>274</v>
      </c>
      <c r="D1707" s="107">
        <v>2587</v>
      </c>
      <c r="E1707" s="107" t="s">
        <v>193</v>
      </c>
      <c r="F1707" s="107" t="s">
        <v>619</v>
      </c>
      <c r="G1707" s="107">
        <v>64</v>
      </c>
      <c r="H1707" s="107">
        <v>13</v>
      </c>
      <c r="I1707" s="107">
        <v>8</v>
      </c>
      <c r="J1707" s="107">
        <f t="shared" si="26"/>
        <v>2.5000000000000005E-2</v>
      </c>
      <c r="K1707" s="107">
        <v>3996</v>
      </c>
      <c r="L1707" s="107">
        <v>1794</v>
      </c>
      <c r="M1707" s="107" t="s">
        <v>290</v>
      </c>
      <c r="N1707" s="107"/>
      <c r="O1707" s="107"/>
    </row>
    <row r="1708" spans="1:15" x14ac:dyDescent="0.15">
      <c r="A1708" s="107">
        <v>1662</v>
      </c>
      <c r="B1708" s="107" t="s">
        <v>196</v>
      </c>
      <c r="C1708" s="107" t="s">
        <v>274</v>
      </c>
      <c r="D1708" s="107">
        <v>496</v>
      </c>
      <c r="E1708" s="107" t="s">
        <v>193</v>
      </c>
      <c r="F1708" s="107" t="s">
        <v>619</v>
      </c>
      <c r="G1708" s="107">
        <v>12</v>
      </c>
      <c r="H1708" s="107">
        <v>8</v>
      </c>
      <c r="I1708" s="107">
        <v>0</v>
      </c>
      <c r="J1708" s="107">
        <f t="shared" si="26"/>
        <v>2.5000000000000001E-2</v>
      </c>
      <c r="K1708" s="107">
        <v>3997</v>
      </c>
      <c r="L1708" s="107">
        <v>1795</v>
      </c>
      <c r="M1708" s="107" t="s">
        <v>290</v>
      </c>
      <c r="N1708" s="107"/>
      <c r="O1708" s="107"/>
    </row>
    <row r="1709" spans="1:15" x14ac:dyDescent="0.15">
      <c r="A1709" s="107">
        <v>1655</v>
      </c>
      <c r="B1709" s="107" t="s">
        <v>247</v>
      </c>
      <c r="C1709" s="107" t="s">
        <v>274</v>
      </c>
      <c r="D1709" s="107">
        <v>1</v>
      </c>
      <c r="E1709" s="107"/>
      <c r="F1709" s="107" t="s">
        <v>620</v>
      </c>
      <c r="G1709" s="107">
        <v>15</v>
      </c>
      <c r="H1709" s="107">
        <v>0</v>
      </c>
      <c r="I1709" s="107">
        <v>0</v>
      </c>
      <c r="J1709" s="107">
        <f t="shared" si="26"/>
        <v>15</v>
      </c>
      <c r="K1709" s="107">
        <v>3990</v>
      </c>
      <c r="L1709" s="107">
        <v>1788</v>
      </c>
      <c r="M1709" s="107">
        <v>225</v>
      </c>
      <c r="N1709" s="107" t="s">
        <v>287</v>
      </c>
      <c r="O1709" s="107" t="s">
        <v>319</v>
      </c>
    </row>
    <row r="1710" spans="1:15" x14ac:dyDescent="0.15">
      <c r="A1710" s="107">
        <v>1656</v>
      </c>
      <c r="B1710" s="107" t="s">
        <v>283</v>
      </c>
      <c r="C1710" s="107" t="s">
        <v>274</v>
      </c>
      <c r="D1710" s="107">
        <v>50</v>
      </c>
      <c r="E1710" s="107" t="s">
        <v>531</v>
      </c>
      <c r="F1710" s="107" t="s">
        <v>621</v>
      </c>
      <c r="G1710" s="107">
        <v>56</v>
      </c>
      <c r="H1710" s="107">
        <v>11</v>
      </c>
      <c r="I1710" s="107">
        <v>10</v>
      </c>
      <c r="J1710" s="107">
        <f t="shared" si="26"/>
        <v>1.1316249999999999</v>
      </c>
      <c r="K1710" s="107">
        <v>3991</v>
      </c>
      <c r="L1710" s="107">
        <v>1788</v>
      </c>
      <c r="M1710" s="107">
        <v>149</v>
      </c>
      <c r="N1710" s="107" t="s">
        <v>284</v>
      </c>
      <c r="O1710" s="107"/>
    </row>
    <row r="1711" spans="1:15" x14ac:dyDescent="0.15">
      <c r="A1711" s="107">
        <v>1658</v>
      </c>
      <c r="B1711" s="107" t="s">
        <v>197</v>
      </c>
      <c r="C1711" s="107" t="s">
        <v>274</v>
      </c>
      <c r="D1711" s="107">
        <v>6.25</v>
      </c>
      <c r="E1711" s="107" t="s">
        <v>188</v>
      </c>
      <c r="F1711" s="107" t="s">
        <v>622</v>
      </c>
      <c r="G1711" s="107">
        <v>40</v>
      </c>
      <c r="H1711" s="107">
        <v>0</v>
      </c>
      <c r="I1711" s="107">
        <v>0</v>
      </c>
      <c r="J1711" s="107">
        <f t="shared" si="26"/>
        <v>6.4</v>
      </c>
      <c r="K1711" s="107">
        <v>3993</v>
      </c>
      <c r="L1711" s="107">
        <v>1791</v>
      </c>
      <c r="M1711" s="107">
        <v>278</v>
      </c>
      <c r="N1711" s="107"/>
      <c r="O1711" s="107"/>
    </row>
    <row r="1712" spans="1:15" x14ac:dyDescent="0.15">
      <c r="A1712" s="107">
        <v>1660</v>
      </c>
      <c r="B1712" s="107" t="s">
        <v>197</v>
      </c>
      <c r="C1712" s="107" t="s">
        <v>274</v>
      </c>
      <c r="D1712" s="107">
        <v>8.5</v>
      </c>
      <c r="E1712" s="107" t="s">
        <v>188</v>
      </c>
      <c r="F1712" s="107" t="s">
        <v>622</v>
      </c>
      <c r="G1712" s="107">
        <v>42</v>
      </c>
      <c r="H1712" s="107">
        <v>10</v>
      </c>
      <c r="I1712" s="107">
        <v>0</v>
      </c>
      <c r="J1712" s="107">
        <f t="shared" ref="J1712:J1775" si="27">(G1712+H1712/20+I1712/320)/D1712</f>
        <v>5</v>
      </c>
      <c r="K1712" s="107">
        <v>3995</v>
      </c>
      <c r="L1712" s="107">
        <v>1793</v>
      </c>
      <c r="M1712" s="107">
        <v>196</v>
      </c>
      <c r="N1712" s="107"/>
      <c r="O1712" s="107"/>
    </row>
    <row r="1713" spans="1:14" x14ac:dyDescent="0.15">
      <c r="A1713" s="107">
        <v>1661</v>
      </c>
      <c r="B1713" s="107" t="s">
        <v>197</v>
      </c>
      <c r="C1713" s="107" t="s">
        <v>274</v>
      </c>
      <c r="D1713" s="107">
        <v>112.75</v>
      </c>
      <c r="E1713" s="107" t="s">
        <v>188</v>
      </c>
      <c r="F1713" s="107" t="s">
        <v>622</v>
      </c>
      <c r="G1713" s="107">
        <v>563</v>
      </c>
      <c r="H1713" s="107">
        <v>15</v>
      </c>
      <c r="I1713" s="107">
        <v>0</v>
      </c>
      <c r="J1713" s="107">
        <f t="shared" si="27"/>
        <v>5</v>
      </c>
      <c r="K1713" s="107">
        <v>3996</v>
      </c>
      <c r="L1713" s="107">
        <v>1794</v>
      </c>
      <c r="M1713" s="107" t="s">
        <v>290</v>
      </c>
      <c r="N1713" s="107"/>
    </row>
    <row r="1714" spans="1:14" x14ac:dyDescent="0.15">
      <c r="A1714" s="107">
        <v>1662</v>
      </c>
      <c r="B1714" s="107" t="s">
        <v>197</v>
      </c>
      <c r="C1714" s="107" t="s">
        <v>274</v>
      </c>
      <c r="D1714" s="107">
        <v>34.875</v>
      </c>
      <c r="E1714" s="107" t="s">
        <v>188</v>
      </c>
      <c r="F1714" s="107" t="s">
        <v>622</v>
      </c>
      <c r="G1714" s="107">
        <v>174</v>
      </c>
      <c r="H1714" s="107">
        <v>7</v>
      </c>
      <c r="I1714" s="107">
        <v>8</v>
      </c>
      <c r="J1714" s="107">
        <f t="shared" si="27"/>
        <v>5</v>
      </c>
      <c r="K1714" s="107">
        <v>3997</v>
      </c>
      <c r="L1714" s="107">
        <v>1795</v>
      </c>
      <c r="M1714" s="107">
        <v>303</v>
      </c>
      <c r="N1714" s="107"/>
    </row>
    <row r="1715" spans="1:14" x14ac:dyDescent="0.15">
      <c r="A1715" s="107">
        <v>1665</v>
      </c>
      <c r="B1715" s="107" t="s">
        <v>197</v>
      </c>
      <c r="C1715" s="107" t="s">
        <v>274</v>
      </c>
      <c r="D1715" s="107">
        <v>5</v>
      </c>
      <c r="E1715" s="107" t="s">
        <v>188</v>
      </c>
      <c r="F1715" s="107" t="s">
        <v>622</v>
      </c>
      <c r="G1715" s="107">
        <v>27</v>
      </c>
      <c r="H1715" s="107">
        <v>10</v>
      </c>
      <c r="I1715" s="107">
        <v>0</v>
      </c>
      <c r="J1715" s="107">
        <f t="shared" si="27"/>
        <v>5.5</v>
      </c>
      <c r="K1715" s="107">
        <v>4000</v>
      </c>
      <c r="L1715" s="107">
        <v>1798</v>
      </c>
      <c r="M1715" s="107">
        <v>62</v>
      </c>
      <c r="N1715" s="107"/>
    </row>
    <row r="1716" spans="1:14" x14ac:dyDescent="0.15">
      <c r="A1716" s="107">
        <v>1666</v>
      </c>
      <c r="B1716" s="107" t="s">
        <v>197</v>
      </c>
      <c r="C1716" s="107" t="s">
        <v>274</v>
      </c>
      <c r="D1716" s="107">
        <v>2.5</v>
      </c>
      <c r="E1716" s="107" t="s">
        <v>336</v>
      </c>
      <c r="F1716" s="107" t="s">
        <v>622</v>
      </c>
      <c r="G1716" s="107">
        <v>13</v>
      </c>
      <c r="H1716" s="107">
        <v>15</v>
      </c>
      <c r="I1716" s="107">
        <v>0</v>
      </c>
      <c r="J1716" s="107">
        <f t="shared" si="27"/>
        <v>5.5</v>
      </c>
      <c r="K1716" s="107">
        <v>4001</v>
      </c>
      <c r="L1716" s="107">
        <v>1800</v>
      </c>
      <c r="M1716" s="107">
        <v>38</v>
      </c>
      <c r="N1716" s="107"/>
    </row>
    <row r="1717" spans="1:14" x14ac:dyDescent="0.15">
      <c r="A1717" s="107">
        <v>1667</v>
      </c>
      <c r="B1717" s="107" t="s">
        <v>197</v>
      </c>
      <c r="C1717" s="107" t="s">
        <v>274</v>
      </c>
      <c r="D1717" s="107">
        <v>5.625</v>
      </c>
      <c r="E1717" s="107" t="s">
        <v>188</v>
      </c>
      <c r="F1717" s="107" t="s">
        <v>622</v>
      </c>
      <c r="G1717" s="107">
        <v>30</v>
      </c>
      <c r="H1717" s="107">
        <v>18</v>
      </c>
      <c r="I1717" s="107">
        <v>12</v>
      </c>
      <c r="J1717" s="107">
        <f t="shared" si="27"/>
        <v>5.5</v>
      </c>
      <c r="K1717" s="107">
        <v>4002</v>
      </c>
      <c r="L1717" s="107">
        <v>1802</v>
      </c>
      <c r="M1717" s="107">
        <v>760</v>
      </c>
      <c r="N1717" s="107"/>
    </row>
    <row r="1718" spans="1:14" x14ac:dyDescent="0.15">
      <c r="A1718" s="107">
        <v>1668</v>
      </c>
      <c r="B1718" s="107" t="s">
        <v>197</v>
      </c>
      <c r="C1718" s="107" t="s">
        <v>274</v>
      </c>
      <c r="D1718" s="107">
        <v>7</v>
      </c>
      <c r="E1718" s="107" t="s">
        <v>344</v>
      </c>
      <c r="F1718" s="107" t="s">
        <v>622</v>
      </c>
      <c r="G1718" s="107">
        <v>10</v>
      </c>
      <c r="H1718" s="107">
        <v>10</v>
      </c>
      <c r="I1718" s="107">
        <v>0</v>
      </c>
      <c r="J1718" s="107">
        <f t="shared" si="27"/>
        <v>1.5</v>
      </c>
      <c r="K1718" s="107">
        <v>4003</v>
      </c>
      <c r="L1718" s="107">
        <v>1802</v>
      </c>
      <c r="M1718" s="107">
        <v>42</v>
      </c>
      <c r="N1718" s="107"/>
    </row>
    <row r="1719" spans="1:14" x14ac:dyDescent="0.15">
      <c r="A1719" s="107">
        <v>1669</v>
      </c>
      <c r="B1719" s="107" t="s">
        <v>196</v>
      </c>
      <c r="C1719" s="107" t="s">
        <v>274</v>
      </c>
      <c r="D1719" s="107">
        <v>3.5</v>
      </c>
      <c r="E1719" s="107" t="s">
        <v>344</v>
      </c>
      <c r="F1719" s="107" t="s">
        <v>622</v>
      </c>
      <c r="G1719" s="107">
        <v>5</v>
      </c>
      <c r="H1719" s="107">
        <v>5</v>
      </c>
      <c r="I1719" s="107">
        <v>0</v>
      </c>
      <c r="J1719" s="107">
        <f t="shared" si="27"/>
        <v>1.5</v>
      </c>
      <c r="K1719" s="107">
        <v>4004</v>
      </c>
      <c r="L1719" s="107">
        <v>1805</v>
      </c>
      <c r="M1719" s="107">
        <v>570</v>
      </c>
      <c r="N1719" s="107"/>
    </row>
    <row r="1720" spans="1:14" x14ac:dyDescent="0.15">
      <c r="A1720" s="107">
        <v>1672</v>
      </c>
      <c r="B1720" s="107" t="s">
        <v>196</v>
      </c>
      <c r="C1720" s="107" t="s">
        <v>274</v>
      </c>
      <c r="D1720" s="107">
        <v>2</v>
      </c>
      <c r="E1720" s="107" t="s">
        <v>188</v>
      </c>
      <c r="F1720" s="107" t="s">
        <v>622</v>
      </c>
      <c r="G1720" s="107">
        <v>16</v>
      </c>
      <c r="H1720" s="107">
        <v>0</v>
      </c>
      <c r="I1720" s="107">
        <v>0</v>
      </c>
      <c r="J1720" s="107">
        <f t="shared" si="27"/>
        <v>8</v>
      </c>
      <c r="K1720" s="107">
        <v>4008</v>
      </c>
      <c r="L1720" s="107">
        <v>1810</v>
      </c>
      <c r="M1720" s="107">
        <v>511</v>
      </c>
      <c r="N1720" s="107"/>
    </row>
    <row r="1721" spans="1:14" x14ac:dyDescent="0.15">
      <c r="A1721" s="107">
        <v>1677</v>
      </c>
      <c r="B1721" s="107" t="s">
        <v>197</v>
      </c>
      <c r="C1721" s="107" t="s">
        <v>274</v>
      </c>
      <c r="D1721" s="107">
        <v>1</v>
      </c>
      <c r="E1721" s="107" t="s">
        <v>188</v>
      </c>
      <c r="F1721" s="107" t="s">
        <v>622</v>
      </c>
      <c r="G1721" s="107">
        <v>8</v>
      </c>
      <c r="H1721" s="107">
        <v>0</v>
      </c>
      <c r="I1721" s="107">
        <v>0</v>
      </c>
      <c r="J1721" s="107">
        <f t="shared" si="27"/>
        <v>8</v>
      </c>
      <c r="K1721" s="107">
        <v>4013</v>
      </c>
      <c r="L1721" s="107">
        <v>1816</v>
      </c>
      <c r="M1721" s="107">
        <v>742</v>
      </c>
      <c r="N1721" s="107"/>
    </row>
    <row r="1722" spans="1:14" x14ac:dyDescent="0.15">
      <c r="A1722" s="107">
        <v>1682</v>
      </c>
      <c r="B1722" s="107" t="s">
        <v>197</v>
      </c>
      <c r="C1722" s="107" t="s">
        <v>271</v>
      </c>
      <c r="D1722" s="107">
        <v>2</v>
      </c>
      <c r="E1722" s="107" t="s">
        <v>188</v>
      </c>
      <c r="F1722" s="107" t="s">
        <v>622</v>
      </c>
      <c r="G1722" s="107">
        <v>16</v>
      </c>
      <c r="H1722" s="107">
        <v>10</v>
      </c>
      <c r="I1722" s="107">
        <v>0</v>
      </c>
      <c r="J1722" s="107">
        <f t="shared" si="27"/>
        <v>8.25</v>
      </c>
      <c r="K1722" s="107">
        <v>4018</v>
      </c>
      <c r="L1722" s="107">
        <v>1820</v>
      </c>
      <c r="M1722" s="107">
        <v>762</v>
      </c>
      <c r="N1722" s="107" t="s">
        <v>273</v>
      </c>
    </row>
    <row r="1723" spans="1:14" x14ac:dyDescent="0.15">
      <c r="A1723" s="107">
        <v>1689</v>
      </c>
      <c r="B1723" s="107" t="s">
        <v>253</v>
      </c>
      <c r="C1723" s="107" t="s">
        <v>271</v>
      </c>
      <c r="D1723" s="107">
        <v>12</v>
      </c>
      <c r="E1723" s="107" t="s">
        <v>188</v>
      </c>
      <c r="F1723" s="107" t="s">
        <v>622</v>
      </c>
      <c r="G1723" s="107">
        <v>90</v>
      </c>
      <c r="H1723" s="107">
        <v>0</v>
      </c>
      <c r="I1723" s="107">
        <v>0</v>
      </c>
      <c r="J1723" s="107">
        <f t="shared" si="27"/>
        <v>7.5</v>
      </c>
      <c r="K1723" s="107">
        <v>4027</v>
      </c>
      <c r="L1723" s="107">
        <v>1832</v>
      </c>
      <c r="M1723" s="107">
        <v>497</v>
      </c>
      <c r="N1723" s="107"/>
    </row>
    <row r="1724" spans="1:14" x14ac:dyDescent="0.15">
      <c r="A1724" s="107">
        <v>1698</v>
      </c>
      <c r="B1724" s="107" t="s">
        <v>200</v>
      </c>
      <c r="C1724" s="107" t="s">
        <v>271</v>
      </c>
      <c r="D1724" s="107">
        <v>3</v>
      </c>
      <c r="E1724" s="107" t="s">
        <v>336</v>
      </c>
      <c r="F1724" s="107" t="s">
        <v>622</v>
      </c>
      <c r="G1724" s="107">
        <v>21</v>
      </c>
      <c r="H1724" s="107">
        <v>0</v>
      </c>
      <c r="I1724" s="107">
        <v>0</v>
      </c>
      <c r="J1724" s="107">
        <f t="shared" si="27"/>
        <v>7</v>
      </c>
      <c r="K1724" s="107">
        <v>4043</v>
      </c>
      <c r="L1724" s="107">
        <v>1851</v>
      </c>
      <c r="M1724" s="107">
        <v>829</v>
      </c>
      <c r="N1724" s="107"/>
    </row>
    <row r="1725" spans="1:14" x14ac:dyDescent="0.15">
      <c r="A1725" s="107">
        <v>1699</v>
      </c>
      <c r="B1725" s="107" t="s">
        <v>197</v>
      </c>
      <c r="C1725" s="107" t="s">
        <v>271</v>
      </c>
      <c r="D1725" s="107">
        <v>3</v>
      </c>
      <c r="E1725" s="107" t="s">
        <v>188</v>
      </c>
      <c r="F1725" s="107" t="s">
        <v>622</v>
      </c>
      <c r="G1725" s="107">
        <v>21</v>
      </c>
      <c r="H1725" s="107">
        <v>0</v>
      </c>
      <c r="I1725" s="107">
        <v>0</v>
      </c>
      <c r="J1725" s="107">
        <f t="shared" si="27"/>
        <v>7</v>
      </c>
      <c r="K1725" s="107">
        <v>4043</v>
      </c>
      <c r="L1725" s="107">
        <v>1851</v>
      </c>
      <c r="M1725" s="107">
        <v>852</v>
      </c>
      <c r="N1725" s="107"/>
    </row>
    <row r="1726" spans="1:14" x14ac:dyDescent="0.15">
      <c r="A1726" s="107">
        <v>1700</v>
      </c>
      <c r="B1726" s="107" t="s">
        <v>200</v>
      </c>
      <c r="C1726" s="107" t="s">
        <v>271</v>
      </c>
      <c r="D1726" s="107">
        <v>0.33333333333333331</v>
      </c>
      <c r="E1726" s="107" t="s">
        <v>188</v>
      </c>
      <c r="F1726" s="107" t="s">
        <v>622</v>
      </c>
      <c r="G1726" s="107">
        <v>2</v>
      </c>
      <c r="H1726" s="107">
        <v>12</v>
      </c>
      <c r="I1726" s="107">
        <v>0</v>
      </c>
      <c r="J1726" s="107">
        <f t="shared" si="27"/>
        <v>7.8000000000000007</v>
      </c>
      <c r="K1726" s="107">
        <v>4047</v>
      </c>
      <c r="L1726" s="107">
        <v>1855</v>
      </c>
      <c r="M1726" s="107">
        <v>524</v>
      </c>
      <c r="N1726" s="107" t="s">
        <v>623</v>
      </c>
    </row>
    <row r="1727" spans="1:14" x14ac:dyDescent="0.15">
      <c r="A1727" s="107">
        <v>1700</v>
      </c>
      <c r="B1727" s="107" t="s">
        <v>236</v>
      </c>
      <c r="C1727" s="107" t="s">
        <v>271</v>
      </c>
      <c r="D1727" s="107">
        <v>10</v>
      </c>
      <c r="E1727" s="107" t="s">
        <v>188</v>
      </c>
      <c r="F1727" s="107" t="s">
        <v>622</v>
      </c>
      <c r="G1727" s="107">
        <v>70</v>
      </c>
      <c r="H1727" s="107">
        <v>0</v>
      </c>
      <c r="I1727" s="107">
        <v>0</v>
      </c>
      <c r="J1727" s="107">
        <f t="shared" si="27"/>
        <v>7</v>
      </c>
      <c r="K1727" s="107">
        <v>4047</v>
      </c>
      <c r="L1727" s="107">
        <v>1855</v>
      </c>
      <c r="M1727" s="107">
        <v>549</v>
      </c>
      <c r="N1727" s="107" t="s">
        <v>273</v>
      </c>
    </row>
    <row r="1728" spans="1:14" x14ac:dyDescent="0.15">
      <c r="A1728" s="107">
        <v>1704</v>
      </c>
      <c r="B1728" s="107" t="s">
        <v>253</v>
      </c>
      <c r="C1728" s="107" t="s">
        <v>271</v>
      </c>
      <c r="D1728" s="107">
        <v>4.5</v>
      </c>
      <c r="E1728" s="107" t="s">
        <v>188</v>
      </c>
      <c r="F1728" s="107" t="s">
        <v>622</v>
      </c>
      <c r="G1728" s="107">
        <v>31</v>
      </c>
      <c r="H1728" s="107">
        <v>10</v>
      </c>
      <c r="I1728" s="107">
        <v>0</v>
      </c>
      <c r="J1728" s="107">
        <f t="shared" si="27"/>
        <v>7</v>
      </c>
      <c r="K1728" s="107">
        <v>4050</v>
      </c>
      <c r="L1728" s="107">
        <v>1858</v>
      </c>
      <c r="M1728" s="107">
        <v>502</v>
      </c>
      <c r="N1728" s="107"/>
    </row>
    <row r="1729" spans="1:14" x14ac:dyDescent="0.15">
      <c r="A1729" s="107">
        <v>1760</v>
      </c>
      <c r="B1729" s="107" t="s">
        <v>253</v>
      </c>
      <c r="C1729" s="107" t="s">
        <v>268</v>
      </c>
      <c r="D1729" s="25">
        <v>75</v>
      </c>
      <c r="E1729" s="107" t="s">
        <v>193</v>
      </c>
      <c r="F1729" s="107" t="s">
        <v>624</v>
      </c>
      <c r="G1729" s="107">
        <v>18</v>
      </c>
      <c r="H1729" s="107">
        <v>15</v>
      </c>
      <c r="I1729" s="107">
        <v>0</v>
      </c>
      <c r="J1729" s="107">
        <f t="shared" si="27"/>
        <v>0.25</v>
      </c>
      <c r="K1729" s="107">
        <v>6387</v>
      </c>
      <c r="L1729" s="107"/>
      <c r="M1729" s="107"/>
      <c r="N1729" s="107"/>
    </row>
    <row r="1730" spans="1:14" x14ac:dyDescent="0.15">
      <c r="A1730" s="107">
        <v>1674</v>
      </c>
      <c r="B1730" s="107" t="s">
        <v>475</v>
      </c>
      <c r="C1730" s="107" t="s">
        <v>274</v>
      </c>
      <c r="D1730" s="107">
        <v>3</v>
      </c>
      <c r="E1730" s="107" t="s">
        <v>193</v>
      </c>
      <c r="F1730" s="107" t="s">
        <v>625</v>
      </c>
      <c r="G1730" s="107">
        <v>2</v>
      </c>
      <c r="H1730" s="107">
        <v>2</v>
      </c>
      <c r="I1730" s="107">
        <v>0</v>
      </c>
      <c r="J1730" s="107">
        <f t="shared" si="27"/>
        <v>0.70000000000000007</v>
      </c>
      <c r="K1730" s="107">
        <v>4011</v>
      </c>
      <c r="L1730" s="107">
        <v>1814</v>
      </c>
      <c r="M1730" s="107">
        <v>608</v>
      </c>
      <c r="N1730" s="107" t="s">
        <v>273</v>
      </c>
    </row>
    <row r="1731" spans="1:14" x14ac:dyDescent="0.15">
      <c r="A1731" s="107">
        <v>1706</v>
      </c>
      <c r="B1731" s="107" t="s">
        <v>186</v>
      </c>
      <c r="C1731" s="107" t="s">
        <v>268</v>
      </c>
      <c r="D1731" s="25">
        <v>6</v>
      </c>
      <c r="E1731" s="107" t="s">
        <v>472</v>
      </c>
      <c r="F1731" s="107" t="s">
        <v>626</v>
      </c>
      <c r="G1731" s="107">
        <v>2</v>
      </c>
      <c r="H1731" s="107">
        <v>15</v>
      </c>
      <c r="I1731" s="107">
        <v>0</v>
      </c>
      <c r="J1731" s="107">
        <f t="shared" si="27"/>
        <v>0.45833333333333331</v>
      </c>
      <c r="K1731" s="107">
        <v>5558</v>
      </c>
      <c r="L1731" s="107"/>
      <c r="M1731" s="107"/>
      <c r="N1731" s="107"/>
    </row>
    <row r="1732" spans="1:14" x14ac:dyDescent="0.15">
      <c r="A1732" s="107">
        <v>1709</v>
      </c>
      <c r="B1732" s="107" t="s">
        <v>192</v>
      </c>
      <c r="C1732" s="107" t="s">
        <v>268</v>
      </c>
      <c r="D1732" s="25">
        <v>7</v>
      </c>
      <c r="E1732" s="107" t="s">
        <v>472</v>
      </c>
      <c r="F1732" s="107" t="s">
        <v>626</v>
      </c>
      <c r="G1732" s="107">
        <v>2</v>
      </c>
      <c r="H1732" s="107">
        <v>14</v>
      </c>
      <c r="I1732" s="107">
        <v>0</v>
      </c>
      <c r="J1732" s="107">
        <f t="shared" si="27"/>
        <v>0.38571428571428573</v>
      </c>
      <c r="K1732" s="107">
        <v>5600</v>
      </c>
      <c r="L1732" s="107"/>
      <c r="M1732" s="107"/>
      <c r="N1732" s="107"/>
    </row>
    <row r="1733" spans="1:14" x14ac:dyDescent="0.15">
      <c r="A1733" s="107">
        <v>1709</v>
      </c>
      <c r="B1733" s="107" t="s">
        <v>192</v>
      </c>
      <c r="C1733" s="107" t="s">
        <v>268</v>
      </c>
      <c r="D1733" s="25">
        <v>5</v>
      </c>
      <c r="E1733" s="107" t="s">
        <v>472</v>
      </c>
      <c r="F1733" s="107" t="s">
        <v>626</v>
      </c>
      <c r="G1733" s="107">
        <v>1</v>
      </c>
      <c r="H1733" s="107">
        <v>18</v>
      </c>
      <c r="I1733" s="107">
        <v>8</v>
      </c>
      <c r="J1733" s="107">
        <f t="shared" si="27"/>
        <v>0.38499999999999995</v>
      </c>
      <c r="K1733" s="107">
        <v>5590</v>
      </c>
      <c r="L1733" s="107"/>
      <c r="M1733" s="107"/>
      <c r="N1733" s="107"/>
    </row>
    <row r="1734" spans="1:14" x14ac:dyDescent="0.15">
      <c r="A1734" s="107">
        <v>1710</v>
      </c>
      <c r="B1734" s="107" t="s">
        <v>186</v>
      </c>
      <c r="C1734" s="107" t="s">
        <v>268</v>
      </c>
      <c r="D1734" s="25">
        <v>5</v>
      </c>
      <c r="E1734" s="107" t="s">
        <v>472</v>
      </c>
      <c r="F1734" s="107" t="s">
        <v>626</v>
      </c>
      <c r="G1734" s="107">
        <v>2</v>
      </c>
      <c r="H1734" s="107">
        <v>18</v>
      </c>
      <c r="I1734" s="107">
        <v>8</v>
      </c>
      <c r="J1734" s="107">
        <f t="shared" si="27"/>
        <v>0.58499999999999996</v>
      </c>
      <c r="K1734" s="107">
        <v>5611</v>
      </c>
      <c r="L1734" s="107"/>
      <c r="M1734" s="107"/>
      <c r="N1734" s="107"/>
    </row>
    <row r="1735" spans="1:14" x14ac:dyDescent="0.15">
      <c r="A1735" s="107">
        <v>1712</v>
      </c>
      <c r="B1735" s="107" t="s">
        <v>261</v>
      </c>
      <c r="C1735" s="107" t="s">
        <v>268</v>
      </c>
      <c r="D1735" s="25">
        <v>6</v>
      </c>
      <c r="E1735" s="107" t="s">
        <v>472</v>
      </c>
      <c r="F1735" s="107" t="s">
        <v>626</v>
      </c>
      <c r="G1735" s="107">
        <v>3</v>
      </c>
      <c r="H1735" s="107">
        <v>7</v>
      </c>
      <c r="I1735" s="107">
        <v>8</v>
      </c>
      <c r="J1735" s="107">
        <f t="shared" si="27"/>
        <v>0.5625</v>
      </c>
      <c r="K1735" s="107">
        <v>5628</v>
      </c>
      <c r="L1735" s="107"/>
      <c r="M1735" s="107"/>
      <c r="N1735" s="107"/>
    </row>
    <row r="1736" spans="1:14" x14ac:dyDescent="0.15">
      <c r="A1736" s="107">
        <v>1713</v>
      </c>
      <c r="B1736" s="107" t="s">
        <v>260</v>
      </c>
      <c r="C1736" s="107" t="s">
        <v>268</v>
      </c>
      <c r="D1736" s="25">
        <v>8</v>
      </c>
      <c r="E1736" s="107" t="s">
        <v>472</v>
      </c>
      <c r="F1736" s="107" t="s">
        <v>626</v>
      </c>
      <c r="G1736" s="107">
        <v>4</v>
      </c>
      <c r="H1736" s="107">
        <v>11</v>
      </c>
      <c r="I1736" s="107">
        <v>8</v>
      </c>
      <c r="J1736" s="107">
        <f t="shared" si="27"/>
        <v>0.57187500000000002</v>
      </c>
      <c r="K1736" s="107">
        <v>5644</v>
      </c>
      <c r="L1736" s="107"/>
      <c r="M1736" s="107"/>
      <c r="N1736" s="107"/>
    </row>
    <row r="1737" spans="1:14" x14ac:dyDescent="0.15">
      <c r="A1737" s="107">
        <v>1713</v>
      </c>
      <c r="B1737" s="107" t="s">
        <v>236</v>
      </c>
      <c r="C1737" s="107" t="s">
        <v>268</v>
      </c>
      <c r="D1737" s="25">
        <v>8</v>
      </c>
      <c r="E1737" s="107" t="s">
        <v>472</v>
      </c>
      <c r="F1737" s="107" t="s">
        <v>626</v>
      </c>
      <c r="G1737" s="107">
        <v>4</v>
      </c>
      <c r="H1737" s="107">
        <v>11</v>
      </c>
      <c r="I1737" s="107">
        <v>8</v>
      </c>
      <c r="J1737" s="107">
        <f t="shared" si="27"/>
        <v>0.57187500000000002</v>
      </c>
      <c r="K1737" s="107">
        <v>5646</v>
      </c>
      <c r="L1737" s="107"/>
      <c r="M1737" s="107"/>
      <c r="N1737" s="107"/>
    </row>
    <row r="1738" spans="1:14" x14ac:dyDescent="0.15">
      <c r="A1738" s="107">
        <v>1714</v>
      </c>
      <c r="B1738" s="107" t="s">
        <v>247</v>
      </c>
      <c r="C1738" s="107" t="s">
        <v>268</v>
      </c>
      <c r="D1738" s="25">
        <v>6</v>
      </c>
      <c r="E1738" s="107" t="s">
        <v>472</v>
      </c>
      <c r="F1738" s="107" t="s">
        <v>626</v>
      </c>
      <c r="G1738" s="107">
        <v>2</v>
      </c>
      <c r="H1738" s="107">
        <v>15</v>
      </c>
      <c r="I1738" s="107">
        <v>0</v>
      </c>
      <c r="J1738" s="107">
        <f t="shared" si="27"/>
        <v>0.45833333333333331</v>
      </c>
      <c r="K1738" s="107">
        <v>5655</v>
      </c>
      <c r="L1738" s="107"/>
      <c r="M1738" s="107"/>
      <c r="N1738" s="107"/>
    </row>
    <row r="1739" spans="1:14" x14ac:dyDescent="0.15">
      <c r="A1739" s="107">
        <v>1716</v>
      </c>
      <c r="B1739" s="107" t="s">
        <v>197</v>
      </c>
      <c r="C1739" s="107" t="s">
        <v>268</v>
      </c>
      <c r="D1739" s="25">
        <v>12</v>
      </c>
      <c r="E1739" s="107" t="s">
        <v>472</v>
      </c>
      <c r="F1739" s="107" t="s">
        <v>626</v>
      </c>
      <c r="G1739" s="107">
        <v>5</v>
      </c>
      <c r="H1739" s="107">
        <v>11</v>
      </c>
      <c r="I1739" s="107">
        <v>0</v>
      </c>
      <c r="J1739" s="107">
        <f t="shared" si="27"/>
        <v>0.46249999999999997</v>
      </c>
      <c r="K1739" s="107">
        <v>5670</v>
      </c>
      <c r="L1739" s="107"/>
      <c r="M1739" s="107"/>
      <c r="N1739" s="107"/>
    </row>
    <row r="1740" spans="1:14" x14ac:dyDescent="0.15">
      <c r="A1740" s="107">
        <v>1718</v>
      </c>
      <c r="B1740" s="107" t="s">
        <v>253</v>
      </c>
      <c r="C1740" s="107" t="s">
        <v>268</v>
      </c>
      <c r="D1740" s="25">
        <v>3</v>
      </c>
      <c r="E1740" s="107" t="s">
        <v>472</v>
      </c>
      <c r="F1740" s="107" t="s">
        <v>626</v>
      </c>
      <c r="G1740" s="107">
        <v>1</v>
      </c>
      <c r="H1740" s="107">
        <v>11</v>
      </c>
      <c r="I1740" s="107">
        <v>0</v>
      </c>
      <c r="J1740" s="107">
        <f t="shared" si="27"/>
        <v>0.51666666666666672</v>
      </c>
      <c r="K1740" s="107">
        <v>5702</v>
      </c>
      <c r="L1740" s="107"/>
      <c r="M1740" s="107"/>
      <c r="N1740" s="107"/>
    </row>
    <row r="1741" spans="1:14" x14ac:dyDescent="0.15">
      <c r="A1741" s="107">
        <v>1718</v>
      </c>
      <c r="B1741" s="107" t="s">
        <v>261</v>
      </c>
      <c r="C1741" s="107" t="s">
        <v>268</v>
      </c>
      <c r="D1741" s="25">
        <v>6</v>
      </c>
      <c r="E1741" s="107" t="s">
        <v>472</v>
      </c>
      <c r="F1741" s="107" t="s">
        <v>626</v>
      </c>
      <c r="G1741" s="107">
        <v>3</v>
      </c>
      <c r="H1741" s="107">
        <v>2</v>
      </c>
      <c r="I1741" s="107">
        <v>8</v>
      </c>
      <c r="J1741" s="107">
        <f t="shared" si="27"/>
        <v>0.52083333333333337</v>
      </c>
      <c r="K1741" s="107">
        <v>5703</v>
      </c>
      <c r="L1741" s="107"/>
      <c r="M1741" s="107"/>
      <c r="N1741" s="107"/>
    </row>
    <row r="1742" spans="1:14" x14ac:dyDescent="0.15">
      <c r="A1742" s="107">
        <v>1719</v>
      </c>
      <c r="B1742" s="107" t="s">
        <v>186</v>
      </c>
      <c r="C1742" s="107" t="s">
        <v>268</v>
      </c>
      <c r="D1742" s="25">
        <v>6</v>
      </c>
      <c r="E1742" s="107" t="s">
        <v>472</v>
      </c>
      <c r="F1742" s="107" t="s">
        <v>626</v>
      </c>
      <c r="G1742" s="107">
        <v>3</v>
      </c>
      <c r="H1742" s="107">
        <v>1</v>
      </c>
      <c r="I1742" s="107">
        <v>0</v>
      </c>
      <c r="J1742" s="107">
        <f t="shared" si="27"/>
        <v>0.5083333333333333</v>
      </c>
      <c r="K1742" s="107">
        <v>5732</v>
      </c>
      <c r="L1742" s="107"/>
      <c r="M1742" s="107"/>
      <c r="N1742" s="107"/>
    </row>
    <row r="1743" spans="1:14" x14ac:dyDescent="0.15">
      <c r="A1743" s="107">
        <v>1720</v>
      </c>
      <c r="B1743" s="107" t="s">
        <v>253</v>
      </c>
      <c r="C1743" s="107" t="s">
        <v>268</v>
      </c>
      <c r="D1743" s="25">
        <v>12</v>
      </c>
      <c r="E1743" s="107" t="s">
        <v>472</v>
      </c>
      <c r="F1743" s="107" t="s">
        <v>626</v>
      </c>
      <c r="G1743" s="107">
        <v>6</v>
      </c>
      <c r="H1743" s="107">
        <v>4</v>
      </c>
      <c r="I1743" s="107">
        <v>8</v>
      </c>
      <c r="J1743" s="107">
        <f t="shared" si="27"/>
        <v>0.51875000000000004</v>
      </c>
      <c r="K1743" s="107">
        <v>5731</v>
      </c>
      <c r="L1743" s="107"/>
      <c r="M1743" s="107"/>
      <c r="N1743" s="107"/>
    </row>
    <row r="1744" spans="1:14" x14ac:dyDescent="0.15">
      <c r="A1744" s="107">
        <v>1721</v>
      </c>
      <c r="B1744" s="107" t="s">
        <v>192</v>
      </c>
      <c r="C1744" s="107" t="s">
        <v>268</v>
      </c>
      <c r="D1744" s="25">
        <v>6</v>
      </c>
      <c r="E1744" s="107" t="s">
        <v>472</v>
      </c>
      <c r="F1744" s="107" t="s">
        <v>626</v>
      </c>
      <c r="G1744" s="107">
        <v>3</v>
      </c>
      <c r="H1744" s="107">
        <v>2</v>
      </c>
      <c r="I1744" s="107">
        <v>0</v>
      </c>
      <c r="J1744" s="107">
        <f t="shared" si="27"/>
        <v>0.51666666666666672</v>
      </c>
      <c r="K1744" s="107">
        <v>5753</v>
      </c>
      <c r="L1744" s="107"/>
      <c r="M1744" s="107"/>
      <c r="N1744" s="107"/>
    </row>
    <row r="1745" spans="1:11" x14ac:dyDescent="0.15">
      <c r="A1745" s="107">
        <v>1722</v>
      </c>
      <c r="B1745" s="107" t="s">
        <v>260</v>
      </c>
      <c r="C1745" s="107" t="s">
        <v>268</v>
      </c>
      <c r="D1745" s="25">
        <v>10</v>
      </c>
      <c r="E1745" s="107" t="s">
        <v>472</v>
      </c>
      <c r="F1745" s="107" t="s">
        <v>626</v>
      </c>
      <c r="G1745" s="107">
        <v>5</v>
      </c>
      <c r="H1745" s="107">
        <v>0</v>
      </c>
      <c r="I1745" s="107">
        <v>0</v>
      </c>
      <c r="J1745" s="107">
        <f t="shared" si="27"/>
        <v>0.5</v>
      </c>
      <c r="K1745" s="107">
        <v>5772</v>
      </c>
    </row>
    <row r="1746" spans="1:11" x14ac:dyDescent="0.15">
      <c r="A1746" s="107">
        <v>1723</v>
      </c>
      <c r="B1746" s="107" t="s">
        <v>236</v>
      </c>
      <c r="C1746" s="107" t="s">
        <v>268</v>
      </c>
      <c r="D1746" s="25">
        <v>6</v>
      </c>
      <c r="E1746" s="107" t="s">
        <v>472</v>
      </c>
      <c r="F1746" s="107" t="s">
        <v>626</v>
      </c>
      <c r="G1746" s="107">
        <v>3</v>
      </c>
      <c r="H1746" s="107">
        <v>10</v>
      </c>
      <c r="I1746" s="107">
        <v>0</v>
      </c>
      <c r="J1746" s="107">
        <f t="shared" si="27"/>
        <v>0.58333333333333337</v>
      </c>
      <c r="K1746" s="107">
        <v>6808</v>
      </c>
    </row>
    <row r="1747" spans="1:11" x14ac:dyDescent="0.15">
      <c r="A1747" s="107">
        <v>1724</v>
      </c>
      <c r="B1747" s="107" t="s">
        <v>197</v>
      </c>
      <c r="C1747" s="107" t="s">
        <v>268</v>
      </c>
      <c r="D1747" s="25">
        <v>6</v>
      </c>
      <c r="E1747" s="107" t="s">
        <v>472</v>
      </c>
      <c r="F1747" s="107" t="s">
        <v>626</v>
      </c>
      <c r="G1747" s="107">
        <v>2</v>
      </c>
      <c r="H1747" s="107">
        <v>13</v>
      </c>
      <c r="I1747" s="107">
        <v>8</v>
      </c>
      <c r="J1747" s="107">
        <f t="shared" si="27"/>
        <v>0.4458333333333333</v>
      </c>
      <c r="K1747" s="107">
        <v>6807</v>
      </c>
    </row>
    <row r="1748" spans="1:11" x14ac:dyDescent="0.15">
      <c r="A1748" s="107">
        <v>1725</v>
      </c>
      <c r="B1748" s="107" t="s">
        <v>200</v>
      </c>
      <c r="C1748" s="107" t="s">
        <v>268</v>
      </c>
      <c r="D1748" s="25">
        <v>6</v>
      </c>
      <c r="E1748" s="107" t="s">
        <v>472</v>
      </c>
      <c r="F1748" s="107" t="s">
        <v>626</v>
      </c>
      <c r="G1748" s="107">
        <v>2</v>
      </c>
      <c r="H1748" s="107">
        <v>7</v>
      </c>
      <c r="I1748" s="107">
        <v>0</v>
      </c>
      <c r="J1748" s="107">
        <f t="shared" si="27"/>
        <v>0.39166666666666666</v>
      </c>
      <c r="K1748" s="107">
        <v>5838</v>
      </c>
    </row>
    <row r="1749" spans="1:11" x14ac:dyDescent="0.15">
      <c r="A1749" s="107">
        <v>1726</v>
      </c>
      <c r="B1749" s="107" t="s">
        <v>261</v>
      </c>
      <c r="C1749" s="107" t="s">
        <v>268</v>
      </c>
      <c r="D1749" s="25">
        <v>6</v>
      </c>
      <c r="E1749" s="107" t="s">
        <v>472</v>
      </c>
      <c r="F1749" s="107" t="s">
        <v>626</v>
      </c>
      <c r="G1749" s="107">
        <v>2</v>
      </c>
      <c r="H1749" s="107">
        <v>8</v>
      </c>
      <c r="I1749" s="107">
        <v>0</v>
      </c>
      <c r="J1749" s="107">
        <f t="shared" si="27"/>
        <v>0.39999999999999997</v>
      </c>
      <c r="K1749" s="107">
        <v>5855</v>
      </c>
    </row>
    <row r="1750" spans="1:11" x14ac:dyDescent="0.15">
      <c r="A1750" s="107">
        <v>1727</v>
      </c>
      <c r="B1750" s="107" t="s">
        <v>192</v>
      </c>
      <c r="C1750" s="107" t="s">
        <v>268</v>
      </c>
      <c r="D1750" s="25">
        <v>8</v>
      </c>
      <c r="E1750" s="107" t="s">
        <v>472</v>
      </c>
      <c r="F1750" s="107" t="s">
        <v>626</v>
      </c>
      <c r="G1750" s="107">
        <v>3</v>
      </c>
      <c r="H1750" s="107">
        <v>14</v>
      </c>
      <c r="I1750" s="107">
        <v>8</v>
      </c>
      <c r="J1750" s="107">
        <f t="shared" si="27"/>
        <v>0.46562500000000001</v>
      </c>
      <c r="K1750" s="107">
        <v>5871</v>
      </c>
    </row>
    <row r="1751" spans="1:11" x14ac:dyDescent="0.15">
      <c r="A1751" s="107">
        <v>1728</v>
      </c>
      <c r="B1751" s="107" t="s">
        <v>186</v>
      </c>
      <c r="C1751" s="107" t="s">
        <v>268</v>
      </c>
      <c r="D1751" s="25">
        <v>8</v>
      </c>
      <c r="E1751" s="107" t="s">
        <v>472</v>
      </c>
      <c r="F1751" s="107" t="s">
        <v>626</v>
      </c>
      <c r="G1751" s="107">
        <v>3</v>
      </c>
      <c r="H1751" s="107">
        <v>19</v>
      </c>
      <c r="I1751" s="107">
        <v>8</v>
      </c>
      <c r="J1751" s="107">
        <f t="shared" si="27"/>
        <v>0.49687500000000001</v>
      </c>
      <c r="K1751" s="107">
        <v>5900</v>
      </c>
    </row>
    <row r="1752" spans="1:11" x14ac:dyDescent="0.15">
      <c r="A1752" s="107">
        <v>1729</v>
      </c>
      <c r="B1752" s="107" t="s">
        <v>261</v>
      </c>
      <c r="C1752" s="107" t="s">
        <v>268</v>
      </c>
      <c r="D1752" s="25">
        <v>6</v>
      </c>
      <c r="E1752" s="107" t="s">
        <v>472</v>
      </c>
      <c r="F1752" s="107" t="s">
        <v>626</v>
      </c>
      <c r="G1752" s="107">
        <v>3</v>
      </c>
      <c r="H1752" s="107">
        <v>0</v>
      </c>
      <c r="I1752" s="107">
        <v>8</v>
      </c>
      <c r="J1752" s="107">
        <f t="shared" si="27"/>
        <v>0.50416666666666665</v>
      </c>
      <c r="K1752" s="107">
        <v>5903</v>
      </c>
    </row>
    <row r="1753" spans="1:11" x14ac:dyDescent="0.15">
      <c r="A1753" s="107">
        <v>1730</v>
      </c>
      <c r="B1753" s="107" t="s">
        <v>226</v>
      </c>
      <c r="C1753" s="107" t="s">
        <v>268</v>
      </c>
      <c r="D1753" s="25">
        <v>6</v>
      </c>
      <c r="E1753" s="107" t="s">
        <v>472</v>
      </c>
      <c r="F1753" s="107" t="s">
        <v>626</v>
      </c>
      <c r="G1753" s="107">
        <v>2</v>
      </c>
      <c r="H1753" s="107">
        <v>9</v>
      </c>
      <c r="I1753" s="107">
        <v>0</v>
      </c>
      <c r="J1753" s="107">
        <f t="shared" si="27"/>
        <v>0.40833333333333338</v>
      </c>
      <c r="K1753" s="107">
        <v>5935</v>
      </c>
    </row>
    <row r="1754" spans="1:11" x14ac:dyDescent="0.15">
      <c r="A1754" s="107">
        <v>1732</v>
      </c>
      <c r="B1754" s="107" t="s">
        <v>186</v>
      </c>
      <c r="C1754" s="107" t="s">
        <v>268</v>
      </c>
      <c r="D1754" s="25">
        <v>6</v>
      </c>
      <c r="E1754" s="107" t="s">
        <v>472</v>
      </c>
      <c r="F1754" s="107" t="s">
        <v>626</v>
      </c>
      <c r="G1754" s="107">
        <v>3</v>
      </c>
      <c r="H1754" s="107">
        <v>13</v>
      </c>
      <c r="I1754" s="107">
        <v>0</v>
      </c>
      <c r="J1754" s="107">
        <f t="shared" si="27"/>
        <v>0.60833333333333328</v>
      </c>
      <c r="K1754" s="107">
        <v>5957</v>
      </c>
    </row>
    <row r="1755" spans="1:11" x14ac:dyDescent="0.15">
      <c r="A1755" s="107">
        <v>1733</v>
      </c>
      <c r="B1755" s="107" t="s">
        <v>253</v>
      </c>
      <c r="C1755" s="107" t="s">
        <v>268</v>
      </c>
      <c r="D1755" s="25">
        <v>6</v>
      </c>
      <c r="E1755" s="107" t="s">
        <v>472</v>
      </c>
      <c r="F1755" s="107" t="s">
        <v>626</v>
      </c>
      <c r="G1755" s="107">
        <v>3</v>
      </c>
      <c r="H1755" s="107">
        <v>13</v>
      </c>
      <c r="I1755" s="107">
        <v>0</v>
      </c>
      <c r="J1755" s="107">
        <f t="shared" si="27"/>
        <v>0.60833333333333328</v>
      </c>
      <c r="K1755" s="107">
        <v>5956</v>
      </c>
    </row>
    <row r="1756" spans="1:11" x14ac:dyDescent="0.15">
      <c r="A1756" s="107">
        <v>1735</v>
      </c>
      <c r="B1756" s="107" t="s">
        <v>244</v>
      </c>
      <c r="C1756" s="107" t="s">
        <v>268</v>
      </c>
      <c r="D1756" s="25">
        <v>6</v>
      </c>
      <c r="E1756" s="107" t="s">
        <v>472</v>
      </c>
      <c r="F1756" s="107" t="s">
        <v>626</v>
      </c>
      <c r="G1756" s="107">
        <v>3</v>
      </c>
      <c r="H1756" s="107">
        <v>1</v>
      </c>
      <c r="I1756" s="107">
        <v>0</v>
      </c>
      <c r="J1756" s="107">
        <f t="shared" si="27"/>
        <v>0.5083333333333333</v>
      </c>
      <c r="K1756" s="107">
        <v>6015</v>
      </c>
    </row>
    <row r="1757" spans="1:11" x14ac:dyDescent="0.15">
      <c r="A1757" s="107">
        <v>1736</v>
      </c>
      <c r="B1757" s="107" t="s">
        <v>261</v>
      </c>
      <c r="C1757" s="107" t="s">
        <v>268</v>
      </c>
      <c r="D1757" s="25">
        <v>6</v>
      </c>
      <c r="E1757" s="107" t="s">
        <v>472</v>
      </c>
      <c r="F1757" s="107" t="s">
        <v>626</v>
      </c>
      <c r="G1757" s="107">
        <v>2</v>
      </c>
      <c r="H1757" s="107">
        <v>15</v>
      </c>
      <c r="I1757" s="107">
        <v>0</v>
      </c>
      <c r="J1757" s="107">
        <f t="shared" si="27"/>
        <v>0.45833333333333331</v>
      </c>
      <c r="K1757" s="107">
        <v>6014</v>
      </c>
    </row>
    <row r="1758" spans="1:11" x14ac:dyDescent="0.15">
      <c r="A1758" s="107">
        <v>1737</v>
      </c>
      <c r="B1758" s="107" t="s">
        <v>226</v>
      </c>
      <c r="C1758" s="107" t="s">
        <v>268</v>
      </c>
      <c r="D1758" s="25">
        <v>6</v>
      </c>
      <c r="E1758" s="107" t="s">
        <v>472</v>
      </c>
      <c r="F1758" s="107" t="s">
        <v>626</v>
      </c>
      <c r="G1758" s="107">
        <v>3</v>
      </c>
      <c r="H1758" s="107">
        <v>0</v>
      </c>
      <c r="I1758" s="107">
        <v>0</v>
      </c>
      <c r="J1758" s="107">
        <f t="shared" si="27"/>
        <v>0.5</v>
      </c>
      <c r="K1758" s="107">
        <v>6035</v>
      </c>
    </row>
    <row r="1759" spans="1:11" x14ac:dyDescent="0.15">
      <c r="A1759" s="107">
        <v>1738</v>
      </c>
      <c r="B1759" s="107" t="s">
        <v>196</v>
      </c>
      <c r="C1759" s="107" t="s">
        <v>268</v>
      </c>
      <c r="D1759" s="25">
        <v>6</v>
      </c>
      <c r="E1759" s="107" t="s">
        <v>472</v>
      </c>
      <c r="F1759" s="107" t="s">
        <v>626</v>
      </c>
      <c r="G1759" s="107">
        <v>2</v>
      </c>
      <c r="H1759" s="107">
        <v>15</v>
      </c>
      <c r="I1759" s="107">
        <v>0</v>
      </c>
      <c r="J1759" s="107">
        <f t="shared" si="27"/>
        <v>0.45833333333333331</v>
      </c>
      <c r="K1759" s="107">
        <v>6060</v>
      </c>
    </row>
    <row r="1760" spans="1:11" x14ac:dyDescent="0.15">
      <c r="A1760" s="107">
        <v>1739</v>
      </c>
      <c r="B1760" s="107" t="s">
        <v>226</v>
      </c>
      <c r="C1760" s="107" t="s">
        <v>268</v>
      </c>
      <c r="D1760" s="25">
        <v>8</v>
      </c>
      <c r="E1760" s="107" t="s">
        <v>472</v>
      </c>
      <c r="F1760" s="107" t="s">
        <v>626</v>
      </c>
      <c r="G1760" s="107">
        <v>3</v>
      </c>
      <c r="H1760" s="107">
        <v>9</v>
      </c>
      <c r="I1760" s="107">
        <v>8</v>
      </c>
      <c r="J1760" s="107">
        <f t="shared" si="27"/>
        <v>0.43437500000000001</v>
      </c>
      <c r="K1760" s="107">
        <v>6089</v>
      </c>
    </row>
    <row r="1761" spans="1:11" x14ac:dyDescent="0.15">
      <c r="A1761" s="107">
        <v>1740</v>
      </c>
      <c r="B1761" s="107" t="s">
        <v>197</v>
      </c>
      <c r="C1761" s="107" t="s">
        <v>268</v>
      </c>
      <c r="D1761" s="25">
        <v>8</v>
      </c>
      <c r="E1761" s="107" t="s">
        <v>472</v>
      </c>
      <c r="F1761" s="107" t="s">
        <v>626</v>
      </c>
      <c r="G1761" s="107">
        <v>3</v>
      </c>
      <c r="H1761" s="107">
        <v>7</v>
      </c>
      <c r="I1761" s="107">
        <v>8</v>
      </c>
      <c r="J1761" s="107">
        <f t="shared" si="27"/>
        <v>0.421875</v>
      </c>
      <c r="K1761" s="107">
        <v>6098</v>
      </c>
    </row>
    <row r="1762" spans="1:11" x14ac:dyDescent="0.15">
      <c r="A1762" s="107">
        <v>1741</v>
      </c>
      <c r="B1762" s="107" t="s">
        <v>196</v>
      </c>
      <c r="C1762" s="107" t="s">
        <v>268</v>
      </c>
      <c r="D1762" s="25">
        <v>12</v>
      </c>
      <c r="E1762" s="107" t="s">
        <v>472</v>
      </c>
      <c r="F1762" s="107" t="s">
        <v>626</v>
      </c>
      <c r="G1762" s="107">
        <v>4</v>
      </c>
      <c r="H1762" s="107">
        <v>16</v>
      </c>
      <c r="I1762" s="107">
        <v>0</v>
      </c>
      <c r="J1762" s="107">
        <f t="shared" si="27"/>
        <v>0.39999999999999997</v>
      </c>
      <c r="K1762" s="107">
        <v>6115</v>
      </c>
    </row>
    <row r="1763" spans="1:11" x14ac:dyDescent="0.15">
      <c r="A1763" s="107">
        <v>1742</v>
      </c>
      <c r="B1763" s="107" t="s">
        <v>261</v>
      </c>
      <c r="C1763" s="107" t="s">
        <v>268</v>
      </c>
      <c r="D1763" s="25">
        <v>8</v>
      </c>
      <c r="E1763" s="107" t="s">
        <v>472</v>
      </c>
      <c r="F1763" s="107" t="s">
        <v>626</v>
      </c>
      <c r="G1763" s="107">
        <v>3</v>
      </c>
      <c r="H1763" s="107">
        <v>14</v>
      </c>
      <c r="I1763" s="107">
        <v>8</v>
      </c>
      <c r="J1763" s="107">
        <f t="shared" si="27"/>
        <v>0.46562500000000001</v>
      </c>
      <c r="K1763" s="107">
        <v>6122</v>
      </c>
    </row>
    <row r="1764" spans="1:11" x14ac:dyDescent="0.15">
      <c r="A1764" s="107">
        <v>1743</v>
      </c>
      <c r="B1764" s="107" t="s">
        <v>196</v>
      </c>
      <c r="C1764" s="107" t="s">
        <v>268</v>
      </c>
      <c r="D1764" s="25">
        <v>12</v>
      </c>
      <c r="E1764" s="107" t="s">
        <v>472</v>
      </c>
      <c r="F1764" s="107" t="s">
        <v>626</v>
      </c>
      <c r="G1764" s="107">
        <v>5</v>
      </c>
      <c r="H1764" s="107">
        <v>15</v>
      </c>
      <c r="I1764" s="107">
        <v>8</v>
      </c>
      <c r="J1764" s="107">
        <f t="shared" si="27"/>
        <v>0.48125000000000001</v>
      </c>
      <c r="K1764" s="107">
        <v>6143</v>
      </c>
    </row>
    <row r="1765" spans="1:11" x14ac:dyDescent="0.15">
      <c r="A1765" s="107">
        <v>1745</v>
      </c>
      <c r="B1765" s="107" t="s">
        <v>261</v>
      </c>
      <c r="C1765" s="107" t="s">
        <v>268</v>
      </c>
      <c r="D1765" s="25">
        <v>8</v>
      </c>
      <c r="E1765" s="107" t="s">
        <v>472</v>
      </c>
      <c r="F1765" s="107" t="s">
        <v>626</v>
      </c>
      <c r="G1765" s="107">
        <v>2</v>
      </c>
      <c r="H1765" s="107">
        <v>9</v>
      </c>
      <c r="I1765" s="107">
        <v>0</v>
      </c>
      <c r="J1765" s="107">
        <f t="shared" si="27"/>
        <v>0.30625000000000002</v>
      </c>
      <c r="K1765" s="107">
        <v>6176</v>
      </c>
    </row>
    <row r="1766" spans="1:11" x14ac:dyDescent="0.15">
      <c r="A1766" s="107">
        <v>1746</v>
      </c>
      <c r="B1766" s="107" t="s">
        <v>226</v>
      </c>
      <c r="C1766" s="107" t="s">
        <v>268</v>
      </c>
      <c r="D1766" s="25">
        <v>8</v>
      </c>
      <c r="E1766" s="107" t="s">
        <v>472</v>
      </c>
      <c r="F1766" s="107" t="s">
        <v>626</v>
      </c>
      <c r="G1766" s="107">
        <v>2</v>
      </c>
      <c r="H1766" s="107">
        <v>18</v>
      </c>
      <c r="I1766" s="107">
        <v>0</v>
      </c>
      <c r="J1766" s="107">
        <f t="shared" si="27"/>
        <v>0.36249999999999999</v>
      </c>
      <c r="K1766" s="107">
        <v>6188</v>
      </c>
    </row>
    <row r="1767" spans="1:11" x14ac:dyDescent="0.15">
      <c r="A1767" s="107">
        <v>1747</v>
      </c>
      <c r="B1767" s="107" t="s">
        <v>247</v>
      </c>
      <c r="C1767" s="107" t="s">
        <v>268</v>
      </c>
      <c r="D1767" s="25">
        <v>8</v>
      </c>
      <c r="E1767" s="107" t="s">
        <v>472</v>
      </c>
      <c r="F1767" s="107" t="s">
        <v>626</v>
      </c>
      <c r="G1767" s="107">
        <v>2</v>
      </c>
      <c r="H1767" s="107">
        <v>13</v>
      </c>
      <c r="I1767" s="107">
        <v>0</v>
      </c>
      <c r="J1767" s="107">
        <f t="shared" si="27"/>
        <v>0.33124999999999999</v>
      </c>
      <c r="K1767" s="107">
        <v>6207</v>
      </c>
    </row>
    <row r="1768" spans="1:11" x14ac:dyDescent="0.15">
      <c r="A1768" s="107">
        <v>1753</v>
      </c>
      <c r="B1768" s="107" t="s">
        <v>196</v>
      </c>
      <c r="C1768" s="107" t="s">
        <v>268</v>
      </c>
      <c r="D1768" s="25">
        <v>6</v>
      </c>
      <c r="E1768" s="107" t="s">
        <v>472</v>
      </c>
      <c r="F1768" s="107" t="s">
        <v>626</v>
      </c>
      <c r="G1768" s="107">
        <v>5</v>
      </c>
      <c r="H1768" s="107">
        <v>18</v>
      </c>
      <c r="I1768" s="107">
        <v>8</v>
      </c>
      <c r="J1768" s="107">
        <f t="shared" si="27"/>
        <v>0.98750000000000016</v>
      </c>
      <c r="K1768" s="107">
        <v>6303</v>
      </c>
    </row>
    <row r="1769" spans="1:11" x14ac:dyDescent="0.15">
      <c r="A1769" s="107">
        <v>1754</v>
      </c>
      <c r="B1769" s="107" t="s">
        <v>196</v>
      </c>
      <c r="C1769" s="107" t="s">
        <v>268</v>
      </c>
      <c r="D1769" s="25">
        <v>4</v>
      </c>
      <c r="E1769" s="107" t="s">
        <v>472</v>
      </c>
      <c r="F1769" s="107" t="s">
        <v>626</v>
      </c>
      <c r="G1769" s="107">
        <v>1</v>
      </c>
      <c r="H1769" s="107">
        <v>9</v>
      </c>
      <c r="I1769" s="107">
        <v>8</v>
      </c>
      <c r="J1769" s="107">
        <f t="shared" si="27"/>
        <v>0.36874999999999997</v>
      </c>
      <c r="K1769" s="107">
        <v>6314</v>
      </c>
    </row>
    <row r="1770" spans="1:11" x14ac:dyDescent="0.15">
      <c r="A1770" s="107">
        <v>1755</v>
      </c>
      <c r="B1770" s="107" t="s">
        <v>226</v>
      </c>
      <c r="C1770" s="107" t="s">
        <v>268</v>
      </c>
      <c r="D1770" s="25">
        <v>6</v>
      </c>
      <c r="E1770" s="107" t="s">
        <v>472</v>
      </c>
      <c r="F1770" s="107" t="s">
        <v>626</v>
      </c>
      <c r="G1770" s="107">
        <v>2</v>
      </c>
      <c r="H1770" s="107">
        <v>4</v>
      </c>
      <c r="I1770" s="107">
        <v>0</v>
      </c>
      <c r="J1770" s="107">
        <f t="shared" si="27"/>
        <v>0.3666666666666667</v>
      </c>
      <c r="K1770" s="107">
        <v>6316</v>
      </c>
    </row>
    <row r="1771" spans="1:11" x14ac:dyDescent="0.15">
      <c r="A1771" s="107">
        <v>1756</v>
      </c>
      <c r="B1771" s="107" t="s">
        <v>197</v>
      </c>
      <c r="C1771" s="107" t="s">
        <v>268</v>
      </c>
      <c r="D1771" s="25">
        <v>6</v>
      </c>
      <c r="E1771" s="107" t="s">
        <v>472</v>
      </c>
      <c r="F1771" s="107" t="s">
        <v>626</v>
      </c>
      <c r="G1771" s="107">
        <v>2</v>
      </c>
      <c r="H1771" s="107">
        <v>4</v>
      </c>
      <c r="I1771" s="107">
        <v>0</v>
      </c>
      <c r="J1771" s="107">
        <f t="shared" si="27"/>
        <v>0.3666666666666667</v>
      </c>
      <c r="K1771" s="107">
        <v>6333</v>
      </c>
    </row>
    <row r="1772" spans="1:11" x14ac:dyDescent="0.15">
      <c r="A1772" s="107">
        <v>1760</v>
      </c>
      <c r="B1772" s="107" t="s">
        <v>253</v>
      </c>
      <c r="C1772" s="107" t="s">
        <v>268</v>
      </c>
      <c r="D1772" s="25">
        <v>6</v>
      </c>
      <c r="E1772" s="107" t="s">
        <v>472</v>
      </c>
      <c r="F1772" s="107" t="s">
        <v>626</v>
      </c>
      <c r="G1772" s="107">
        <v>2</v>
      </c>
      <c r="H1772" s="107">
        <v>12</v>
      </c>
      <c r="I1772" s="107">
        <v>0</v>
      </c>
      <c r="J1772" s="107">
        <f t="shared" si="27"/>
        <v>0.43333333333333335</v>
      </c>
      <c r="K1772" s="107">
        <v>6387</v>
      </c>
    </row>
    <row r="1773" spans="1:11" x14ac:dyDescent="0.15">
      <c r="A1773" s="107">
        <v>1766</v>
      </c>
      <c r="B1773" s="107" t="s">
        <v>261</v>
      </c>
      <c r="C1773" s="107" t="s">
        <v>268</v>
      </c>
      <c r="D1773" s="25">
        <v>6</v>
      </c>
      <c r="E1773" s="107" t="s">
        <v>472</v>
      </c>
      <c r="F1773" s="107" t="s">
        <v>626</v>
      </c>
      <c r="G1773" s="107">
        <v>2</v>
      </c>
      <c r="H1773" s="107">
        <v>14</v>
      </c>
      <c r="I1773" s="107">
        <v>8</v>
      </c>
      <c r="J1773" s="107">
        <f t="shared" si="27"/>
        <v>0.45416666666666666</v>
      </c>
      <c r="K1773" s="107">
        <v>6457</v>
      </c>
    </row>
    <row r="1774" spans="1:11" x14ac:dyDescent="0.15">
      <c r="A1774" s="107">
        <v>1768</v>
      </c>
      <c r="B1774" s="107" t="s">
        <v>260</v>
      </c>
      <c r="C1774" s="107" t="s">
        <v>268</v>
      </c>
      <c r="D1774" s="25">
        <v>6</v>
      </c>
      <c r="E1774" s="107" t="s">
        <v>472</v>
      </c>
      <c r="F1774" s="107" t="s">
        <v>626</v>
      </c>
      <c r="G1774" s="107">
        <v>2</v>
      </c>
      <c r="H1774" s="107">
        <v>4</v>
      </c>
      <c r="I1774" s="107">
        <v>0</v>
      </c>
      <c r="J1774" s="107">
        <f t="shared" si="27"/>
        <v>0.3666666666666667</v>
      </c>
      <c r="K1774" s="107">
        <v>6489</v>
      </c>
    </row>
    <row r="1775" spans="1:11" x14ac:dyDescent="0.15">
      <c r="A1775" s="107">
        <v>1769</v>
      </c>
      <c r="B1775" s="107" t="s">
        <v>260</v>
      </c>
      <c r="C1775" s="107" t="s">
        <v>268</v>
      </c>
      <c r="D1775" s="25">
        <v>30</v>
      </c>
      <c r="E1775" s="107" t="s">
        <v>472</v>
      </c>
      <c r="F1775" s="107" t="s">
        <v>626</v>
      </c>
      <c r="G1775" s="107">
        <v>13</v>
      </c>
      <c r="H1775" s="107">
        <v>4</v>
      </c>
      <c r="I1775" s="107">
        <v>8</v>
      </c>
      <c r="J1775" s="107">
        <f t="shared" si="27"/>
        <v>0.4408333333333333</v>
      </c>
      <c r="K1775" s="107">
        <v>6518</v>
      </c>
    </row>
    <row r="1776" spans="1:11" x14ac:dyDescent="0.15">
      <c r="A1776" s="107">
        <v>1774</v>
      </c>
      <c r="B1776" s="107" t="s">
        <v>260</v>
      </c>
      <c r="C1776" s="107" t="s">
        <v>268</v>
      </c>
      <c r="D1776" s="25">
        <v>6</v>
      </c>
      <c r="E1776" s="107" t="s">
        <v>472</v>
      </c>
      <c r="F1776" s="107" t="s">
        <v>626</v>
      </c>
      <c r="G1776" s="107">
        <v>1</v>
      </c>
      <c r="H1776" s="107">
        <v>18</v>
      </c>
      <c r="I1776" s="107">
        <v>8</v>
      </c>
      <c r="J1776" s="107">
        <f t="shared" ref="J1776:J1839" si="28">(G1776+H1776/20+I1776/320)/D1776</f>
        <v>0.3208333333333333</v>
      </c>
      <c r="K1776" s="25">
        <v>6589</v>
      </c>
    </row>
    <row r="1777" spans="1:14" x14ac:dyDescent="0.15">
      <c r="A1777" s="107">
        <v>1775</v>
      </c>
      <c r="B1777" s="107" t="s">
        <v>196</v>
      </c>
      <c r="C1777" s="107" t="s">
        <v>268</v>
      </c>
      <c r="D1777" s="25">
        <v>6</v>
      </c>
      <c r="E1777" s="107" t="s">
        <v>472</v>
      </c>
      <c r="F1777" s="107" t="s">
        <v>626</v>
      </c>
      <c r="G1777" s="107">
        <v>2</v>
      </c>
      <c r="H1777" s="107">
        <v>3</v>
      </c>
      <c r="I1777" s="107">
        <v>8</v>
      </c>
      <c r="J1777" s="107">
        <f t="shared" si="28"/>
        <v>0.36249999999999999</v>
      </c>
      <c r="K1777" s="107">
        <v>6611</v>
      </c>
      <c r="L1777" s="107"/>
      <c r="M1777" s="107"/>
      <c r="N1777" s="107"/>
    </row>
    <row r="1778" spans="1:14" x14ac:dyDescent="0.15">
      <c r="A1778" s="107">
        <v>1776</v>
      </c>
      <c r="B1778" s="107" t="s">
        <v>253</v>
      </c>
      <c r="C1778" s="107" t="s">
        <v>268</v>
      </c>
      <c r="D1778" s="25">
        <v>30</v>
      </c>
      <c r="E1778" s="107" t="s">
        <v>472</v>
      </c>
      <c r="F1778" s="107" t="s">
        <v>626</v>
      </c>
      <c r="G1778" s="107">
        <v>10</v>
      </c>
      <c r="H1778" s="107">
        <v>2</v>
      </c>
      <c r="I1778" s="107">
        <v>8</v>
      </c>
      <c r="J1778" s="107">
        <f t="shared" si="28"/>
        <v>0.33750000000000002</v>
      </c>
      <c r="K1778" s="107">
        <v>6627</v>
      </c>
      <c r="L1778" s="107"/>
      <c r="M1778" s="107"/>
      <c r="N1778" s="107"/>
    </row>
    <row r="1779" spans="1:14" x14ac:dyDescent="0.15">
      <c r="A1779" s="107">
        <v>1777</v>
      </c>
      <c r="B1779" s="107" t="s">
        <v>253</v>
      </c>
      <c r="C1779" s="107" t="s">
        <v>268</v>
      </c>
      <c r="D1779" s="25">
        <v>30</v>
      </c>
      <c r="E1779" s="107" t="s">
        <v>472</v>
      </c>
      <c r="F1779" s="107" t="s">
        <v>626</v>
      </c>
      <c r="G1779" s="107">
        <v>12</v>
      </c>
      <c r="H1779" s="107">
        <v>2</v>
      </c>
      <c r="I1779" s="107">
        <v>0</v>
      </c>
      <c r="J1779" s="107">
        <f t="shared" si="28"/>
        <v>0.40333333333333332</v>
      </c>
      <c r="K1779" s="107">
        <v>6643</v>
      </c>
      <c r="L1779" s="107"/>
      <c r="M1779" s="107"/>
      <c r="N1779" s="107"/>
    </row>
    <row r="1780" spans="1:14" x14ac:dyDescent="0.15">
      <c r="A1780" s="107">
        <v>1778</v>
      </c>
      <c r="B1780" s="107" t="s">
        <v>192</v>
      </c>
      <c r="C1780" s="107" t="s">
        <v>268</v>
      </c>
      <c r="D1780" s="25">
        <v>6</v>
      </c>
      <c r="E1780" s="107" t="s">
        <v>472</v>
      </c>
      <c r="F1780" s="107" t="s">
        <v>626</v>
      </c>
      <c r="G1780" s="107">
        <v>2</v>
      </c>
      <c r="H1780" s="107">
        <v>7</v>
      </c>
      <c r="I1780" s="107">
        <v>0</v>
      </c>
      <c r="J1780" s="107">
        <f t="shared" si="28"/>
        <v>0.39166666666666666</v>
      </c>
      <c r="K1780" s="107">
        <v>6663</v>
      </c>
      <c r="L1780" s="107"/>
      <c r="M1780" s="107"/>
      <c r="N1780" s="107"/>
    </row>
    <row r="1781" spans="1:14" x14ac:dyDescent="0.15">
      <c r="A1781" s="107">
        <v>1780</v>
      </c>
      <c r="B1781" s="107" t="s">
        <v>196</v>
      </c>
      <c r="C1781" s="107" t="s">
        <v>268</v>
      </c>
      <c r="D1781" s="25">
        <v>6</v>
      </c>
      <c r="E1781" s="107" t="s">
        <v>472</v>
      </c>
      <c r="F1781" s="107" t="s">
        <v>626</v>
      </c>
      <c r="G1781" s="107">
        <v>2</v>
      </c>
      <c r="H1781" s="107">
        <v>10</v>
      </c>
      <c r="I1781" s="107">
        <v>0</v>
      </c>
      <c r="J1781" s="107">
        <f t="shared" si="28"/>
        <v>0.41666666666666669</v>
      </c>
      <c r="K1781" s="107">
        <v>6679</v>
      </c>
      <c r="L1781" s="107"/>
      <c r="M1781" s="107"/>
      <c r="N1781" s="107"/>
    </row>
    <row r="1782" spans="1:14" x14ac:dyDescent="0.15">
      <c r="A1782" s="107">
        <v>1781</v>
      </c>
      <c r="B1782" s="107" t="s">
        <v>261</v>
      </c>
      <c r="C1782" s="107" t="s">
        <v>268</v>
      </c>
      <c r="D1782" s="25">
        <v>6</v>
      </c>
      <c r="E1782" s="107" t="s">
        <v>472</v>
      </c>
      <c r="F1782" s="107" t="s">
        <v>626</v>
      </c>
      <c r="G1782" s="107">
        <v>2</v>
      </c>
      <c r="H1782" s="107">
        <v>4</v>
      </c>
      <c r="I1782" s="107">
        <v>8</v>
      </c>
      <c r="J1782" s="107">
        <f t="shared" si="28"/>
        <v>0.37083333333333335</v>
      </c>
      <c r="K1782" s="107">
        <v>6699</v>
      </c>
      <c r="L1782" s="107"/>
      <c r="M1782" s="107"/>
      <c r="N1782" s="107"/>
    </row>
    <row r="1783" spans="1:14" x14ac:dyDescent="0.15">
      <c r="A1783" s="107">
        <v>1653</v>
      </c>
      <c r="B1783" s="107" t="s">
        <v>197</v>
      </c>
      <c r="C1783" s="107" t="s">
        <v>274</v>
      </c>
      <c r="D1783" s="107">
        <v>150</v>
      </c>
      <c r="E1783" s="107" t="s">
        <v>472</v>
      </c>
      <c r="F1783" s="107" t="s">
        <v>627</v>
      </c>
      <c r="G1783" s="107">
        <v>38</v>
      </c>
      <c r="H1783" s="107">
        <v>5</v>
      </c>
      <c r="I1783" s="107">
        <v>0</v>
      </c>
      <c r="J1783" s="107">
        <f t="shared" si="28"/>
        <v>0.255</v>
      </c>
      <c r="K1783" s="107">
        <v>3989</v>
      </c>
      <c r="L1783" s="107">
        <v>1784</v>
      </c>
      <c r="M1783" s="107">
        <v>147</v>
      </c>
      <c r="N1783" s="107"/>
    </row>
    <row r="1784" spans="1:14" x14ac:dyDescent="0.15">
      <c r="A1784" s="107">
        <v>1655</v>
      </c>
      <c r="B1784" s="107" t="s">
        <v>236</v>
      </c>
      <c r="C1784" s="107" t="s">
        <v>274</v>
      </c>
      <c r="D1784" s="107">
        <v>100</v>
      </c>
      <c r="E1784" s="107" t="s">
        <v>531</v>
      </c>
      <c r="F1784" s="107" t="s">
        <v>627</v>
      </c>
      <c r="G1784" s="107">
        <v>25</v>
      </c>
      <c r="H1784" s="107">
        <v>18</v>
      </c>
      <c r="I1784" s="107">
        <v>12</v>
      </c>
      <c r="J1784" s="107">
        <f t="shared" si="28"/>
        <v>0.25937500000000002</v>
      </c>
      <c r="K1784" s="107">
        <v>3990</v>
      </c>
      <c r="L1784" s="107">
        <v>1788</v>
      </c>
      <c r="M1784" s="107">
        <v>204</v>
      </c>
      <c r="N1784" s="107" t="s">
        <v>349</v>
      </c>
    </row>
    <row r="1785" spans="1:14" x14ac:dyDescent="0.15">
      <c r="A1785" s="107">
        <v>1686</v>
      </c>
      <c r="B1785" s="107" t="s">
        <v>196</v>
      </c>
      <c r="C1785" s="107" t="s">
        <v>271</v>
      </c>
      <c r="D1785" s="107">
        <v>12</v>
      </c>
      <c r="E1785" s="107" t="s">
        <v>472</v>
      </c>
      <c r="F1785" s="107" t="s">
        <v>627</v>
      </c>
      <c r="G1785" s="107">
        <v>4</v>
      </c>
      <c r="H1785" s="107">
        <v>4</v>
      </c>
      <c r="I1785" s="107">
        <v>0</v>
      </c>
      <c r="J1785" s="107">
        <f t="shared" si="28"/>
        <v>0.35000000000000003</v>
      </c>
      <c r="K1785" s="107">
        <v>4023</v>
      </c>
      <c r="L1785" s="107">
        <v>1829</v>
      </c>
      <c r="M1785" s="107">
        <v>716</v>
      </c>
      <c r="N1785" s="107"/>
    </row>
    <row r="1786" spans="1:14" x14ac:dyDescent="0.15">
      <c r="A1786" s="107">
        <v>1700</v>
      </c>
      <c r="B1786" s="107" t="s">
        <v>200</v>
      </c>
      <c r="C1786" s="107" t="s">
        <v>271</v>
      </c>
      <c r="D1786" s="107">
        <v>11</v>
      </c>
      <c r="E1786" s="107" t="s">
        <v>204</v>
      </c>
      <c r="F1786" s="107" t="s">
        <v>628</v>
      </c>
      <c r="G1786" s="107">
        <v>2</v>
      </c>
      <c r="H1786" s="107">
        <v>4</v>
      </c>
      <c r="I1786" s="107">
        <v>0</v>
      </c>
      <c r="J1786" s="107">
        <f t="shared" si="28"/>
        <v>0.2</v>
      </c>
      <c r="K1786" s="107">
        <v>4047</v>
      </c>
      <c r="L1786" s="107">
        <v>1855</v>
      </c>
      <c r="M1786" s="107">
        <v>527</v>
      </c>
      <c r="N1786" s="107" t="s">
        <v>272</v>
      </c>
    </row>
    <row r="1787" spans="1:14" x14ac:dyDescent="0.15">
      <c r="A1787" s="107">
        <v>1760</v>
      </c>
      <c r="B1787" s="107" t="s">
        <v>253</v>
      </c>
      <c r="C1787" s="107" t="s">
        <v>268</v>
      </c>
      <c r="D1787" s="25">
        <v>75</v>
      </c>
      <c r="E1787" s="107" t="s">
        <v>193</v>
      </c>
      <c r="F1787" s="107" t="s">
        <v>629</v>
      </c>
      <c r="G1787" s="107">
        <v>18</v>
      </c>
      <c r="H1787" s="107">
        <v>15</v>
      </c>
      <c r="I1787" s="107">
        <v>0</v>
      </c>
      <c r="J1787" s="107">
        <f t="shared" si="28"/>
        <v>0.25</v>
      </c>
      <c r="K1787" s="107">
        <v>6388</v>
      </c>
      <c r="L1787" s="107"/>
      <c r="M1787" s="107"/>
      <c r="N1787" s="107"/>
    </row>
    <row r="1788" spans="1:14" x14ac:dyDescent="0.15">
      <c r="A1788" s="107">
        <v>1761</v>
      </c>
      <c r="B1788" s="107" t="s">
        <v>260</v>
      </c>
      <c r="C1788" s="107" t="s">
        <v>268</v>
      </c>
      <c r="D1788" s="25">
        <v>72</v>
      </c>
      <c r="E1788" s="107" t="s">
        <v>193</v>
      </c>
      <c r="F1788" s="107" t="s">
        <v>629</v>
      </c>
      <c r="G1788" s="107">
        <v>18</v>
      </c>
      <c r="H1788" s="107">
        <v>0</v>
      </c>
      <c r="I1788" s="107">
        <v>0</v>
      </c>
      <c r="J1788" s="107">
        <f t="shared" si="28"/>
        <v>0.25</v>
      </c>
      <c r="K1788" s="107">
        <v>6394</v>
      </c>
      <c r="L1788" s="107"/>
      <c r="M1788" s="107"/>
      <c r="N1788" s="107"/>
    </row>
    <row r="1789" spans="1:14" x14ac:dyDescent="0.15">
      <c r="A1789" s="107">
        <v>1763</v>
      </c>
      <c r="B1789" s="107" t="s">
        <v>197</v>
      </c>
      <c r="C1789" s="107" t="s">
        <v>268</v>
      </c>
      <c r="D1789" s="25">
        <v>72</v>
      </c>
      <c r="E1789" s="107" t="s">
        <v>193</v>
      </c>
      <c r="F1789" s="107" t="s">
        <v>629</v>
      </c>
      <c r="G1789" s="107">
        <v>18</v>
      </c>
      <c r="H1789" s="107">
        <v>0</v>
      </c>
      <c r="I1789" s="107">
        <v>0</v>
      </c>
      <c r="J1789" s="107">
        <f t="shared" si="28"/>
        <v>0.25</v>
      </c>
      <c r="K1789" s="107">
        <v>6423</v>
      </c>
      <c r="L1789" s="107"/>
      <c r="M1789" s="107"/>
      <c r="N1789" s="107"/>
    </row>
    <row r="1790" spans="1:14" x14ac:dyDescent="0.15">
      <c r="A1790" s="107">
        <v>1766</v>
      </c>
      <c r="B1790" s="107" t="s">
        <v>261</v>
      </c>
      <c r="C1790" s="107" t="s">
        <v>268</v>
      </c>
      <c r="D1790" s="25">
        <v>72</v>
      </c>
      <c r="E1790" s="107" t="s">
        <v>193</v>
      </c>
      <c r="F1790" s="107" t="s">
        <v>629</v>
      </c>
      <c r="G1790" s="107">
        <v>18</v>
      </c>
      <c r="H1790" s="107">
        <v>0</v>
      </c>
      <c r="I1790" s="107">
        <v>0</v>
      </c>
      <c r="J1790" s="107">
        <f t="shared" si="28"/>
        <v>0.25</v>
      </c>
      <c r="K1790" s="107">
        <v>6457</v>
      </c>
      <c r="L1790" s="107"/>
      <c r="M1790" s="107"/>
      <c r="N1790" s="107"/>
    </row>
    <row r="1791" spans="1:14" x14ac:dyDescent="0.15">
      <c r="A1791" s="107">
        <v>1767</v>
      </c>
      <c r="B1791" s="107" t="s">
        <v>197</v>
      </c>
      <c r="C1791" s="107" t="s">
        <v>268</v>
      </c>
      <c r="D1791" s="25">
        <v>72</v>
      </c>
      <c r="E1791" s="107" t="s">
        <v>193</v>
      </c>
      <c r="F1791" s="107" t="s">
        <v>629</v>
      </c>
      <c r="G1791" s="107">
        <v>18</v>
      </c>
      <c r="H1791" s="107">
        <v>0</v>
      </c>
      <c r="I1791" s="107">
        <v>0</v>
      </c>
      <c r="J1791" s="107">
        <f t="shared" si="28"/>
        <v>0.25</v>
      </c>
      <c r="K1791" s="107">
        <v>6475</v>
      </c>
      <c r="L1791" s="107"/>
      <c r="M1791" s="107"/>
      <c r="N1791" s="107"/>
    </row>
    <row r="1792" spans="1:14" x14ac:dyDescent="0.15">
      <c r="A1792" s="107">
        <v>1768</v>
      </c>
      <c r="B1792" s="107" t="s">
        <v>260</v>
      </c>
      <c r="C1792" s="107" t="s">
        <v>268</v>
      </c>
      <c r="D1792" s="25">
        <v>72</v>
      </c>
      <c r="E1792" s="107" t="s">
        <v>193</v>
      </c>
      <c r="F1792" s="107" t="s">
        <v>629</v>
      </c>
      <c r="G1792" s="107">
        <v>18</v>
      </c>
      <c r="H1792" s="107">
        <v>0</v>
      </c>
      <c r="I1792" s="107">
        <v>0</v>
      </c>
      <c r="J1792" s="107">
        <f t="shared" si="28"/>
        <v>0.25</v>
      </c>
      <c r="K1792" s="107">
        <v>6489</v>
      </c>
      <c r="L1792" s="107"/>
      <c r="M1792" s="107"/>
      <c r="N1792" s="107"/>
    </row>
    <row r="1793" spans="1:11" x14ac:dyDescent="0.15">
      <c r="A1793" s="107">
        <v>1769</v>
      </c>
      <c r="B1793" s="107" t="s">
        <v>260</v>
      </c>
      <c r="C1793" s="107" t="s">
        <v>268</v>
      </c>
      <c r="D1793" s="25">
        <v>72</v>
      </c>
      <c r="E1793" s="107" t="s">
        <v>193</v>
      </c>
      <c r="F1793" s="107" t="s">
        <v>629</v>
      </c>
      <c r="G1793" s="107">
        <v>18</v>
      </c>
      <c r="H1793" s="107">
        <v>0</v>
      </c>
      <c r="I1793" s="107">
        <v>0</v>
      </c>
      <c r="J1793" s="107">
        <f t="shared" si="28"/>
        <v>0.25</v>
      </c>
      <c r="K1793" s="107">
        <v>6518</v>
      </c>
    </row>
    <row r="1794" spans="1:11" x14ac:dyDescent="0.15">
      <c r="A1794" s="107">
        <v>1770</v>
      </c>
      <c r="B1794" s="107" t="s">
        <v>200</v>
      </c>
      <c r="C1794" s="107" t="s">
        <v>268</v>
      </c>
      <c r="D1794" s="25">
        <v>72</v>
      </c>
      <c r="E1794" s="107" t="s">
        <v>193</v>
      </c>
      <c r="F1794" s="107" t="s">
        <v>629</v>
      </c>
      <c r="G1794" s="107">
        <v>16</v>
      </c>
      <c r="H1794" s="107">
        <v>10</v>
      </c>
      <c r="I1794" s="107">
        <v>0</v>
      </c>
      <c r="J1794" s="107">
        <f t="shared" si="28"/>
        <v>0.22916666666666666</v>
      </c>
      <c r="K1794" s="107">
        <v>6535</v>
      </c>
    </row>
    <row r="1795" spans="1:11" x14ac:dyDescent="0.15">
      <c r="A1795" s="107">
        <v>1771</v>
      </c>
      <c r="B1795" s="107" t="s">
        <v>261</v>
      </c>
      <c r="C1795" s="107" t="s">
        <v>268</v>
      </c>
      <c r="D1795" s="25">
        <v>72</v>
      </c>
      <c r="E1795" s="107" t="s">
        <v>193</v>
      </c>
      <c r="F1795" s="107" t="s">
        <v>629</v>
      </c>
      <c r="G1795" s="107">
        <v>16</v>
      </c>
      <c r="H1795" s="107">
        <v>10</v>
      </c>
      <c r="I1795" s="107">
        <v>0</v>
      </c>
      <c r="J1795" s="107">
        <f t="shared" si="28"/>
        <v>0.22916666666666666</v>
      </c>
      <c r="K1795" s="107">
        <v>6540</v>
      </c>
    </row>
    <row r="1796" spans="1:11" x14ac:dyDescent="0.15">
      <c r="A1796" s="107">
        <v>1772</v>
      </c>
      <c r="B1796" s="107" t="s">
        <v>197</v>
      </c>
      <c r="C1796" s="107" t="s">
        <v>268</v>
      </c>
      <c r="D1796" s="25">
        <v>72</v>
      </c>
      <c r="E1796" s="107" t="s">
        <v>193</v>
      </c>
      <c r="F1796" s="107" t="s">
        <v>629</v>
      </c>
      <c r="G1796" s="107">
        <v>16</v>
      </c>
      <c r="H1796" s="107">
        <v>10</v>
      </c>
      <c r="I1796" s="107">
        <v>0</v>
      </c>
      <c r="J1796" s="107">
        <f t="shared" si="28"/>
        <v>0.22916666666666666</v>
      </c>
      <c r="K1796" s="107">
        <v>6551</v>
      </c>
    </row>
    <row r="1797" spans="1:11" x14ac:dyDescent="0.15">
      <c r="A1797" s="107">
        <v>1773</v>
      </c>
      <c r="B1797" s="107" t="s">
        <v>260</v>
      </c>
      <c r="C1797" s="107" t="s">
        <v>268</v>
      </c>
      <c r="D1797" s="25">
        <v>72</v>
      </c>
      <c r="E1797" s="107" t="s">
        <v>193</v>
      </c>
      <c r="F1797" s="107" t="s">
        <v>629</v>
      </c>
      <c r="G1797" s="107">
        <v>16</v>
      </c>
      <c r="H1797" s="107">
        <v>10</v>
      </c>
      <c r="I1797" s="107">
        <v>0</v>
      </c>
      <c r="J1797" s="107">
        <f t="shared" si="28"/>
        <v>0.22916666666666666</v>
      </c>
      <c r="K1797" s="107">
        <v>6566</v>
      </c>
    </row>
    <row r="1798" spans="1:11" x14ac:dyDescent="0.15">
      <c r="A1798" s="107">
        <v>1774</v>
      </c>
      <c r="B1798" s="107" t="s">
        <v>260</v>
      </c>
      <c r="C1798" s="107" t="s">
        <v>268</v>
      </c>
      <c r="D1798" s="25">
        <v>90</v>
      </c>
      <c r="E1798" s="107" t="s">
        <v>193</v>
      </c>
      <c r="F1798" s="107" t="s">
        <v>629</v>
      </c>
      <c r="G1798" s="107">
        <v>20</v>
      </c>
      <c r="H1798" s="107">
        <v>12</v>
      </c>
      <c r="I1798" s="107">
        <v>8</v>
      </c>
      <c r="J1798" s="107">
        <f t="shared" si="28"/>
        <v>0.22916666666666666</v>
      </c>
      <c r="K1798" s="25">
        <v>6589</v>
      </c>
    </row>
    <row r="1799" spans="1:11" x14ac:dyDescent="0.15">
      <c r="A1799" s="107">
        <v>1778</v>
      </c>
      <c r="B1799" s="107" t="s">
        <v>192</v>
      </c>
      <c r="C1799" s="107" t="s">
        <v>268</v>
      </c>
      <c r="D1799" s="25">
        <v>72</v>
      </c>
      <c r="E1799" s="107" t="s">
        <v>193</v>
      </c>
      <c r="F1799" s="107" t="s">
        <v>629</v>
      </c>
      <c r="G1799" s="107">
        <v>16</v>
      </c>
      <c r="H1799" s="107">
        <v>10</v>
      </c>
      <c r="I1799" s="107">
        <v>0</v>
      </c>
      <c r="J1799" s="107">
        <f t="shared" si="28"/>
        <v>0.22916666666666666</v>
      </c>
      <c r="K1799" s="107">
        <v>6663</v>
      </c>
    </row>
    <row r="1800" spans="1:11" x14ac:dyDescent="0.15">
      <c r="A1800" s="107">
        <v>1779</v>
      </c>
      <c r="B1800" s="107" t="s">
        <v>260</v>
      </c>
      <c r="C1800" s="107" t="s">
        <v>268</v>
      </c>
      <c r="D1800" s="25">
        <v>60</v>
      </c>
      <c r="E1800" s="107" t="s">
        <v>193</v>
      </c>
      <c r="F1800" s="107" t="s">
        <v>629</v>
      </c>
      <c r="G1800" s="107">
        <v>13</v>
      </c>
      <c r="H1800" s="107">
        <v>15</v>
      </c>
      <c r="I1800" s="107">
        <v>0</v>
      </c>
      <c r="J1800" s="107">
        <f t="shared" si="28"/>
        <v>0.22916666666666666</v>
      </c>
      <c r="K1800" s="107">
        <v>6669</v>
      </c>
    </row>
    <row r="1801" spans="1:11" x14ac:dyDescent="0.15">
      <c r="A1801" s="107">
        <v>1780</v>
      </c>
      <c r="B1801" s="107" t="s">
        <v>196</v>
      </c>
      <c r="C1801" s="107" t="s">
        <v>268</v>
      </c>
      <c r="D1801" s="25">
        <v>72</v>
      </c>
      <c r="E1801" s="107" t="s">
        <v>193</v>
      </c>
      <c r="F1801" s="107" t="s">
        <v>629</v>
      </c>
      <c r="G1801" s="107">
        <v>16</v>
      </c>
      <c r="H1801" s="107">
        <v>10</v>
      </c>
      <c r="I1801" s="107">
        <v>0</v>
      </c>
      <c r="J1801" s="107">
        <f t="shared" si="28"/>
        <v>0.22916666666666666</v>
      </c>
      <c r="K1801" s="107">
        <v>6679</v>
      </c>
    </row>
    <row r="1802" spans="1:11" x14ac:dyDescent="0.15">
      <c r="A1802" s="107">
        <v>1780</v>
      </c>
      <c r="B1802" s="107" t="s">
        <v>200</v>
      </c>
      <c r="C1802" s="107" t="s">
        <v>268</v>
      </c>
      <c r="D1802" s="25">
        <v>72</v>
      </c>
      <c r="E1802" s="107" t="s">
        <v>193</v>
      </c>
      <c r="F1802" s="107" t="s">
        <v>629</v>
      </c>
      <c r="G1802" s="107">
        <v>16</v>
      </c>
      <c r="H1802" s="107">
        <v>10</v>
      </c>
      <c r="I1802" s="107">
        <v>0</v>
      </c>
      <c r="J1802" s="107">
        <f t="shared" si="28"/>
        <v>0.22916666666666666</v>
      </c>
      <c r="K1802" s="107">
        <v>6689</v>
      </c>
    </row>
    <row r="1803" spans="1:11" x14ac:dyDescent="0.15">
      <c r="A1803" s="107">
        <v>1784</v>
      </c>
      <c r="B1803" s="107" t="s">
        <v>236</v>
      </c>
      <c r="C1803" s="107" t="s">
        <v>268</v>
      </c>
      <c r="D1803" s="25">
        <v>99</v>
      </c>
      <c r="E1803" s="107" t="s">
        <v>193</v>
      </c>
      <c r="F1803" s="107" t="s">
        <v>629</v>
      </c>
      <c r="G1803" s="107">
        <v>36</v>
      </c>
      <c r="H1803" s="107">
        <v>6</v>
      </c>
      <c r="I1803" s="107">
        <v>0</v>
      </c>
      <c r="J1803" s="107">
        <f t="shared" si="28"/>
        <v>0.36666666666666664</v>
      </c>
      <c r="K1803" s="107">
        <v>6733</v>
      </c>
    </row>
    <row r="1804" spans="1:11" x14ac:dyDescent="0.15">
      <c r="A1804" s="107">
        <v>1785</v>
      </c>
      <c r="B1804" s="107" t="s">
        <v>186</v>
      </c>
      <c r="C1804" s="107" t="s">
        <v>268</v>
      </c>
      <c r="D1804" s="25">
        <v>141</v>
      </c>
      <c r="E1804" s="107" t="s">
        <v>193</v>
      </c>
      <c r="F1804" s="107" t="s">
        <v>629</v>
      </c>
      <c r="G1804" s="107">
        <v>51</v>
      </c>
      <c r="H1804" s="107">
        <v>14</v>
      </c>
      <c r="I1804" s="107">
        <v>0</v>
      </c>
      <c r="J1804" s="107">
        <f t="shared" si="28"/>
        <v>0.3666666666666667</v>
      </c>
      <c r="K1804" s="107">
        <v>6736</v>
      </c>
    </row>
    <row r="1805" spans="1:11" x14ac:dyDescent="0.15">
      <c r="A1805" s="107">
        <v>1787</v>
      </c>
      <c r="B1805" s="107" t="s">
        <v>197</v>
      </c>
      <c r="C1805" s="107" t="s">
        <v>268</v>
      </c>
      <c r="D1805" s="25">
        <v>24</v>
      </c>
      <c r="E1805" s="107" t="s">
        <v>193</v>
      </c>
      <c r="F1805" s="107" t="s">
        <v>629</v>
      </c>
      <c r="G1805" s="107">
        <v>8</v>
      </c>
      <c r="H1805" s="107">
        <v>16</v>
      </c>
      <c r="I1805" s="107">
        <v>0</v>
      </c>
      <c r="J1805" s="107">
        <f t="shared" si="28"/>
        <v>0.3666666666666667</v>
      </c>
      <c r="K1805" s="107">
        <v>6752</v>
      </c>
    </row>
    <row r="1806" spans="1:11" x14ac:dyDescent="0.15">
      <c r="A1806" s="107">
        <v>1788</v>
      </c>
      <c r="B1806" s="107" t="s">
        <v>236</v>
      </c>
      <c r="C1806" s="107" t="s">
        <v>268</v>
      </c>
      <c r="D1806" s="25">
        <v>24</v>
      </c>
      <c r="E1806" s="107" t="s">
        <v>193</v>
      </c>
      <c r="F1806" s="107" t="s">
        <v>629</v>
      </c>
      <c r="G1806" s="107">
        <v>8</v>
      </c>
      <c r="H1806" s="107">
        <v>16</v>
      </c>
      <c r="I1806" s="107">
        <v>0</v>
      </c>
      <c r="J1806" s="107">
        <f t="shared" si="28"/>
        <v>0.3666666666666667</v>
      </c>
      <c r="K1806" s="25">
        <v>6786</v>
      </c>
    </row>
    <row r="1807" spans="1:11" x14ac:dyDescent="0.15">
      <c r="A1807" s="107">
        <v>1789</v>
      </c>
      <c r="B1807" s="107" t="s">
        <v>253</v>
      </c>
      <c r="C1807" s="107" t="s">
        <v>268</v>
      </c>
      <c r="D1807" s="25">
        <v>24</v>
      </c>
      <c r="E1807" s="107" t="s">
        <v>193</v>
      </c>
      <c r="F1807" s="107" t="s">
        <v>629</v>
      </c>
      <c r="G1807" s="107">
        <v>8</v>
      </c>
      <c r="H1807" s="107">
        <v>16</v>
      </c>
      <c r="I1807" s="107">
        <v>0</v>
      </c>
      <c r="J1807" s="107">
        <f t="shared" si="28"/>
        <v>0.3666666666666667</v>
      </c>
      <c r="K1807" s="25">
        <v>6785</v>
      </c>
    </row>
    <row r="1808" spans="1:11" x14ac:dyDescent="0.15">
      <c r="A1808" s="107">
        <v>1794</v>
      </c>
      <c r="B1808" s="107" t="s">
        <v>260</v>
      </c>
      <c r="C1808" s="107" t="s">
        <v>270</v>
      </c>
      <c r="D1808" s="25">
        <v>12</v>
      </c>
      <c r="E1808" s="107" t="s">
        <v>193</v>
      </c>
      <c r="F1808" s="107" t="s">
        <v>629</v>
      </c>
      <c r="G1808" s="107">
        <v>2</v>
      </c>
      <c r="H1808" s="107">
        <v>7</v>
      </c>
      <c r="I1808" s="107">
        <v>0</v>
      </c>
      <c r="J1808" s="107">
        <f t="shared" si="28"/>
        <v>0.19583333333333333</v>
      </c>
      <c r="K1808" s="107">
        <v>6840</v>
      </c>
    </row>
    <row r="1809" spans="1:15" x14ac:dyDescent="0.15">
      <c r="A1809" s="107">
        <v>1794</v>
      </c>
      <c r="B1809" s="107" t="s">
        <v>261</v>
      </c>
      <c r="C1809" s="107" t="s">
        <v>268</v>
      </c>
      <c r="D1809" s="25">
        <v>72</v>
      </c>
      <c r="E1809" s="107" t="s">
        <v>193</v>
      </c>
      <c r="F1809" s="107" t="s">
        <v>629</v>
      </c>
      <c r="G1809" s="107">
        <v>14</v>
      </c>
      <c r="H1809" s="107">
        <v>0</v>
      </c>
      <c r="I1809" s="107">
        <v>8</v>
      </c>
      <c r="J1809" s="107">
        <f t="shared" si="28"/>
        <v>0.19479166666666667</v>
      </c>
      <c r="K1809" s="107">
        <v>6839</v>
      </c>
      <c r="L1809" s="107"/>
      <c r="M1809" s="107"/>
      <c r="N1809" s="107"/>
      <c r="O1809" s="107"/>
    </row>
    <row r="1810" spans="1:15" x14ac:dyDescent="0.15">
      <c r="A1810" s="107">
        <v>1700</v>
      </c>
      <c r="B1810" s="107" t="s">
        <v>200</v>
      </c>
      <c r="C1810" s="107" t="s">
        <v>271</v>
      </c>
      <c r="D1810" s="107">
        <v>220</v>
      </c>
      <c r="E1810" s="107" t="s">
        <v>204</v>
      </c>
      <c r="F1810" s="107" t="s">
        <v>630</v>
      </c>
      <c r="G1810" s="107">
        <v>11</v>
      </c>
      <c r="H1810" s="107">
        <v>0</v>
      </c>
      <c r="I1810" s="107">
        <v>0</v>
      </c>
      <c r="J1810" s="107">
        <f t="shared" si="28"/>
        <v>0.05</v>
      </c>
      <c r="K1810" s="107">
        <v>4047</v>
      </c>
      <c r="L1810" s="107">
        <v>1855</v>
      </c>
      <c r="M1810" s="107">
        <v>529</v>
      </c>
      <c r="N1810" s="107" t="s">
        <v>272</v>
      </c>
      <c r="O1810" s="107"/>
    </row>
    <row r="1811" spans="1:15" x14ac:dyDescent="0.15">
      <c r="A1811" s="107">
        <v>1674</v>
      </c>
      <c r="B1811" s="107" t="s">
        <v>196</v>
      </c>
      <c r="C1811" s="107" t="s">
        <v>274</v>
      </c>
      <c r="D1811" s="107">
        <v>0.5</v>
      </c>
      <c r="E1811" s="107" t="s">
        <v>204</v>
      </c>
      <c r="F1811" s="107" t="s">
        <v>631</v>
      </c>
      <c r="G1811" s="107">
        <v>3</v>
      </c>
      <c r="H1811" s="107">
        <v>0</v>
      </c>
      <c r="I1811" s="107">
        <v>0</v>
      </c>
      <c r="J1811" s="107">
        <f t="shared" si="28"/>
        <v>6</v>
      </c>
      <c r="K1811" s="107">
        <v>4011</v>
      </c>
      <c r="L1811" s="107">
        <v>1814</v>
      </c>
      <c r="M1811" s="107">
        <v>599</v>
      </c>
      <c r="N1811" s="107" t="s">
        <v>294</v>
      </c>
      <c r="O1811" s="107"/>
    </row>
    <row r="1812" spans="1:15" x14ac:dyDescent="0.15">
      <c r="A1812" s="107">
        <v>1655</v>
      </c>
      <c r="B1812" s="107" t="s">
        <v>196</v>
      </c>
      <c r="C1812" s="107" t="s">
        <v>274</v>
      </c>
      <c r="D1812" s="107">
        <v>2</v>
      </c>
      <c r="E1812" s="107" t="s">
        <v>429</v>
      </c>
      <c r="F1812" s="107" t="s">
        <v>632</v>
      </c>
      <c r="G1812" s="107">
        <v>5</v>
      </c>
      <c r="H1812" s="107">
        <v>2</v>
      </c>
      <c r="I1812" s="107">
        <v>0</v>
      </c>
      <c r="J1812" s="107">
        <f t="shared" si="28"/>
        <v>2.5499999999999998</v>
      </c>
      <c r="K1812" s="107">
        <v>3990</v>
      </c>
      <c r="L1812" s="107">
        <v>1788</v>
      </c>
      <c r="M1812" s="107">
        <v>205</v>
      </c>
      <c r="N1812" s="107" t="s">
        <v>406</v>
      </c>
      <c r="O1812" s="107" t="s">
        <v>277</v>
      </c>
    </row>
    <row r="1813" spans="1:15" x14ac:dyDescent="0.15">
      <c r="A1813" s="107">
        <v>1655</v>
      </c>
      <c r="B1813" s="107" t="s">
        <v>196</v>
      </c>
      <c r="C1813" s="107" t="s">
        <v>274</v>
      </c>
      <c r="D1813" s="107">
        <v>1</v>
      </c>
      <c r="E1813" s="107" t="s">
        <v>429</v>
      </c>
      <c r="F1813" s="107" t="s">
        <v>632</v>
      </c>
      <c r="G1813" s="107">
        <v>2</v>
      </c>
      <c r="H1813" s="107">
        <v>11</v>
      </c>
      <c r="I1813" s="107">
        <v>0</v>
      </c>
      <c r="J1813" s="107">
        <f t="shared" si="28"/>
        <v>2.5499999999999998</v>
      </c>
      <c r="K1813" s="107">
        <v>3990</v>
      </c>
      <c r="L1813" s="107">
        <v>1788</v>
      </c>
      <c r="M1813" s="107">
        <v>205</v>
      </c>
      <c r="N1813" s="107" t="s">
        <v>406</v>
      </c>
      <c r="O1813" s="107" t="s">
        <v>277</v>
      </c>
    </row>
    <row r="1814" spans="1:15" x14ac:dyDescent="0.15">
      <c r="A1814" s="107">
        <v>1655</v>
      </c>
      <c r="B1814" s="107" t="s">
        <v>196</v>
      </c>
      <c r="C1814" s="107" t="s">
        <v>274</v>
      </c>
      <c r="D1814" s="107">
        <v>2</v>
      </c>
      <c r="E1814" s="107" t="s">
        <v>429</v>
      </c>
      <c r="F1814" s="107" t="s">
        <v>632</v>
      </c>
      <c r="G1814" s="107">
        <v>5</v>
      </c>
      <c r="H1814" s="107">
        <v>2</v>
      </c>
      <c r="I1814" s="107">
        <v>0</v>
      </c>
      <c r="J1814" s="107">
        <f t="shared" si="28"/>
        <v>2.5499999999999998</v>
      </c>
      <c r="K1814" s="107">
        <v>3990</v>
      </c>
      <c r="L1814" s="107">
        <v>1788</v>
      </c>
      <c r="M1814" s="107">
        <v>205</v>
      </c>
      <c r="N1814" s="107" t="s">
        <v>406</v>
      </c>
      <c r="O1814" s="107" t="s">
        <v>277</v>
      </c>
    </row>
    <row r="1815" spans="1:15" x14ac:dyDescent="0.15">
      <c r="A1815" s="107">
        <v>1655</v>
      </c>
      <c r="B1815" s="107" t="s">
        <v>196</v>
      </c>
      <c r="C1815" s="107" t="s">
        <v>274</v>
      </c>
      <c r="D1815" s="107">
        <v>1</v>
      </c>
      <c r="E1815" s="107" t="s">
        <v>429</v>
      </c>
      <c r="F1815" s="107" t="s">
        <v>632</v>
      </c>
      <c r="G1815" s="107">
        <v>2</v>
      </c>
      <c r="H1815" s="107">
        <v>11</v>
      </c>
      <c r="I1815" s="107">
        <v>0</v>
      </c>
      <c r="J1815" s="107">
        <f t="shared" si="28"/>
        <v>2.5499999999999998</v>
      </c>
      <c r="K1815" s="107">
        <v>3990</v>
      </c>
      <c r="L1815" s="107">
        <v>1788</v>
      </c>
      <c r="M1815" s="107">
        <v>205</v>
      </c>
      <c r="N1815" s="107" t="s">
        <v>406</v>
      </c>
      <c r="O1815" s="107" t="s">
        <v>277</v>
      </c>
    </row>
    <row r="1816" spans="1:15" x14ac:dyDescent="0.15">
      <c r="A1816" s="107">
        <v>1655</v>
      </c>
      <c r="B1816" s="107" t="s">
        <v>196</v>
      </c>
      <c r="C1816" s="107" t="s">
        <v>274</v>
      </c>
      <c r="D1816" s="107">
        <v>1</v>
      </c>
      <c r="E1816" s="107" t="s">
        <v>429</v>
      </c>
      <c r="F1816" s="107" t="s">
        <v>632</v>
      </c>
      <c r="G1816" s="107">
        <v>2</v>
      </c>
      <c r="H1816" s="107">
        <v>11</v>
      </c>
      <c r="I1816" s="107">
        <v>0</v>
      </c>
      <c r="J1816" s="107">
        <f t="shared" si="28"/>
        <v>2.5499999999999998</v>
      </c>
      <c r="K1816" s="107">
        <v>3990</v>
      </c>
      <c r="L1816" s="107">
        <v>1788</v>
      </c>
      <c r="M1816" s="107">
        <v>205</v>
      </c>
      <c r="N1816" s="107" t="s">
        <v>406</v>
      </c>
      <c r="O1816" s="107" t="s">
        <v>277</v>
      </c>
    </row>
    <row r="1817" spans="1:15" x14ac:dyDescent="0.15">
      <c r="A1817" s="107">
        <v>1655</v>
      </c>
      <c r="B1817" s="107" t="s">
        <v>196</v>
      </c>
      <c r="C1817" s="107" t="s">
        <v>274</v>
      </c>
      <c r="D1817" s="107">
        <v>1</v>
      </c>
      <c r="E1817" s="107" t="s">
        <v>429</v>
      </c>
      <c r="F1817" s="107" t="s">
        <v>632</v>
      </c>
      <c r="G1817" s="107">
        <v>2</v>
      </c>
      <c r="H1817" s="107">
        <v>11</v>
      </c>
      <c r="I1817" s="107">
        <v>0</v>
      </c>
      <c r="J1817" s="107">
        <f t="shared" si="28"/>
        <v>2.5499999999999998</v>
      </c>
      <c r="K1817" s="107">
        <v>3990</v>
      </c>
      <c r="L1817" s="107">
        <v>1788</v>
      </c>
      <c r="M1817" s="107">
        <v>205</v>
      </c>
      <c r="N1817" s="107" t="s">
        <v>406</v>
      </c>
      <c r="O1817" s="107" t="s">
        <v>277</v>
      </c>
    </row>
    <row r="1818" spans="1:15" x14ac:dyDescent="0.15">
      <c r="A1818" s="107">
        <v>1655</v>
      </c>
      <c r="B1818" s="107" t="s">
        <v>196</v>
      </c>
      <c r="C1818" s="107" t="s">
        <v>274</v>
      </c>
      <c r="D1818" s="107">
        <v>1</v>
      </c>
      <c r="E1818" s="107" t="s">
        <v>429</v>
      </c>
      <c r="F1818" s="107" t="s">
        <v>632</v>
      </c>
      <c r="G1818" s="107">
        <v>2</v>
      </c>
      <c r="H1818" s="107">
        <v>11</v>
      </c>
      <c r="I1818" s="107">
        <v>0</v>
      </c>
      <c r="J1818" s="107">
        <f t="shared" si="28"/>
        <v>2.5499999999999998</v>
      </c>
      <c r="K1818" s="107">
        <v>3990</v>
      </c>
      <c r="L1818" s="107">
        <v>1788</v>
      </c>
      <c r="M1818" s="107">
        <v>205</v>
      </c>
      <c r="N1818" s="107" t="s">
        <v>406</v>
      </c>
      <c r="O1818" s="107" t="s">
        <v>277</v>
      </c>
    </row>
    <row r="1819" spans="1:15" x14ac:dyDescent="0.15">
      <c r="A1819" s="107">
        <v>1655</v>
      </c>
      <c r="B1819" s="107" t="s">
        <v>196</v>
      </c>
      <c r="C1819" s="107" t="s">
        <v>274</v>
      </c>
      <c r="D1819" s="107">
        <v>3</v>
      </c>
      <c r="E1819" s="107" t="s">
        <v>429</v>
      </c>
      <c r="F1819" s="107" t="s">
        <v>632</v>
      </c>
      <c r="G1819" s="107">
        <v>7</v>
      </c>
      <c r="H1819" s="107">
        <v>13</v>
      </c>
      <c r="I1819" s="107">
        <v>0</v>
      </c>
      <c r="J1819" s="107">
        <f t="shared" si="28"/>
        <v>2.5500000000000003</v>
      </c>
      <c r="K1819" s="107">
        <v>3990</v>
      </c>
      <c r="L1819" s="107">
        <v>1788</v>
      </c>
      <c r="M1819" s="107">
        <v>206</v>
      </c>
      <c r="N1819" s="107" t="s">
        <v>406</v>
      </c>
      <c r="O1819" s="107" t="s">
        <v>277</v>
      </c>
    </row>
    <row r="1820" spans="1:15" x14ac:dyDescent="0.15">
      <c r="A1820" s="107">
        <v>1656</v>
      </c>
      <c r="B1820" s="107" t="s">
        <v>253</v>
      </c>
      <c r="C1820" s="107" t="s">
        <v>274</v>
      </c>
      <c r="D1820" s="107">
        <v>300</v>
      </c>
      <c r="E1820" s="107" t="s">
        <v>438</v>
      </c>
      <c r="F1820" s="107" t="s">
        <v>633</v>
      </c>
      <c r="G1820" s="107">
        <v>180</v>
      </c>
      <c r="H1820" s="107">
        <v>0</v>
      </c>
      <c r="I1820" s="107">
        <v>0</v>
      </c>
      <c r="J1820" s="107">
        <f t="shared" si="28"/>
        <v>0.6</v>
      </c>
      <c r="K1820" s="107">
        <v>3991</v>
      </c>
      <c r="L1820" s="107">
        <v>1788</v>
      </c>
      <c r="M1820" s="107">
        <v>151</v>
      </c>
      <c r="N1820" s="107" t="s">
        <v>383</v>
      </c>
      <c r="O1820" s="107"/>
    </row>
    <row r="1821" spans="1:15" x14ac:dyDescent="0.15">
      <c r="A1821" s="107">
        <v>1659</v>
      </c>
      <c r="B1821" s="107" t="s">
        <v>197</v>
      </c>
      <c r="C1821" s="107" t="s">
        <v>274</v>
      </c>
      <c r="D1821" s="107">
        <v>206</v>
      </c>
      <c r="E1821" s="107" t="s">
        <v>438</v>
      </c>
      <c r="F1821" s="107" t="s">
        <v>633</v>
      </c>
      <c r="G1821" s="107">
        <v>335</v>
      </c>
      <c r="H1821" s="107">
        <v>12</v>
      </c>
      <c r="I1821" s="107">
        <v>0</v>
      </c>
      <c r="J1821" s="107">
        <f t="shared" si="28"/>
        <v>1.6291262135922331</v>
      </c>
      <c r="K1821" s="107">
        <v>3993</v>
      </c>
      <c r="L1821" s="107">
        <v>1792</v>
      </c>
      <c r="M1821" s="107">
        <v>167</v>
      </c>
      <c r="N1821" s="107" t="s">
        <v>317</v>
      </c>
      <c r="O1821" s="107"/>
    </row>
    <row r="1822" spans="1:15" x14ac:dyDescent="0.15">
      <c r="A1822" s="107">
        <v>1759</v>
      </c>
      <c r="B1822" s="107" t="s">
        <v>261</v>
      </c>
      <c r="C1822" s="107" t="s">
        <v>268</v>
      </c>
      <c r="D1822" s="25">
        <v>2</v>
      </c>
      <c r="E1822" s="107" t="s">
        <v>204</v>
      </c>
      <c r="F1822" s="107" t="s">
        <v>634</v>
      </c>
      <c r="G1822" s="107">
        <v>13</v>
      </c>
      <c r="H1822" s="107">
        <v>1</v>
      </c>
      <c r="I1822" s="107">
        <v>0</v>
      </c>
      <c r="J1822" s="107">
        <f t="shared" si="28"/>
        <v>6.5250000000000004</v>
      </c>
      <c r="K1822" s="107">
        <v>6370</v>
      </c>
      <c r="L1822" s="107"/>
      <c r="M1822" s="107"/>
      <c r="N1822" s="107"/>
      <c r="O1822" s="107"/>
    </row>
    <row r="1823" spans="1:15" x14ac:dyDescent="0.15">
      <c r="A1823" s="107">
        <v>1709</v>
      </c>
      <c r="B1823" s="107" t="s">
        <v>192</v>
      </c>
      <c r="C1823" s="107" t="s">
        <v>268</v>
      </c>
      <c r="D1823" s="25">
        <v>1</v>
      </c>
      <c r="E1823" s="107" t="s">
        <v>204</v>
      </c>
      <c r="F1823" s="107" t="s">
        <v>635</v>
      </c>
      <c r="G1823" s="107">
        <v>4</v>
      </c>
      <c r="H1823" s="107">
        <v>5</v>
      </c>
      <c r="I1823" s="107">
        <v>0</v>
      </c>
      <c r="J1823" s="107">
        <f t="shared" si="28"/>
        <v>4.25</v>
      </c>
      <c r="K1823" s="107">
        <v>5590</v>
      </c>
      <c r="L1823" s="107"/>
      <c r="M1823" s="107"/>
      <c r="N1823" s="107"/>
      <c r="O1823" s="107"/>
    </row>
    <row r="1824" spans="1:15" x14ac:dyDescent="0.15">
      <c r="A1824" s="107">
        <v>1701</v>
      </c>
      <c r="B1824" s="107" t="s">
        <v>196</v>
      </c>
      <c r="C1824" s="107" t="s">
        <v>271</v>
      </c>
      <c r="D1824" s="107">
        <v>17</v>
      </c>
      <c r="E1824" s="107" t="s">
        <v>204</v>
      </c>
      <c r="F1824" s="107" t="s">
        <v>636</v>
      </c>
      <c r="G1824" s="107">
        <v>73</v>
      </c>
      <c r="H1824" s="107">
        <v>19</v>
      </c>
      <c r="I1824" s="107">
        <v>0</v>
      </c>
      <c r="J1824" s="107">
        <f t="shared" si="28"/>
        <v>4.3500000000000005</v>
      </c>
      <c r="K1824" s="107">
        <v>4047</v>
      </c>
      <c r="L1824" s="107">
        <v>1855</v>
      </c>
      <c r="M1824" s="107">
        <v>564</v>
      </c>
      <c r="N1824" s="107" t="s">
        <v>273</v>
      </c>
      <c r="O1824" s="107"/>
    </row>
    <row r="1825" spans="1:15" x14ac:dyDescent="0.15">
      <c r="A1825" s="107">
        <v>1655</v>
      </c>
      <c r="B1825" s="107" t="s">
        <v>197</v>
      </c>
      <c r="C1825" s="107" t="s">
        <v>274</v>
      </c>
      <c r="D1825" s="107">
        <v>3</v>
      </c>
      <c r="E1825" s="107" t="s">
        <v>204</v>
      </c>
      <c r="F1825" s="107" t="s">
        <v>637</v>
      </c>
      <c r="G1825" s="107">
        <v>10</v>
      </c>
      <c r="H1825" s="107">
        <v>10</v>
      </c>
      <c r="I1825" s="107">
        <v>0</v>
      </c>
      <c r="J1825" s="107">
        <f t="shared" si="28"/>
        <v>3.5</v>
      </c>
      <c r="K1825" s="107">
        <v>3990</v>
      </c>
      <c r="L1825" s="107">
        <v>1788</v>
      </c>
      <c r="M1825" s="107">
        <v>203</v>
      </c>
      <c r="N1825" s="107"/>
      <c r="O1825" s="107"/>
    </row>
    <row r="1826" spans="1:15" x14ac:dyDescent="0.15">
      <c r="A1826" s="107">
        <v>1655</v>
      </c>
      <c r="B1826" s="107" t="s">
        <v>236</v>
      </c>
      <c r="C1826" s="107" t="s">
        <v>274</v>
      </c>
      <c r="D1826" s="107">
        <v>2</v>
      </c>
      <c r="E1826" s="107"/>
      <c r="F1826" s="107" t="s">
        <v>637</v>
      </c>
      <c r="G1826" s="107">
        <v>6</v>
      </c>
      <c r="H1826" s="107">
        <v>4</v>
      </c>
      <c r="I1826" s="107">
        <v>5</v>
      </c>
      <c r="J1826" s="107">
        <f t="shared" si="28"/>
        <v>3.1078125000000001</v>
      </c>
      <c r="K1826" s="107">
        <v>3990</v>
      </c>
      <c r="L1826" s="107">
        <v>1788</v>
      </c>
      <c r="M1826" s="107">
        <v>203</v>
      </c>
      <c r="N1826" s="107" t="s">
        <v>638</v>
      </c>
      <c r="O1826" s="107"/>
    </row>
    <row r="1827" spans="1:15" x14ac:dyDescent="0.15">
      <c r="A1827" s="107">
        <v>1655</v>
      </c>
      <c r="B1827" s="107" t="s">
        <v>196</v>
      </c>
      <c r="C1827" s="107" t="s">
        <v>274</v>
      </c>
      <c r="D1827" s="107">
        <v>1</v>
      </c>
      <c r="E1827" s="107" t="s">
        <v>204</v>
      </c>
      <c r="F1827" s="107" t="s">
        <v>637</v>
      </c>
      <c r="G1827" s="107">
        <v>5</v>
      </c>
      <c r="H1827" s="107">
        <v>14</v>
      </c>
      <c r="I1827" s="107">
        <v>0</v>
      </c>
      <c r="J1827" s="107">
        <f t="shared" si="28"/>
        <v>5.7</v>
      </c>
      <c r="K1827" s="107">
        <v>3990</v>
      </c>
      <c r="L1827" s="107">
        <v>1788</v>
      </c>
      <c r="M1827" s="107">
        <v>206</v>
      </c>
      <c r="N1827" s="107" t="s">
        <v>406</v>
      </c>
      <c r="O1827" s="107" t="s">
        <v>277</v>
      </c>
    </row>
    <row r="1828" spans="1:15" x14ac:dyDescent="0.15">
      <c r="A1828" s="107">
        <v>1656</v>
      </c>
      <c r="B1828" s="107" t="s">
        <v>283</v>
      </c>
      <c r="C1828" s="107" t="s">
        <v>274</v>
      </c>
      <c r="D1828" s="107">
        <v>1</v>
      </c>
      <c r="E1828" s="107" t="s">
        <v>404</v>
      </c>
      <c r="F1828" s="107" t="s">
        <v>639</v>
      </c>
      <c r="G1828" s="107">
        <v>66</v>
      </c>
      <c r="H1828" s="107">
        <v>10</v>
      </c>
      <c r="I1828" s="107">
        <v>0</v>
      </c>
      <c r="J1828" s="107">
        <f t="shared" si="28"/>
        <v>66.5</v>
      </c>
      <c r="K1828" s="107">
        <v>3991</v>
      </c>
      <c r="L1828" s="107">
        <v>1788</v>
      </c>
      <c r="M1828" s="107">
        <v>150</v>
      </c>
      <c r="N1828" s="107" t="s">
        <v>284</v>
      </c>
      <c r="O1828" s="107"/>
    </row>
    <row r="1829" spans="1:15" x14ac:dyDescent="0.15">
      <c r="A1829" s="107">
        <v>1682</v>
      </c>
      <c r="B1829" s="107" t="s">
        <v>197</v>
      </c>
      <c r="C1829" s="107" t="s">
        <v>271</v>
      </c>
      <c r="D1829" s="107">
        <v>10</v>
      </c>
      <c r="E1829" s="107" t="s">
        <v>193</v>
      </c>
      <c r="F1829" s="107" t="s">
        <v>639</v>
      </c>
      <c r="G1829" s="107">
        <v>0</v>
      </c>
      <c r="H1829" s="107">
        <v>11</v>
      </c>
      <c r="I1829" s="107">
        <v>4</v>
      </c>
      <c r="J1829" s="107">
        <f t="shared" si="28"/>
        <v>5.6250000000000001E-2</v>
      </c>
      <c r="K1829" s="107">
        <v>4018</v>
      </c>
      <c r="L1829" s="107">
        <v>1820</v>
      </c>
      <c r="M1829" s="107">
        <v>763</v>
      </c>
      <c r="N1829" s="107" t="s">
        <v>273</v>
      </c>
      <c r="O1829" s="107"/>
    </row>
    <row r="1830" spans="1:15" x14ac:dyDescent="0.15">
      <c r="A1830" s="107">
        <v>1659</v>
      </c>
      <c r="B1830" s="107" t="s">
        <v>197</v>
      </c>
      <c r="C1830" s="107" t="s">
        <v>274</v>
      </c>
      <c r="D1830" s="107">
        <v>413.65</v>
      </c>
      <c r="E1830" s="107" t="s">
        <v>315</v>
      </c>
      <c r="F1830" s="107" t="s">
        <v>640</v>
      </c>
      <c r="G1830" s="107">
        <v>549</v>
      </c>
      <c r="H1830" s="107">
        <v>16</v>
      </c>
      <c r="I1830" s="107">
        <v>8</v>
      </c>
      <c r="J1830" s="107">
        <f t="shared" si="28"/>
        <v>1.3292034328538618</v>
      </c>
      <c r="K1830" s="107">
        <v>3993</v>
      </c>
      <c r="L1830" s="107">
        <v>1792</v>
      </c>
      <c r="M1830" s="107">
        <v>167</v>
      </c>
      <c r="N1830" s="107" t="s">
        <v>317</v>
      </c>
      <c r="O1830" s="107"/>
    </row>
    <row r="1831" spans="1:15" x14ac:dyDescent="0.15">
      <c r="A1831" s="107">
        <v>1656</v>
      </c>
      <c r="B1831" s="107" t="s">
        <v>283</v>
      </c>
      <c r="C1831" s="107" t="s">
        <v>274</v>
      </c>
      <c r="D1831" s="107">
        <v>606</v>
      </c>
      <c r="E1831" s="107" t="s">
        <v>204</v>
      </c>
      <c r="F1831" s="107" t="s">
        <v>641</v>
      </c>
      <c r="G1831" s="107">
        <v>517</v>
      </c>
      <c r="H1831" s="107">
        <v>3</v>
      </c>
      <c r="I1831" s="107">
        <v>6</v>
      </c>
      <c r="J1831" s="107">
        <f t="shared" si="28"/>
        <v>0.85341377887788772</v>
      </c>
      <c r="K1831" s="107">
        <v>3991</v>
      </c>
      <c r="L1831" s="107">
        <v>1788</v>
      </c>
      <c r="M1831" s="107">
        <v>149</v>
      </c>
      <c r="N1831" s="107" t="s">
        <v>284</v>
      </c>
      <c r="O1831" s="107"/>
    </row>
    <row r="1832" spans="1:15" x14ac:dyDescent="0.15">
      <c r="A1832" s="107">
        <v>1654</v>
      </c>
      <c r="B1832" s="107" t="s">
        <v>356</v>
      </c>
      <c r="C1832" s="107" t="s">
        <v>274</v>
      </c>
      <c r="D1832" s="107">
        <v>2</v>
      </c>
      <c r="E1832" s="107"/>
      <c r="F1832" s="107" t="s">
        <v>642</v>
      </c>
      <c r="G1832" s="107">
        <v>0</v>
      </c>
      <c r="H1832" s="107">
        <v>10</v>
      </c>
      <c r="I1832" s="107">
        <v>0</v>
      </c>
      <c r="J1832" s="107">
        <f t="shared" si="28"/>
        <v>0.25</v>
      </c>
      <c r="K1832" s="107">
        <v>3990</v>
      </c>
      <c r="L1832" s="107">
        <v>1788</v>
      </c>
      <c r="M1832" s="107">
        <v>202</v>
      </c>
      <c r="N1832" s="107" t="s">
        <v>394</v>
      </c>
      <c r="O1832" s="107"/>
    </row>
    <row r="1833" spans="1:15" x14ac:dyDescent="0.15">
      <c r="A1833" s="107">
        <v>1655</v>
      </c>
      <c r="B1833" s="107" t="s">
        <v>186</v>
      </c>
      <c r="C1833" s="107" t="s">
        <v>274</v>
      </c>
      <c r="D1833" s="107">
        <v>4</v>
      </c>
      <c r="E1833" s="107"/>
      <c r="F1833" s="107" t="s">
        <v>642</v>
      </c>
      <c r="G1833" s="107">
        <v>4</v>
      </c>
      <c r="H1833" s="107">
        <v>0</v>
      </c>
      <c r="I1833" s="107">
        <v>0</v>
      </c>
      <c r="J1833" s="107">
        <f t="shared" si="28"/>
        <v>1</v>
      </c>
      <c r="K1833" s="107">
        <v>3990</v>
      </c>
      <c r="L1833" s="107">
        <v>1788</v>
      </c>
      <c r="M1833" s="107">
        <v>203</v>
      </c>
      <c r="N1833" s="107"/>
      <c r="O1833" s="107"/>
    </row>
    <row r="1834" spans="1:15" x14ac:dyDescent="0.15">
      <c r="A1834" s="107">
        <v>1655</v>
      </c>
      <c r="B1834" s="107" t="s">
        <v>186</v>
      </c>
      <c r="C1834" s="107" t="s">
        <v>274</v>
      </c>
      <c r="D1834" s="107">
        <v>2</v>
      </c>
      <c r="E1834" s="107"/>
      <c r="F1834" s="107" t="s">
        <v>642</v>
      </c>
      <c r="G1834" s="107">
        <v>2</v>
      </c>
      <c r="H1834" s="107">
        <v>0</v>
      </c>
      <c r="I1834" s="107">
        <v>0</v>
      </c>
      <c r="J1834" s="107">
        <f t="shared" si="28"/>
        <v>1</v>
      </c>
      <c r="K1834" s="107">
        <v>3990</v>
      </c>
      <c r="L1834" s="107">
        <v>1788</v>
      </c>
      <c r="M1834" s="107">
        <v>203</v>
      </c>
      <c r="N1834" s="107"/>
      <c r="O1834" s="107"/>
    </row>
    <row r="1835" spans="1:15" x14ac:dyDescent="0.15">
      <c r="A1835" s="107">
        <v>1655</v>
      </c>
      <c r="B1835" s="107" t="s">
        <v>236</v>
      </c>
      <c r="C1835" s="107" t="s">
        <v>274</v>
      </c>
      <c r="D1835" s="107">
        <v>4</v>
      </c>
      <c r="E1835" s="107"/>
      <c r="F1835" s="107" t="s">
        <v>642</v>
      </c>
      <c r="G1835" s="107">
        <v>2</v>
      </c>
      <c r="H1835" s="107">
        <v>0</v>
      </c>
      <c r="I1835" s="107">
        <v>0</v>
      </c>
      <c r="J1835" s="107">
        <f t="shared" si="28"/>
        <v>0.5</v>
      </c>
      <c r="K1835" s="107">
        <v>3990</v>
      </c>
      <c r="L1835" s="107">
        <v>1788</v>
      </c>
      <c r="M1835" s="107">
        <v>203</v>
      </c>
      <c r="N1835" s="107"/>
      <c r="O1835" s="107"/>
    </row>
    <row r="1836" spans="1:15" x14ac:dyDescent="0.15">
      <c r="A1836" s="107">
        <v>1655</v>
      </c>
      <c r="B1836" s="107" t="s">
        <v>236</v>
      </c>
      <c r="C1836" s="107" t="s">
        <v>274</v>
      </c>
      <c r="D1836" s="107">
        <v>6</v>
      </c>
      <c r="E1836" s="107"/>
      <c r="F1836" s="107" t="s">
        <v>642</v>
      </c>
      <c r="G1836" s="107">
        <v>3</v>
      </c>
      <c r="H1836" s="107">
        <v>0</v>
      </c>
      <c r="I1836" s="107">
        <v>0</v>
      </c>
      <c r="J1836" s="107">
        <f t="shared" si="28"/>
        <v>0.5</v>
      </c>
      <c r="K1836" s="107">
        <v>3990</v>
      </c>
      <c r="L1836" s="107">
        <v>1788</v>
      </c>
      <c r="M1836" s="107">
        <v>203</v>
      </c>
      <c r="N1836" s="107"/>
      <c r="O1836" s="107"/>
    </row>
    <row r="1837" spans="1:15" x14ac:dyDescent="0.15">
      <c r="A1837" s="107">
        <v>1655</v>
      </c>
      <c r="B1837" s="107" t="s">
        <v>247</v>
      </c>
      <c r="C1837" s="107" t="s">
        <v>274</v>
      </c>
      <c r="D1837" s="107">
        <v>1</v>
      </c>
      <c r="E1837" s="107"/>
      <c r="F1837" s="107" t="s">
        <v>642</v>
      </c>
      <c r="G1837" s="107">
        <v>1</v>
      </c>
      <c r="H1837" s="107">
        <v>0</v>
      </c>
      <c r="I1837" s="107">
        <v>0</v>
      </c>
      <c r="J1837" s="107">
        <f t="shared" si="28"/>
        <v>1</v>
      </c>
      <c r="K1837" s="107">
        <v>3990</v>
      </c>
      <c r="L1837" s="107">
        <v>1788</v>
      </c>
      <c r="M1837" s="107">
        <v>207</v>
      </c>
      <c r="N1837" s="107" t="s">
        <v>276</v>
      </c>
      <c r="O1837" s="107" t="s">
        <v>277</v>
      </c>
    </row>
    <row r="1838" spans="1:15" x14ac:dyDescent="0.15">
      <c r="A1838" s="107">
        <v>1655</v>
      </c>
      <c r="B1838" s="107" t="s">
        <v>197</v>
      </c>
      <c r="C1838" s="107" t="s">
        <v>274</v>
      </c>
      <c r="D1838" s="107">
        <v>1</v>
      </c>
      <c r="E1838" s="107"/>
      <c r="F1838" s="107" t="s">
        <v>642</v>
      </c>
      <c r="G1838" s="107">
        <v>0</v>
      </c>
      <c r="H1838" s="107">
        <v>10</v>
      </c>
      <c r="I1838" s="107">
        <v>0</v>
      </c>
      <c r="J1838" s="107">
        <f t="shared" si="28"/>
        <v>0.5</v>
      </c>
      <c r="K1838" s="107">
        <v>3990</v>
      </c>
      <c r="L1838" s="107">
        <v>1788</v>
      </c>
      <c r="M1838" s="107">
        <v>212</v>
      </c>
      <c r="N1838" s="107" t="s">
        <v>497</v>
      </c>
      <c r="O1838" s="107" t="s">
        <v>498</v>
      </c>
    </row>
    <row r="1839" spans="1:15" x14ac:dyDescent="0.15">
      <c r="A1839" s="107">
        <v>1674</v>
      </c>
      <c r="B1839" s="107" t="s">
        <v>197</v>
      </c>
      <c r="C1839" s="107" t="s">
        <v>274</v>
      </c>
      <c r="D1839" s="107">
        <v>2</v>
      </c>
      <c r="E1839" s="107" t="s">
        <v>204</v>
      </c>
      <c r="F1839" s="107" t="s">
        <v>642</v>
      </c>
      <c r="G1839" s="107">
        <v>4</v>
      </c>
      <c r="H1839" s="107">
        <v>0</v>
      </c>
      <c r="I1839" s="107">
        <v>0</v>
      </c>
      <c r="J1839" s="107">
        <f t="shared" si="28"/>
        <v>2</v>
      </c>
      <c r="K1839" s="107">
        <v>4011</v>
      </c>
      <c r="L1839" s="107">
        <v>1814</v>
      </c>
      <c r="M1839" s="107">
        <v>598</v>
      </c>
      <c r="N1839" s="107" t="s">
        <v>294</v>
      </c>
      <c r="O1839" s="107"/>
    </row>
    <row r="1840" spans="1:15" x14ac:dyDescent="0.15">
      <c r="A1840" s="107">
        <v>1674</v>
      </c>
      <c r="B1840" s="107" t="s">
        <v>196</v>
      </c>
      <c r="C1840" s="107" t="s">
        <v>274</v>
      </c>
      <c r="D1840" s="107">
        <v>33.5</v>
      </c>
      <c r="E1840" s="107" t="s">
        <v>204</v>
      </c>
      <c r="F1840" s="107" t="s">
        <v>642</v>
      </c>
      <c r="G1840" s="107">
        <v>67</v>
      </c>
      <c r="H1840" s="107">
        <v>0</v>
      </c>
      <c r="I1840" s="107">
        <v>0</v>
      </c>
      <c r="J1840" s="107">
        <f t="shared" ref="J1840:J1903" si="29">(G1840+H1840/20+I1840/320)/D1840</f>
        <v>2</v>
      </c>
      <c r="K1840" s="107">
        <v>4011</v>
      </c>
      <c r="L1840" s="107">
        <v>1814</v>
      </c>
      <c r="M1840" s="107">
        <v>599</v>
      </c>
      <c r="N1840" s="107" t="s">
        <v>294</v>
      </c>
      <c r="O1840" s="107"/>
    </row>
    <row r="1841" spans="1:11" x14ac:dyDescent="0.15">
      <c r="A1841" s="107">
        <v>1705</v>
      </c>
      <c r="B1841" s="107" t="s">
        <v>197</v>
      </c>
      <c r="C1841" s="107" t="s">
        <v>268</v>
      </c>
      <c r="D1841" s="25">
        <v>10</v>
      </c>
      <c r="E1841" s="107" t="s">
        <v>204</v>
      </c>
      <c r="F1841" s="107" t="s">
        <v>642</v>
      </c>
      <c r="G1841" s="107">
        <v>325</v>
      </c>
      <c r="H1841" s="107">
        <v>0</v>
      </c>
      <c r="I1841" s="107">
        <v>0</v>
      </c>
      <c r="J1841" s="107">
        <f t="shared" si="29"/>
        <v>32.5</v>
      </c>
      <c r="K1841" s="107">
        <v>5536</v>
      </c>
    </row>
    <row r="1842" spans="1:11" x14ac:dyDescent="0.15">
      <c r="A1842" s="107">
        <v>1706</v>
      </c>
      <c r="B1842" s="107" t="s">
        <v>186</v>
      </c>
      <c r="C1842" s="107" t="s">
        <v>268</v>
      </c>
      <c r="D1842" s="25">
        <v>11</v>
      </c>
      <c r="E1842" s="107" t="s">
        <v>204</v>
      </c>
      <c r="F1842" s="107" t="s">
        <v>642</v>
      </c>
      <c r="G1842" s="107">
        <v>77</v>
      </c>
      <c r="H1842" s="107">
        <v>0</v>
      </c>
      <c r="I1842" s="107">
        <v>0</v>
      </c>
      <c r="J1842" s="107">
        <f t="shared" si="29"/>
        <v>7</v>
      </c>
      <c r="K1842" s="107">
        <v>5558</v>
      </c>
    </row>
    <row r="1843" spans="1:11" x14ac:dyDescent="0.15">
      <c r="A1843" s="107">
        <v>1707</v>
      </c>
      <c r="B1843" s="107" t="s">
        <v>244</v>
      </c>
      <c r="C1843" s="107" t="s">
        <v>268</v>
      </c>
      <c r="D1843" s="25">
        <v>10</v>
      </c>
      <c r="E1843" s="107" t="s">
        <v>204</v>
      </c>
      <c r="F1843" s="107" t="s">
        <v>642</v>
      </c>
      <c r="G1843" s="107">
        <v>70</v>
      </c>
      <c r="H1843" s="107">
        <v>0</v>
      </c>
      <c r="I1843" s="107">
        <v>0</v>
      </c>
      <c r="J1843" s="107">
        <f t="shared" si="29"/>
        <v>7</v>
      </c>
      <c r="K1843" s="107">
        <v>5570</v>
      </c>
    </row>
    <row r="1844" spans="1:11" x14ac:dyDescent="0.15">
      <c r="A1844" s="107">
        <v>1708</v>
      </c>
      <c r="B1844" s="107" t="s">
        <v>253</v>
      </c>
      <c r="C1844" s="107" t="s">
        <v>268</v>
      </c>
      <c r="D1844" s="25">
        <v>8</v>
      </c>
      <c r="E1844" s="107" t="s">
        <v>204</v>
      </c>
      <c r="F1844" s="107" t="s">
        <v>642</v>
      </c>
      <c r="G1844" s="107">
        <v>60</v>
      </c>
      <c r="H1844" s="107">
        <v>0</v>
      </c>
      <c r="I1844" s="107">
        <v>0</v>
      </c>
      <c r="J1844" s="107">
        <f t="shared" si="29"/>
        <v>7.5</v>
      </c>
      <c r="K1844" s="107">
        <v>5571</v>
      </c>
    </row>
    <row r="1845" spans="1:11" x14ac:dyDescent="0.15">
      <c r="A1845" s="107">
        <v>1709</v>
      </c>
      <c r="B1845" s="107" t="s">
        <v>192</v>
      </c>
      <c r="C1845" s="107" t="s">
        <v>268</v>
      </c>
      <c r="D1845" s="25">
        <v>10</v>
      </c>
      <c r="E1845" s="107" t="s">
        <v>204</v>
      </c>
      <c r="F1845" s="107" t="s">
        <v>642</v>
      </c>
      <c r="G1845" s="107">
        <v>75</v>
      </c>
      <c r="H1845" s="107">
        <v>0</v>
      </c>
      <c r="I1845" s="107">
        <v>0</v>
      </c>
      <c r="J1845" s="107">
        <f t="shared" si="29"/>
        <v>7.5</v>
      </c>
      <c r="K1845" s="107">
        <v>5590</v>
      </c>
    </row>
    <row r="1846" spans="1:11" x14ac:dyDescent="0.15">
      <c r="A1846" s="107">
        <v>1710</v>
      </c>
      <c r="B1846" s="107" t="s">
        <v>196</v>
      </c>
      <c r="C1846" s="107" t="s">
        <v>268</v>
      </c>
      <c r="D1846" s="25">
        <v>6</v>
      </c>
      <c r="E1846" s="107" t="s">
        <v>204</v>
      </c>
      <c r="F1846" s="107" t="s">
        <v>642</v>
      </c>
      <c r="G1846" s="107">
        <v>45</v>
      </c>
      <c r="H1846" s="107">
        <v>0</v>
      </c>
      <c r="I1846" s="107">
        <v>0</v>
      </c>
      <c r="J1846" s="107">
        <f t="shared" si="29"/>
        <v>7.5</v>
      </c>
      <c r="K1846" s="107">
        <v>5601</v>
      </c>
    </row>
    <row r="1847" spans="1:11" x14ac:dyDescent="0.15">
      <c r="A1847" s="107">
        <v>1710</v>
      </c>
      <c r="B1847" s="107" t="s">
        <v>186</v>
      </c>
      <c r="C1847" s="107" t="s">
        <v>268</v>
      </c>
      <c r="D1847" s="25">
        <v>8</v>
      </c>
      <c r="E1847" s="107" t="s">
        <v>204</v>
      </c>
      <c r="F1847" s="107" t="s">
        <v>642</v>
      </c>
      <c r="G1847" s="107">
        <v>60</v>
      </c>
      <c r="H1847" s="107">
        <v>0</v>
      </c>
      <c r="I1847" s="107">
        <v>0</v>
      </c>
      <c r="J1847" s="107">
        <f t="shared" si="29"/>
        <v>7.5</v>
      </c>
      <c r="K1847" s="107">
        <v>5611</v>
      </c>
    </row>
    <row r="1848" spans="1:11" x14ac:dyDescent="0.15">
      <c r="A1848" s="107">
        <v>1711</v>
      </c>
      <c r="B1848" s="107" t="s">
        <v>260</v>
      </c>
      <c r="C1848" s="107" t="s">
        <v>268</v>
      </c>
      <c r="D1848" s="25">
        <v>8</v>
      </c>
      <c r="E1848" s="107" t="s">
        <v>204</v>
      </c>
      <c r="F1848" s="107" t="s">
        <v>642</v>
      </c>
      <c r="G1848" s="107">
        <v>60</v>
      </c>
      <c r="H1848" s="107">
        <v>0</v>
      </c>
      <c r="I1848" s="107">
        <v>0</v>
      </c>
      <c r="J1848" s="107">
        <f t="shared" si="29"/>
        <v>7.5</v>
      </c>
      <c r="K1848" s="107">
        <v>5612</v>
      </c>
    </row>
    <row r="1849" spans="1:11" x14ac:dyDescent="0.15">
      <c r="A1849" s="107">
        <v>1712</v>
      </c>
      <c r="B1849" s="107" t="s">
        <v>261</v>
      </c>
      <c r="C1849" s="107" t="s">
        <v>268</v>
      </c>
      <c r="D1849" s="25">
        <v>10</v>
      </c>
      <c r="E1849" s="107" t="s">
        <v>204</v>
      </c>
      <c r="F1849" s="107" t="s">
        <v>642</v>
      </c>
      <c r="G1849" s="107">
        <v>75</v>
      </c>
      <c r="H1849" s="107">
        <v>0</v>
      </c>
      <c r="I1849" s="107">
        <v>0</v>
      </c>
      <c r="J1849" s="107">
        <f t="shared" si="29"/>
        <v>7.5</v>
      </c>
      <c r="K1849" s="107">
        <v>5628</v>
      </c>
    </row>
    <row r="1850" spans="1:11" x14ac:dyDescent="0.15">
      <c r="A1850" s="107">
        <v>1713</v>
      </c>
      <c r="B1850" s="107" t="s">
        <v>260</v>
      </c>
      <c r="C1850" s="107" t="s">
        <v>268</v>
      </c>
      <c r="D1850" s="25">
        <v>10</v>
      </c>
      <c r="E1850" s="107" t="s">
        <v>204</v>
      </c>
      <c r="F1850" s="107" t="s">
        <v>642</v>
      </c>
      <c r="G1850" s="107">
        <v>75</v>
      </c>
      <c r="H1850" s="107">
        <v>0</v>
      </c>
      <c r="I1850" s="107">
        <v>0</v>
      </c>
      <c r="J1850" s="107">
        <f t="shared" si="29"/>
        <v>7.5</v>
      </c>
      <c r="K1850" s="107">
        <v>5644</v>
      </c>
    </row>
    <row r="1851" spans="1:11" x14ac:dyDescent="0.15">
      <c r="A1851" s="107">
        <v>1713</v>
      </c>
      <c r="B1851" s="107" t="s">
        <v>236</v>
      </c>
      <c r="C1851" s="107" t="s">
        <v>268</v>
      </c>
      <c r="D1851" s="25">
        <v>10</v>
      </c>
      <c r="E1851" s="107" t="s">
        <v>204</v>
      </c>
      <c r="F1851" s="107" t="s">
        <v>642</v>
      </c>
      <c r="G1851" s="107">
        <v>75</v>
      </c>
      <c r="H1851" s="107">
        <v>0</v>
      </c>
      <c r="I1851" s="107">
        <v>0</v>
      </c>
      <c r="J1851" s="107">
        <f t="shared" si="29"/>
        <v>7.5</v>
      </c>
      <c r="K1851" s="107">
        <v>5646</v>
      </c>
    </row>
    <row r="1852" spans="1:11" x14ac:dyDescent="0.15">
      <c r="A1852" s="107">
        <v>1714</v>
      </c>
      <c r="B1852" s="107" t="s">
        <v>247</v>
      </c>
      <c r="C1852" s="107" t="s">
        <v>268</v>
      </c>
      <c r="D1852" s="25">
        <v>8</v>
      </c>
      <c r="E1852" s="107" t="s">
        <v>204</v>
      </c>
      <c r="F1852" s="107" t="s">
        <v>642</v>
      </c>
      <c r="G1852" s="107">
        <v>60</v>
      </c>
      <c r="H1852" s="107">
        <v>0</v>
      </c>
      <c r="I1852" s="107">
        <v>0</v>
      </c>
      <c r="J1852" s="107">
        <f t="shared" si="29"/>
        <v>7.5</v>
      </c>
      <c r="K1852" s="107">
        <v>5655</v>
      </c>
    </row>
    <row r="1853" spans="1:11" x14ac:dyDescent="0.15">
      <c r="A1853" s="107">
        <v>1715</v>
      </c>
      <c r="B1853" s="107" t="s">
        <v>197</v>
      </c>
      <c r="C1853" s="107" t="s">
        <v>268</v>
      </c>
      <c r="D1853" s="25">
        <v>12</v>
      </c>
      <c r="E1853" s="107" t="s">
        <v>204</v>
      </c>
      <c r="F1853" s="107" t="s">
        <v>642</v>
      </c>
      <c r="G1853" s="107">
        <v>90</v>
      </c>
      <c r="H1853" s="107">
        <v>0</v>
      </c>
      <c r="I1853" s="107">
        <v>0</v>
      </c>
      <c r="J1853" s="107">
        <f t="shared" si="29"/>
        <v>7.5</v>
      </c>
      <c r="K1853" s="107">
        <v>5663</v>
      </c>
    </row>
    <row r="1854" spans="1:11" x14ac:dyDescent="0.15">
      <c r="A1854" s="107">
        <v>1716</v>
      </c>
      <c r="B1854" s="107" t="s">
        <v>197</v>
      </c>
      <c r="C1854" s="107" t="s">
        <v>268</v>
      </c>
      <c r="D1854" s="25">
        <v>8</v>
      </c>
      <c r="E1854" s="107" t="s">
        <v>204</v>
      </c>
      <c r="F1854" s="107" t="s">
        <v>642</v>
      </c>
      <c r="G1854" s="107">
        <v>57</v>
      </c>
      <c r="H1854" s="107">
        <v>0</v>
      </c>
      <c r="I1854" s="107">
        <v>0</v>
      </c>
      <c r="J1854" s="107">
        <f t="shared" si="29"/>
        <v>7.125</v>
      </c>
      <c r="K1854" s="107">
        <v>5670</v>
      </c>
    </row>
    <row r="1855" spans="1:11" x14ac:dyDescent="0.15">
      <c r="A1855" s="107">
        <v>1717</v>
      </c>
      <c r="B1855" s="107" t="s">
        <v>192</v>
      </c>
      <c r="C1855" s="107" t="s">
        <v>268</v>
      </c>
      <c r="D1855" s="25">
        <v>8</v>
      </c>
      <c r="E1855" s="107" t="s">
        <v>204</v>
      </c>
      <c r="F1855" s="107" t="s">
        <v>642</v>
      </c>
      <c r="G1855" s="107">
        <v>57</v>
      </c>
      <c r="H1855" s="107">
        <v>0</v>
      </c>
      <c r="I1855" s="107">
        <v>0</v>
      </c>
      <c r="J1855" s="107">
        <f t="shared" si="29"/>
        <v>7.125</v>
      </c>
      <c r="K1855" s="107">
        <v>5683</v>
      </c>
    </row>
    <row r="1856" spans="1:11" x14ac:dyDescent="0.15">
      <c r="A1856" s="107">
        <v>1721</v>
      </c>
      <c r="B1856" s="107" t="s">
        <v>192</v>
      </c>
      <c r="C1856" s="107" t="s">
        <v>268</v>
      </c>
      <c r="D1856" s="25">
        <v>8</v>
      </c>
      <c r="E1856" s="107" t="s">
        <v>204</v>
      </c>
      <c r="F1856" s="107" t="s">
        <v>642</v>
      </c>
      <c r="G1856" s="107">
        <v>72</v>
      </c>
      <c r="H1856" s="107">
        <v>0</v>
      </c>
      <c r="I1856" s="107">
        <v>0</v>
      </c>
      <c r="J1856" s="107">
        <f t="shared" si="29"/>
        <v>9</v>
      </c>
      <c r="K1856" s="107">
        <v>5753</v>
      </c>
    </row>
    <row r="1857" spans="1:11" x14ac:dyDescent="0.15">
      <c r="A1857" s="107">
        <v>1723</v>
      </c>
      <c r="B1857" s="107" t="s">
        <v>236</v>
      </c>
      <c r="C1857" s="107" t="s">
        <v>268</v>
      </c>
      <c r="D1857" s="25">
        <v>12</v>
      </c>
      <c r="E1857" s="107" t="s">
        <v>204</v>
      </c>
      <c r="F1857" s="107" t="s">
        <v>642</v>
      </c>
      <c r="G1857" s="107">
        <v>90</v>
      </c>
      <c r="H1857" s="107">
        <v>0</v>
      </c>
      <c r="I1857" s="107">
        <v>0</v>
      </c>
      <c r="J1857" s="107">
        <f t="shared" si="29"/>
        <v>7.5</v>
      </c>
      <c r="K1857" s="107">
        <v>6808</v>
      </c>
    </row>
    <row r="1858" spans="1:11" x14ac:dyDescent="0.15">
      <c r="A1858" s="107">
        <v>1724</v>
      </c>
      <c r="B1858" s="107" t="s">
        <v>197</v>
      </c>
      <c r="C1858" s="107" t="s">
        <v>268</v>
      </c>
      <c r="D1858" s="25">
        <v>10</v>
      </c>
      <c r="E1858" s="107" t="s">
        <v>204</v>
      </c>
      <c r="F1858" s="107" t="s">
        <v>642</v>
      </c>
      <c r="G1858" s="107">
        <v>75</v>
      </c>
      <c r="H1858" s="107">
        <v>0</v>
      </c>
      <c r="I1858" s="107">
        <v>0</v>
      </c>
      <c r="J1858" s="107">
        <f t="shared" si="29"/>
        <v>7.5</v>
      </c>
      <c r="K1858" s="107">
        <v>6807</v>
      </c>
    </row>
    <row r="1859" spans="1:11" x14ac:dyDescent="0.15">
      <c r="A1859" s="107">
        <v>1725</v>
      </c>
      <c r="B1859" s="107" t="s">
        <v>200</v>
      </c>
      <c r="C1859" s="107" t="s">
        <v>268</v>
      </c>
      <c r="D1859" s="25">
        <v>10</v>
      </c>
      <c r="E1859" s="107" t="s">
        <v>204</v>
      </c>
      <c r="F1859" s="107" t="s">
        <v>642</v>
      </c>
      <c r="G1859" s="107">
        <v>75</v>
      </c>
      <c r="H1859" s="107">
        <v>0</v>
      </c>
      <c r="I1859" s="107">
        <v>0</v>
      </c>
      <c r="J1859" s="107">
        <f t="shared" si="29"/>
        <v>7.5</v>
      </c>
      <c r="K1859" s="107">
        <v>5838</v>
      </c>
    </row>
    <row r="1860" spans="1:11" x14ac:dyDescent="0.15">
      <c r="A1860" s="107">
        <v>1727</v>
      </c>
      <c r="B1860" s="107" t="s">
        <v>192</v>
      </c>
      <c r="C1860" s="107" t="s">
        <v>268</v>
      </c>
      <c r="D1860" s="25">
        <v>12</v>
      </c>
      <c r="E1860" s="107" t="s">
        <v>204</v>
      </c>
      <c r="F1860" s="107" t="s">
        <v>642</v>
      </c>
      <c r="G1860" s="107">
        <v>85</v>
      </c>
      <c r="H1860" s="107">
        <v>10</v>
      </c>
      <c r="I1860" s="107">
        <v>0</v>
      </c>
      <c r="J1860" s="107">
        <f t="shared" si="29"/>
        <v>7.125</v>
      </c>
      <c r="K1860" s="107">
        <v>5871</v>
      </c>
    </row>
    <row r="1861" spans="1:11" x14ac:dyDescent="0.15">
      <c r="A1861" s="107">
        <v>1728</v>
      </c>
      <c r="B1861" s="107" t="s">
        <v>186</v>
      </c>
      <c r="C1861" s="107" t="s">
        <v>268</v>
      </c>
      <c r="D1861" s="25">
        <v>12</v>
      </c>
      <c r="E1861" s="107" t="s">
        <v>204</v>
      </c>
      <c r="F1861" s="107" t="s">
        <v>642</v>
      </c>
      <c r="G1861" s="107">
        <v>46</v>
      </c>
      <c r="H1861" s="107">
        <v>10</v>
      </c>
      <c r="I1861" s="107">
        <v>0</v>
      </c>
      <c r="J1861" s="107">
        <f t="shared" si="29"/>
        <v>3.875</v>
      </c>
      <c r="K1861" s="107">
        <v>5900</v>
      </c>
    </row>
    <row r="1862" spans="1:11" x14ac:dyDescent="0.15">
      <c r="A1862" s="107">
        <v>1729</v>
      </c>
      <c r="B1862" s="107" t="s">
        <v>261</v>
      </c>
      <c r="C1862" s="107" t="s">
        <v>268</v>
      </c>
      <c r="D1862" s="25">
        <v>8</v>
      </c>
      <c r="E1862" s="107" t="s">
        <v>204</v>
      </c>
      <c r="F1862" s="107" t="s">
        <v>642</v>
      </c>
      <c r="G1862" s="107">
        <v>31</v>
      </c>
      <c r="H1862" s="107">
        <v>0</v>
      </c>
      <c r="I1862" s="107">
        <v>0</v>
      </c>
      <c r="J1862" s="107">
        <f t="shared" si="29"/>
        <v>3.875</v>
      </c>
      <c r="K1862" s="107">
        <v>5903</v>
      </c>
    </row>
    <row r="1863" spans="1:11" x14ac:dyDescent="0.15">
      <c r="A1863" s="107">
        <v>1730</v>
      </c>
      <c r="B1863" s="107" t="s">
        <v>226</v>
      </c>
      <c r="C1863" s="107" t="s">
        <v>268</v>
      </c>
      <c r="D1863" s="25">
        <v>8</v>
      </c>
      <c r="E1863" s="107" t="s">
        <v>204</v>
      </c>
      <c r="F1863" s="107" t="s">
        <v>642</v>
      </c>
      <c r="G1863" s="107">
        <v>42</v>
      </c>
      <c r="H1863" s="107">
        <v>0</v>
      </c>
      <c r="I1863" s="107">
        <v>0</v>
      </c>
      <c r="J1863" s="107">
        <f t="shared" si="29"/>
        <v>5.25</v>
      </c>
      <c r="K1863" s="107">
        <v>5935</v>
      </c>
    </row>
    <row r="1864" spans="1:11" x14ac:dyDescent="0.15">
      <c r="A1864" s="107">
        <v>1731</v>
      </c>
      <c r="B1864" s="107" t="s">
        <v>261</v>
      </c>
      <c r="C1864" s="107" t="s">
        <v>268</v>
      </c>
      <c r="D1864" s="25">
        <v>12</v>
      </c>
      <c r="E1864" s="107" t="s">
        <v>204</v>
      </c>
      <c r="F1864" s="107" t="s">
        <v>642</v>
      </c>
      <c r="G1864" s="107">
        <v>63</v>
      </c>
      <c r="H1864" s="107">
        <v>0</v>
      </c>
      <c r="I1864" s="107">
        <v>0</v>
      </c>
      <c r="J1864" s="107">
        <f t="shared" si="29"/>
        <v>5.25</v>
      </c>
      <c r="K1864" s="107">
        <v>5938</v>
      </c>
    </row>
    <row r="1865" spans="1:11" x14ac:dyDescent="0.15">
      <c r="A1865" s="107">
        <v>1732</v>
      </c>
      <c r="B1865" s="107" t="s">
        <v>186</v>
      </c>
      <c r="C1865" s="107" t="s">
        <v>268</v>
      </c>
      <c r="D1865" s="25">
        <v>8</v>
      </c>
      <c r="E1865" s="107" t="s">
        <v>204</v>
      </c>
      <c r="F1865" s="107" t="s">
        <v>642</v>
      </c>
      <c r="G1865" s="107">
        <v>42</v>
      </c>
      <c r="H1865" s="107">
        <v>0</v>
      </c>
      <c r="I1865" s="107">
        <v>0</v>
      </c>
      <c r="J1865" s="107">
        <f t="shared" si="29"/>
        <v>5.25</v>
      </c>
      <c r="K1865" s="107">
        <v>5957</v>
      </c>
    </row>
    <row r="1866" spans="1:11" x14ac:dyDescent="0.15">
      <c r="A1866" s="107">
        <v>1733</v>
      </c>
      <c r="B1866" s="107" t="s">
        <v>253</v>
      </c>
      <c r="C1866" s="107" t="s">
        <v>268</v>
      </c>
      <c r="D1866" s="25">
        <v>6</v>
      </c>
      <c r="E1866" s="107" t="s">
        <v>204</v>
      </c>
      <c r="F1866" s="107" t="s">
        <v>642</v>
      </c>
      <c r="G1866" s="107">
        <v>31</v>
      </c>
      <c r="H1866" s="107">
        <v>10</v>
      </c>
      <c r="I1866" s="107">
        <v>0</v>
      </c>
      <c r="J1866" s="107">
        <f t="shared" si="29"/>
        <v>5.25</v>
      </c>
      <c r="K1866" s="107">
        <v>5956</v>
      </c>
    </row>
    <row r="1867" spans="1:11" x14ac:dyDescent="0.15">
      <c r="A1867" s="107">
        <v>1735</v>
      </c>
      <c r="B1867" s="107" t="s">
        <v>244</v>
      </c>
      <c r="C1867" s="107" t="s">
        <v>268</v>
      </c>
      <c r="D1867" s="25">
        <v>6</v>
      </c>
      <c r="E1867" s="107" t="s">
        <v>204</v>
      </c>
      <c r="F1867" s="107" t="s">
        <v>642</v>
      </c>
      <c r="G1867" s="107">
        <v>31</v>
      </c>
      <c r="H1867" s="107">
        <v>10</v>
      </c>
      <c r="I1867" s="107">
        <v>0</v>
      </c>
      <c r="J1867" s="107">
        <f t="shared" si="29"/>
        <v>5.25</v>
      </c>
      <c r="K1867" s="107">
        <v>6015</v>
      </c>
    </row>
    <row r="1868" spans="1:11" x14ac:dyDescent="0.15">
      <c r="A1868" s="107">
        <v>1736</v>
      </c>
      <c r="B1868" s="107" t="s">
        <v>261</v>
      </c>
      <c r="C1868" s="107" t="s">
        <v>268</v>
      </c>
      <c r="D1868" s="25">
        <v>8</v>
      </c>
      <c r="E1868" s="107" t="s">
        <v>204</v>
      </c>
      <c r="F1868" s="107" t="s">
        <v>642</v>
      </c>
      <c r="G1868" s="107">
        <v>42</v>
      </c>
      <c r="H1868" s="107">
        <v>0</v>
      </c>
      <c r="I1868" s="107">
        <v>0</v>
      </c>
      <c r="J1868" s="107">
        <f t="shared" si="29"/>
        <v>5.25</v>
      </c>
      <c r="K1868" s="107">
        <v>6014</v>
      </c>
    </row>
    <row r="1869" spans="1:11" x14ac:dyDescent="0.15">
      <c r="A1869" s="107">
        <v>1737</v>
      </c>
      <c r="B1869" s="107" t="s">
        <v>226</v>
      </c>
      <c r="C1869" s="107" t="s">
        <v>268</v>
      </c>
      <c r="D1869" s="25">
        <v>10</v>
      </c>
      <c r="E1869" s="107" t="s">
        <v>204</v>
      </c>
      <c r="F1869" s="107" t="s">
        <v>642</v>
      </c>
      <c r="G1869" s="107">
        <v>52</v>
      </c>
      <c r="H1869" s="107">
        <v>10</v>
      </c>
      <c r="I1869" s="107">
        <v>0</v>
      </c>
      <c r="J1869" s="107">
        <f t="shared" si="29"/>
        <v>5.25</v>
      </c>
      <c r="K1869" s="107">
        <v>6035</v>
      </c>
    </row>
    <row r="1870" spans="1:11" x14ac:dyDescent="0.15">
      <c r="A1870" s="107">
        <v>1738</v>
      </c>
      <c r="B1870" s="107" t="s">
        <v>196</v>
      </c>
      <c r="C1870" s="107" t="s">
        <v>268</v>
      </c>
      <c r="D1870" s="25">
        <v>10</v>
      </c>
      <c r="E1870" s="107" t="s">
        <v>204</v>
      </c>
      <c r="F1870" s="107" t="s">
        <v>642</v>
      </c>
      <c r="G1870" s="107">
        <v>52</v>
      </c>
      <c r="H1870" s="107">
        <v>10</v>
      </c>
      <c r="I1870" s="107">
        <v>5</v>
      </c>
      <c r="J1870" s="107">
        <f t="shared" si="29"/>
        <v>5.2515625000000004</v>
      </c>
      <c r="K1870" s="107">
        <v>6060</v>
      </c>
    </row>
    <row r="1871" spans="1:11" x14ac:dyDescent="0.15">
      <c r="A1871" s="107">
        <v>1739</v>
      </c>
      <c r="B1871" s="107" t="s">
        <v>226</v>
      </c>
      <c r="C1871" s="107" t="s">
        <v>268</v>
      </c>
      <c r="D1871" s="25">
        <v>12</v>
      </c>
      <c r="E1871" s="107" t="s">
        <v>204</v>
      </c>
      <c r="F1871" s="107" t="s">
        <v>642</v>
      </c>
      <c r="G1871" s="107">
        <v>63</v>
      </c>
      <c r="H1871" s="107">
        <v>0</v>
      </c>
      <c r="I1871" s="107">
        <v>0</v>
      </c>
      <c r="J1871" s="107">
        <f t="shared" si="29"/>
        <v>5.25</v>
      </c>
      <c r="K1871" s="107">
        <v>6089</v>
      </c>
    </row>
    <row r="1872" spans="1:11" x14ac:dyDescent="0.15">
      <c r="A1872" s="107">
        <v>1740</v>
      </c>
      <c r="B1872" s="107" t="s">
        <v>197</v>
      </c>
      <c r="C1872" s="107" t="s">
        <v>268</v>
      </c>
      <c r="D1872" s="25">
        <v>8</v>
      </c>
      <c r="E1872" s="107" t="s">
        <v>204</v>
      </c>
      <c r="F1872" s="107" t="s">
        <v>642</v>
      </c>
      <c r="G1872" s="107">
        <v>42</v>
      </c>
      <c r="H1872" s="107">
        <v>0</v>
      </c>
      <c r="I1872" s="107">
        <v>0</v>
      </c>
      <c r="J1872" s="107">
        <f t="shared" si="29"/>
        <v>5.25</v>
      </c>
      <c r="K1872" s="107">
        <v>6098</v>
      </c>
    </row>
    <row r="1873" spans="1:11" x14ac:dyDescent="0.15">
      <c r="A1873" s="107">
        <v>1741</v>
      </c>
      <c r="B1873" s="107" t="s">
        <v>196</v>
      </c>
      <c r="C1873" s="107" t="s">
        <v>268</v>
      </c>
      <c r="D1873" s="25">
        <v>8</v>
      </c>
      <c r="E1873" s="107" t="s">
        <v>204</v>
      </c>
      <c r="F1873" s="107" t="s">
        <v>642</v>
      </c>
      <c r="G1873" s="107">
        <v>42</v>
      </c>
      <c r="H1873" s="107">
        <v>0</v>
      </c>
      <c r="I1873" s="107">
        <v>0</v>
      </c>
      <c r="J1873" s="107">
        <f t="shared" si="29"/>
        <v>5.25</v>
      </c>
      <c r="K1873" s="107">
        <v>6115</v>
      </c>
    </row>
    <row r="1874" spans="1:11" x14ac:dyDescent="0.15">
      <c r="A1874" s="107">
        <v>1744</v>
      </c>
      <c r="B1874" s="107" t="s">
        <v>253</v>
      </c>
      <c r="C1874" s="107" t="s">
        <v>268</v>
      </c>
      <c r="D1874" s="25">
        <v>10</v>
      </c>
      <c r="E1874" s="107" t="s">
        <v>204</v>
      </c>
      <c r="F1874" s="107" t="s">
        <v>642</v>
      </c>
      <c r="G1874" s="107">
        <v>36</v>
      </c>
      <c r="H1874" s="107">
        <v>0</v>
      </c>
      <c r="I1874" s="107">
        <v>0</v>
      </c>
      <c r="J1874" s="107">
        <f t="shared" si="29"/>
        <v>3.6</v>
      </c>
      <c r="K1874" s="107">
        <v>6160</v>
      </c>
    </row>
    <row r="1875" spans="1:11" x14ac:dyDescent="0.15">
      <c r="A1875" s="107">
        <v>1745</v>
      </c>
      <c r="B1875" s="107" t="s">
        <v>261</v>
      </c>
      <c r="C1875" s="107" t="s">
        <v>268</v>
      </c>
      <c r="D1875" s="25">
        <v>8</v>
      </c>
      <c r="E1875" s="107" t="s">
        <v>204</v>
      </c>
      <c r="F1875" s="107" t="s">
        <v>642</v>
      </c>
      <c r="G1875" s="107">
        <v>28</v>
      </c>
      <c r="H1875" s="107">
        <v>16</v>
      </c>
      <c r="I1875" s="107">
        <v>0</v>
      </c>
      <c r="J1875" s="107">
        <f t="shared" si="29"/>
        <v>3.6</v>
      </c>
      <c r="K1875" s="107">
        <v>6176</v>
      </c>
    </row>
    <row r="1876" spans="1:11" x14ac:dyDescent="0.15">
      <c r="A1876" s="107">
        <v>1746</v>
      </c>
      <c r="B1876" s="107" t="s">
        <v>226</v>
      </c>
      <c r="C1876" s="107" t="s">
        <v>268</v>
      </c>
      <c r="D1876" s="25">
        <v>68</v>
      </c>
      <c r="E1876" s="107" t="s">
        <v>204</v>
      </c>
      <c r="F1876" s="107" t="s">
        <v>642</v>
      </c>
      <c r="G1876" s="107">
        <v>244</v>
      </c>
      <c r="H1876" s="107">
        <v>16</v>
      </c>
      <c r="I1876" s="107">
        <v>0</v>
      </c>
      <c r="J1876" s="107">
        <f t="shared" si="29"/>
        <v>3.6</v>
      </c>
      <c r="K1876" s="107">
        <v>6188</v>
      </c>
    </row>
    <row r="1877" spans="1:11" x14ac:dyDescent="0.15">
      <c r="A1877" s="107">
        <v>1747</v>
      </c>
      <c r="B1877" s="107" t="s">
        <v>247</v>
      </c>
      <c r="C1877" s="107" t="s">
        <v>268</v>
      </c>
      <c r="D1877" s="25">
        <v>141</v>
      </c>
      <c r="E1877" s="107" t="s">
        <v>204</v>
      </c>
      <c r="F1877" s="107" t="s">
        <v>642</v>
      </c>
      <c r="G1877" s="107">
        <v>676</v>
      </c>
      <c r="H1877" s="107">
        <v>16</v>
      </c>
      <c r="I1877" s="107">
        <v>0</v>
      </c>
      <c r="J1877" s="107">
        <f t="shared" si="29"/>
        <v>4.8</v>
      </c>
      <c r="K1877" s="107">
        <v>6207</v>
      </c>
    </row>
    <row r="1878" spans="1:11" x14ac:dyDescent="0.15">
      <c r="A1878" s="107">
        <v>1749</v>
      </c>
      <c r="B1878" s="107" t="s">
        <v>253</v>
      </c>
      <c r="C1878" s="107" t="s">
        <v>268</v>
      </c>
      <c r="D1878" s="25">
        <v>8</v>
      </c>
      <c r="E1878" s="107" t="s">
        <v>204</v>
      </c>
      <c r="F1878" s="107" t="s">
        <v>642</v>
      </c>
      <c r="G1878" s="107">
        <v>36</v>
      </c>
      <c r="H1878" s="107">
        <v>0</v>
      </c>
      <c r="I1878" s="107">
        <v>0</v>
      </c>
      <c r="J1878" s="107">
        <f t="shared" si="29"/>
        <v>4.5</v>
      </c>
      <c r="K1878" s="107">
        <v>6233</v>
      </c>
    </row>
    <row r="1879" spans="1:11" x14ac:dyDescent="0.15">
      <c r="A1879" s="107">
        <v>1750</v>
      </c>
      <c r="B1879" s="107" t="s">
        <v>197</v>
      </c>
      <c r="C1879" s="107" t="s">
        <v>268</v>
      </c>
      <c r="D1879" s="25">
        <v>10</v>
      </c>
      <c r="E1879" s="107" t="s">
        <v>204</v>
      </c>
      <c r="F1879" s="107" t="s">
        <v>642</v>
      </c>
      <c r="G1879" s="107">
        <v>43</v>
      </c>
      <c r="H1879" s="107">
        <v>0</v>
      </c>
      <c r="I1879" s="107">
        <v>0</v>
      </c>
      <c r="J1879" s="107">
        <f t="shared" si="29"/>
        <v>4.3</v>
      </c>
      <c r="K1879" s="107">
        <v>6254</v>
      </c>
    </row>
    <row r="1880" spans="1:11" x14ac:dyDescent="0.15">
      <c r="A1880" s="107">
        <v>1752</v>
      </c>
      <c r="B1880" s="107" t="s">
        <v>260</v>
      </c>
      <c r="C1880" s="107" t="s">
        <v>268</v>
      </c>
      <c r="D1880" s="25">
        <v>10</v>
      </c>
      <c r="E1880" s="107" t="s">
        <v>204</v>
      </c>
      <c r="F1880" s="107" t="s">
        <v>642</v>
      </c>
      <c r="G1880" s="107">
        <v>48</v>
      </c>
      <c r="H1880" s="107">
        <v>0</v>
      </c>
      <c r="I1880" s="107">
        <v>0</v>
      </c>
      <c r="J1880" s="107">
        <f t="shared" si="29"/>
        <v>4.8</v>
      </c>
      <c r="K1880" s="107">
        <v>6286</v>
      </c>
    </row>
    <row r="1881" spans="1:11" x14ac:dyDescent="0.15">
      <c r="A1881" s="107">
        <v>1753</v>
      </c>
      <c r="B1881" s="107" t="s">
        <v>196</v>
      </c>
      <c r="C1881" s="107" t="s">
        <v>268</v>
      </c>
      <c r="D1881" s="25">
        <v>8</v>
      </c>
      <c r="E1881" s="107" t="s">
        <v>204</v>
      </c>
      <c r="F1881" s="107" t="s">
        <v>642</v>
      </c>
      <c r="G1881" s="107">
        <v>38</v>
      </c>
      <c r="H1881" s="107">
        <v>8</v>
      </c>
      <c r="I1881" s="107">
        <v>0</v>
      </c>
      <c r="J1881" s="107">
        <f t="shared" si="29"/>
        <v>4.8</v>
      </c>
      <c r="K1881" s="107">
        <v>6303</v>
      </c>
    </row>
    <row r="1882" spans="1:11" x14ac:dyDescent="0.15">
      <c r="A1882" s="107">
        <v>1754</v>
      </c>
      <c r="B1882" s="107" t="s">
        <v>196</v>
      </c>
      <c r="C1882" s="107" t="s">
        <v>268</v>
      </c>
      <c r="D1882" s="25">
        <v>10</v>
      </c>
      <c r="E1882" s="107" t="s">
        <v>204</v>
      </c>
      <c r="F1882" s="107" t="s">
        <v>642</v>
      </c>
      <c r="G1882" s="107">
        <v>48</v>
      </c>
      <c r="H1882" s="107">
        <v>0</v>
      </c>
      <c r="I1882" s="107">
        <v>0</v>
      </c>
      <c r="J1882" s="107">
        <f t="shared" si="29"/>
        <v>4.8</v>
      </c>
      <c r="K1882" s="107">
        <v>6314</v>
      </c>
    </row>
    <row r="1883" spans="1:11" x14ac:dyDescent="0.15">
      <c r="A1883" s="107">
        <v>1755</v>
      </c>
      <c r="B1883" s="107" t="s">
        <v>226</v>
      </c>
      <c r="C1883" s="107" t="s">
        <v>268</v>
      </c>
      <c r="D1883" s="25">
        <v>8</v>
      </c>
      <c r="E1883" s="107" t="s">
        <v>204</v>
      </c>
      <c r="F1883" s="107" t="s">
        <v>642</v>
      </c>
      <c r="G1883" s="107">
        <v>28</v>
      </c>
      <c r="H1883" s="107">
        <v>16</v>
      </c>
      <c r="I1883" s="107">
        <v>0</v>
      </c>
      <c r="J1883" s="107">
        <f t="shared" si="29"/>
        <v>3.6</v>
      </c>
      <c r="K1883" s="107">
        <v>6316</v>
      </c>
    </row>
    <row r="1884" spans="1:11" x14ac:dyDescent="0.15">
      <c r="A1884" s="107">
        <v>1756</v>
      </c>
      <c r="B1884" s="107" t="s">
        <v>197</v>
      </c>
      <c r="C1884" s="107" t="s">
        <v>268</v>
      </c>
      <c r="D1884" s="25">
        <v>10</v>
      </c>
      <c r="E1884" s="107" t="s">
        <v>204</v>
      </c>
      <c r="F1884" s="107" t="s">
        <v>642</v>
      </c>
      <c r="G1884" s="107">
        <v>36</v>
      </c>
      <c r="H1884" s="107">
        <v>0</v>
      </c>
      <c r="I1884" s="107">
        <v>0</v>
      </c>
      <c r="J1884" s="107">
        <f t="shared" si="29"/>
        <v>3.6</v>
      </c>
      <c r="K1884" s="107">
        <v>6333</v>
      </c>
    </row>
    <row r="1885" spans="1:11" x14ac:dyDescent="0.15">
      <c r="A1885" s="107">
        <v>1757</v>
      </c>
      <c r="B1885" s="107" t="s">
        <v>186</v>
      </c>
      <c r="C1885" s="107" t="s">
        <v>268</v>
      </c>
      <c r="D1885" s="25">
        <v>8</v>
      </c>
      <c r="E1885" s="107" t="s">
        <v>204</v>
      </c>
      <c r="F1885" s="107" t="s">
        <v>642</v>
      </c>
      <c r="G1885" s="107">
        <v>28</v>
      </c>
      <c r="H1885" s="107">
        <v>16</v>
      </c>
      <c r="I1885" s="107">
        <v>0</v>
      </c>
      <c r="J1885" s="107">
        <f t="shared" si="29"/>
        <v>3.6</v>
      </c>
      <c r="K1885" s="107">
        <v>6354</v>
      </c>
    </row>
    <row r="1886" spans="1:11" x14ac:dyDescent="0.15">
      <c r="A1886" s="107">
        <v>1761</v>
      </c>
      <c r="B1886" s="107" t="s">
        <v>260</v>
      </c>
      <c r="C1886" s="107" t="s">
        <v>268</v>
      </c>
      <c r="D1886" s="25">
        <v>58</v>
      </c>
      <c r="E1886" s="107" t="s">
        <v>204</v>
      </c>
      <c r="F1886" s="107" t="s">
        <v>642</v>
      </c>
      <c r="G1886" s="107">
        <v>208</v>
      </c>
      <c r="H1886" s="107">
        <v>16</v>
      </c>
      <c r="I1886" s="107">
        <v>0</v>
      </c>
      <c r="J1886" s="107">
        <f t="shared" si="29"/>
        <v>3.6</v>
      </c>
      <c r="K1886" s="107">
        <v>6394</v>
      </c>
    </row>
    <row r="1887" spans="1:11" x14ac:dyDescent="0.15">
      <c r="A1887" s="107">
        <v>1762</v>
      </c>
      <c r="B1887" s="107" t="s">
        <v>261</v>
      </c>
      <c r="C1887" s="107" t="s">
        <v>268</v>
      </c>
      <c r="D1887" s="25">
        <v>20</v>
      </c>
      <c r="E1887" s="107" t="s">
        <v>204</v>
      </c>
      <c r="F1887" s="107" t="s">
        <v>642</v>
      </c>
      <c r="G1887" s="107">
        <v>72</v>
      </c>
      <c r="H1887" s="107">
        <v>0</v>
      </c>
      <c r="I1887" s="107">
        <v>0</v>
      </c>
      <c r="J1887" s="107">
        <f t="shared" si="29"/>
        <v>3.6</v>
      </c>
      <c r="K1887" s="107">
        <v>6394</v>
      </c>
    </row>
    <row r="1888" spans="1:11" x14ac:dyDescent="0.15">
      <c r="A1888" s="107">
        <v>1763</v>
      </c>
      <c r="B1888" s="107" t="s">
        <v>244</v>
      </c>
      <c r="C1888" s="107" t="s">
        <v>268</v>
      </c>
      <c r="D1888" s="25">
        <v>20</v>
      </c>
      <c r="E1888" s="107" t="s">
        <v>204</v>
      </c>
      <c r="F1888" s="107" t="s">
        <v>642</v>
      </c>
      <c r="G1888" s="107">
        <v>72</v>
      </c>
      <c r="H1888" s="107">
        <v>0</v>
      </c>
      <c r="I1888" s="107">
        <v>0</v>
      </c>
      <c r="J1888" s="107">
        <f t="shared" si="29"/>
        <v>3.6</v>
      </c>
      <c r="K1888" s="107">
        <v>6413</v>
      </c>
    </row>
    <row r="1889" spans="1:11" x14ac:dyDescent="0.15">
      <c r="A1889" s="107">
        <v>1765</v>
      </c>
      <c r="B1889" s="107" t="s">
        <v>196</v>
      </c>
      <c r="C1889" s="107" t="s">
        <v>268</v>
      </c>
      <c r="D1889" s="25">
        <v>50</v>
      </c>
      <c r="E1889" s="107" t="s">
        <v>204</v>
      </c>
      <c r="F1889" s="107" t="s">
        <v>642</v>
      </c>
      <c r="G1889" s="107">
        <v>150</v>
      </c>
      <c r="H1889" s="107">
        <v>0</v>
      </c>
      <c r="I1889" s="107">
        <v>0</v>
      </c>
      <c r="J1889" s="107">
        <f t="shared" si="29"/>
        <v>3</v>
      </c>
      <c r="K1889" s="107">
        <v>6454</v>
      </c>
    </row>
    <row r="1890" spans="1:11" x14ac:dyDescent="0.15">
      <c r="A1890" s="107">
        <v>1766</v>
      </c>
      <c r="B1890" s="107" t="s">
        <v>261</v>
      </c>
      <c r="C1890" s="107" t="s">
        <v>268</v>
      </c>
      <c r="D1890" s="25">
        <v>50</v>
      </c>
      <c r="E1890" s="107" t="s">
        <v>204</v>
      </c>
      <c r="F1890" s="107" t="s">
        <v>642</v>
      </c>
      <c r="G1890" s="107">
        <v>150</v>
      </c>
      <c r="H1890" s="107">
        <v>0</v>
      </c>
      <c r="I1890" s="107">
        <v>0</v>
      </c>
      <c r="J1890" s="107">
        <f t="shared" si="29"/>
        <v>3</v>
      </c>
      <c r="K1890" s="107">
        <v>6457</v>
      </c>
    </row>
    <row r="1891" spans="1:11" x14ac:dyDescent="0.15">
      <c r="A1891" s="107">
        <v>1767</v>
      </c>
      <c r="B1891" s="107" t="s">
        <v>197</v>
      </c>
      <c r="C1891" s="107" t="s">
        <v>268</v>
      </c>
      <c r="D1891" s="25">
        <v>60</v>
      </c>
      <c r="E1891" s="107" t="s">
        <v>204</v>
      </c>
      <c r="F1891" s="107" t="s">
        <v>642</v>
      </c>
      <c r="G1891" s="107">
        <v>180</v>
      </c>
      <c r="H1891" s="107">
        <v>0</v>
      </c>
      <c r="I1891" s="107">
        <v>0</v>
      </c>
      <c r="J1891" s="107">
        <f t="shared" si="29"/>
        <v>3</v>
      </c>
      <c r="K1891" s="107">
        <v>6475</v>
      </c>
    </row>
    <row r="1892" spans="1:11" x14ac:dyDescent="0.15">
      <c r="A1892" s="107">
        <v>1768</v>
      </c>
      <c r="B1892" s="107" t="s">
        <v>260</v>
      </c>
      <c r="C1892" s="107" t="s">
        <v>268</v>
      </c>
      <c r="D1892" s="25">
        <v>60</v>
      </c>
      <c r="E1892" s="107" t="s">
        <v>204</v>
      </c>
      <c r="F1892" s="107" t="s">
        <v>642</v>
      </c>
      <c r="G1892" s="107">
        <v>180</v>
      </c>
      <c r="H1892" s="107">
        <v>0</v>
      </c>
      <c r="I1892" s="107">
        <v>0</v>
      </c>
      <c r="J1892" s="107">
        <f t="shared" si="29"/>
        <v>3</v>
      </c>
      <c r="K1892" s="107">
        <v>6489</v>
      </c>
    </row>
    <row r="1893" spans="1:11" x14ac:dyDescent="0.15">
      <c r="A1893" s="107">
        <v>1769</v>
      </c>
      <c r="B1893" s="107" t="s">
        <v>260</v>
      </c>
      <c r="C1893" s="107" t="s">
        <v>268</v>
      </c>
      <c r="D1893" s="25">
        <v>50</v>
      </c>
      <c r="E1893" s="107" t="s">
        <v>204</v>
      </c>
      <c r="F1893" s="107" t="s">
        <v>642</v>
      </c>
      <c r="G1893" s="107">
        <v>150</v>
      </c>
      <c r="H1893" s="107">
        <v>0</v>
      </c>
      <c r="I1893" s="107">
        <v>0</v>
      </c>
      <c r="J1893" s="107">
        <f t="shared" si="29"/>
        <v>3</v>
      </c>
      <c r="K1893" s="107">
        <v>6518</v>
      </c>
    </row>
    <row r="1894" spans="1:11" x14ac:dyDescent="0.15">
      <c r="A1894" s="107">
        <v>1770</v>
      </c>
      <c r="B1894" s="107" t="s">
        <v>200</v>
      </c>
      <c r="C1894" s="107" t="s">
        <v>268</v>
      </c>
      <c r="D1894" s="25">
        <v>60</v>
      </c>
      <c r="E1894" s="107" t="s">
        <v>204</v>
      </c>
      <c r="F1894" s="107" t="s">
        <v>642</v>
      </c>
      <c r="G1894" s="107">
        <v>165</v>
      </c>
      <c r="H1894" s="107">
        <v>0</v>
      </c>
      <c r="I1894" s="107">
        <v>0</v>
      </c>
      <c r="J1894" s="107">
        <f t="shared" si="29"/>
        <v>2.75</v>
      </c>
      <c r="K1894" s="107">
        <v>6535</v>
      </c>
    </row>
    <row r="1895" spans="1:11" x14ac:dyDescent="0.15">
      <c r="A1895" s="107">
        <v>1772</v>
      </c>
      <c r="B1895" s="107" t="s">
        <v>197</v>
      </c>
      <c r="C1895" s="107" t="s">
        <v>268</v>
      </c>
      <c r="D1895" s="25">
        <v>36</v>
      </c>
      <c r="E1895" s="107" t="s">
        <v>204</v>
      </c>
      <c r="F1895" s="107" t="s">
        <v>642</v>
      </c>
      <c r="G1895" s="107">
        <v>99</v>
      </c>
      <c r="H1895" s="107">
        <v>0</v>
      </c>
      <c r="I1895" s="107">
        <v>0</v>
      </c>
      <c r="J1895" s="107">
        <f t="shared" si="29"/>
        <v>2.75</v>
      </c>
      <c r="K1895" s="107">
        <v>6551</v>
      </c>
    </row>
    <row r="1896" spans="1:11" x14ac:dyDescent="0.15">
      <c r="A1896" s="107">
        <v>1774</v>
      </c>
      <c r="B1896" s="107" t="s">
        <v>260</v>
      </c>
      <c r="C1896" s="107" t="s">
        <v>268</v>
      </c>
      <c r="D1896" s="25">
        <v>50</v>
      </c>
      <c r="E1896" s="107" t="s">
        <v>204</v>
      </c>
      <c r="F1896" s="107" t="s">
        <v>642</v>
      </c>
      <c r="G1896" s="107">
        <v>64</v>
      </c>
      <c r="H1896" s="107">
        <v>3</v>
      </c>
      <c r="I1896" s="107">
        <v>8</v>
      </c>
      <c r="J1896" s="107">
        <f t="shared" si="29"/>
        <v>1.2835000000000003</v>
      </c>
      <c r="K1896" s="25">
        <v>6589</v>
      </c>
    </row>
    <row r="1897" spans="1:11" x14ac:dyDescent="0.15">
      <c r="A1897" s="107">
        <v>1775</v>
      </c>
      <c r="B1897" s="107" t="s">
        <v>196</v>
      </c>
      <c r="C1897" s="107" t="s">
        <v>268</v>
      </c>
      <c r="D1897" s="25">
        <v>60</v>
      </c>
      <c r="E1897" s="107" t="s">
        <v>204</v>
      </c>
      <c r="F1897" s="107" t="s">
        <v>642</v>
      </c>
      <c r="G1897" s="107">
        <v>77</v>
      </c>
      <c r="H1897" s="107">
        <v>0</v>
      </c>
      <c r="I1897" s="107">
        <v>0</v>
      </c>
      <c r="J1897" s="107">
        <f t="shared" si="29"/>
        <v>1.2833333333333334</v>
      </c>
      <c r="K1897" s="107">
        <v>6611</v>
      </c>
    </row>
    <row r="1898" spans="1:11" x14ac:dyDescent="0.15">
      <c r="A1898" s="107">
        <v>1776</v>
      </c>
      <c r="B1898" s="107" t="s">
        <v>253</v>
      </c>
      <c r="C1898" s="107" t="s">
        <v>268</v>
      </c>
      <c r="D1898" s="25">
        <v>68</v>
      </c>
      <c r="E1898" s="107" t="s">
        <v>204</v>
      </c>
      <c r="F1898" s="107" t="s">
        <v>642</v>
      </c>
      <c r="G1898" s="107">
        <v>87</v>
      </c>
      <c r="H1898" s="107">
        <v>5</v>
      </c>
      <c r="I1898" s="107">
        <v>8</v>
      </c>
      <c r="J1898" s="107">
        <f t="shared" si="29"/>
        <v>1.2834558823529412</v>
      </c>
      <c r="K1898" s="107">
        <v>6627</v>
      </c>
    </row>
    <row r="1899" spans="1:11" x14ac:dyDescent="0.15">
      <c r="A1899" s="107">
        <v>1777</v>
      </c>
      <c r="B1899" s="107" t="s">
        <v>253</v>
      </c>
      <c r="C1899" s="107" t="s">
        <v>268</v>
      </c>
      <c r="D1899" s="25">
        <v>69</v>
      </c>
      <c r="E1899" s="107" t="s">
        <v>204</v>
      </c>
      <c r="F1899" s="107" t="s">
        <v>642</v>
      </c>
      <c r="G1899" s="107">
        <v>88</v>
      </c>
      <c r="H1899" s="107">
        <v>10</v>
      </c>
      <c r="I1899" s="107">
        <v>0</v>
      </c>
      <c r="J1899" s="107">
        <f t="shared" si="29"/>
        <v>1.2826086956521738</v>
      </c>
      <c r="K1899" s="107">
        <v>6643</v>
      </c>
    </row>
    <row r="1900" spans="1:11" x14ac:dyDescent="0.15">
      <c r="A1900" s="107">
        <v>1778</v>
      </c>
      <c r="B1900" s="107" t="s">
        <v>192</v>
      </c>
      <c r="C1900" s="107" t="s">
        <v>268</v>
      </c>
      <c r="D1900" s="25">
        <v>49</v>
      </c>
      <c r="E1900" s="107" t="s">
        <v>204</v>
      </c>
      <c r="F1900" s="107" t="s">
        <v>642</v>
      </c>
      <c r="G1900" s="107">
        <v>62</v>
      </c>
      <c r="H1900" s="107">
        <v>17</v>
      </c>
      <c r="I1900" s="107">
        <v>8</v>
      </c>
      <c r="J1900" s="107">
        <f t="shared" si="29"/>
        <v>1.2831632653061225</v>
      </c>
      <c r="K1900" s="107">
        <v>6663</v>
      </c>
    </row>
    <row r="1901" spans="1:11" x14ac:dyDescent="0.15">
      <c r="A1901" s="107">
        <v>1779</v>
      </c>
      <c r="B1901" s="107" t="s">
        <v>260</v>
      </c>
      <c r="C1901" s="107" t="s">
        <v>268</v>
      </c>
      <c r="D1901" s="25">
        <v>33</v>
      </c>
      <c r="E1901" s="107" t="s">
        <v>204</v>
      </c>
      <c r="F1901" s="107" t="s">
        <v>642</v>
      </c>
      <c r="G1901" s="107">
        <v>27</v>
      </c>
      <c r="H1901" s="107">
        <v>4</v>
      </c>
      <c r="I1901" s="107">
        <v>8</v>
      </c>
      <c r="J1901" s="107">
        <f t="shared" si="29"/>
        <v>0.82499999999999996</v>
      </c>
      <c r="K1901" s="107">
        <v>6669</v>
      </c>
    </row>
    <row r="1902" spans="1:11" x14ac:dyDescent="0.15">
      <c r="A1902" s="107">
        <v>1780</v>
      </c>
      <c r="B1902" s="107" t="s">
        <v>200</v>
      </c>
      <c r="C1902" s="107" t="s">
        <v>268</v>
      </c>
      <c r="D1902" s="25">
        <v>52</v>
      </c>
      <c r="E1902" s="107" t="s">
        <v>204</v>
      </c>
      <c r="F1902" s="107" t="s">
        <v>642</v>
      </c>
      <c r="G1902" s="107">
        <v>12</v>
      </c>
      <c r="H1902" s="107">
        <v>18</v>
      </c>
      <c r="I1902" s="107">
        <v>0</v>
      </c>
      <c r="J1902" s="107">
        <f t="shared" si="29"/>
        <v>0.24807692307692308</v>
      </c>
      <c r="K1902" s="107">
        <v>6689</v>
      </c>
    </row>
    <row r="1903" spans="1:11" x14ac:dyDescent="0.15">
      <c r="A1903" s="107">
        <v>1781</v>
      </c>
      <c r="B1903" s="107" t="s">
        <v>261</v>
      </c>
      <c r="C1903" s="107" t="s">
        <v>268</v>
      </c>
      <c r="D1903" s="25">
        <v>30</v>
      </c>
      <c r="E1903" s="107" t="s">
        <v>204</v>
      </c>
      <c r="F1903" s="107" t="s">
        <v>642</v>
      </c>
      <c r="G1903" s="107">
        <v>24</v>
      </c>
      <c r="H1903" s="107">
        <v>15</v>
      </c>
      <c r="I1903" s="107">
        <v>0</v>
      </c>
      <c r="J1903" s="107">
        <f t="shared" si="29"/>
        <v>0.82499999999999996</v>
      </c>
      <c r="K1903" s="107">
        <v>6699</v>
      </c>
    </row>
    <row r="1904" spans="1:11" x14ac:dyDescent="0.15">
      <c r="A1904" s="107">
        <v>1783</v>
      </c>
      <c r="B1904" s="107" t="s">
        <v>236</v>
      </c>
      <c r="C1904" s="107" t="s">
        <v>268</v>
      </c>
      <c r="D1904" s="25">
        <v>50</v>
      </c>
      <c r="E1904" s="107" t="s">
        <v>204</v>
      </c>
      <c r="F1904" s="107" t="s">
        <v>642</v>
      </c>
      <c r="G1904" s="107">
        <v>41</v>
      </c>
      <c r="H1904" s="107">
        <v>5</v>
      </c>
      <c r="I1904" s="107">
        <v>0</v>
      </c>
      <c r="J1904" s="107">
        <f t="shared" ref="J1904:J1967" si="30">(G1904+H1904/20+I1904/320)/D1904</f>
        <v>0.82499999999999996</v>
      </c>
      <c r="K1904" s="107">
        <v>6714</v>
      </c>
    </row>
    <row r="1905" spans="1:14" x14ac:dyDescent="0.15">
      <c r="A1905" s="107">
        <v>1784</v>
      </c>
      <c r="B1905" s="107" t="s">
        <v>261</v>
      </c>
      <c r="C1905" s="107" t="s">
        <v>268</v>
      </c>
      <c r="D1905" s="25">
        <v>31</v>
      </c>
      <c r="E1905" s="107" t="s">
        <v>204</v>
      </c>
      <c r="F1905" s="107" t="s">
        <v>642</v>
      </c>
      <c r="G1905" s="107">
        <v>25</v>
      </c>
      <c r="H1905" s="107">
        <v>11</v>
      </c>
      <c r="I1905" s="107">
        <v>0</v>
      </c>
      <c r="J1905" s="107">
        <f t="shared" si="30"/>
        <v>0.8241935483870968</v>
      </c>
      <c r="K1905" s="25">
        <v>6705</v>
      </c>
      <c r="L1905" s="107"/>
      <c r="M1905" s="107"/>
      <c r="N1905" s="107"/>
    </row>
    <row r="1906" spans="1:14" x14ac:dyDescent="0.15">
      <c r="A1906" s="107">
        <v>1784</v>
      </c>
      <c r="B1906" s="107" t="s">
        <v>236</v>
      </c>
      <c r="C1906" s="107" t="s">
        <v>268</v>
      </c>
      <c r="D1906" s="25">
        <v>65</v>
      </c>
      <c r="E1906" s="107" t="s">
        <v>204</v>
      </c>
      <c r="F1906" s="107" t="s">
        <v>642</v>
      </c>
      <c r="G1906" s="107">
        <v>71</v>
      </c>
      <c r="H1906" s="107">
        <v>10</v>
      </c>
      <c r="I1906" s="107">
        <v>0</v>
      </c>
      <c r="J1906" s="107">
        <f t="shared" si="30"/>
        <v>1.1000000000000001</v>
      </c>
      <c r="K1906" s="107">
        <v>6733</v>
      </c>
      <c r="L1906" s="107"/>
      <c r="M1906" s="107"/>
      <c r="N1906" s="107"/>
    </row>
    <row r="1907" spans="1:14" x14ac:dyDescent="0.15">
      <c r="A1907" s="107">
        <v>1785</v>
      </c>
      <c r="B1907" s="107" t="s">
        <v>186</v>
      </c>
      <c r="C1907" s="107" t="s">
        <v>268</v>
      </c>
      <c r="D1907" s="25">
        <v>63</v>
      </c>
      <c r="E1907" s="107" t="s">
        <v>204</v>
      </c>
      <c r="F1907" s="107" t="s">
        <v>642</v>
      </c>
      <c r="G1907" s="107">
        <v>69</v>
      </c>
      <c r="H1907" s="107">
        <v>6</v>
      </c>
      <c r="I1907" s="107">
        <v>0</v>
      </c>
      <c r="J1907" s="107">
        <f t="shared" si="30"/>
        <v>1.0999999999999999</v>
      </c>
      <c r="K1907" s="107">
        <v>6736</v>
      </c>
      <c r="L1907" s="107"/>
      <c r="M1907" s="107"/>
      <c r="N1907" s="107"/>
    </row>
    <row r="1908" spans="1:14" x14ac:dyDescent="0.15">
      <c r="A1908" s="107">
        <v>1786</v>
      </c>
      <c r="B1908" s="107" t="s">
        <v>261</v>
      </c>
      <c r="C1908" s="107" t="s">
        <v>268</v>
      </c>
      <c r="D1908" s="25">
        <v>12</v>
      </c>
      <c r="E1908" s="107" t="s">
        <v>204</v>
      </c>
      <c r="F1908" s="107" t="s">
        <v>642</v>
      </c>
      <c r="G1908" s="107">
        <v>13</v>
      </c>
      <c r="H1908" s="107">
        <v>4</v>
      </c>
      <c r="I1908" s="107">
        <v>0</v>
      </c>
      <c r="J1908" s="107">
        <f t="shared" si="30"/>
        <v>1.0999999999999999</v>
      </c>
      <c r="K1908" s="107">
        <v>6746</v>
      </c>
      <c r="L1908" s="107"/>
      <c r="M1908" s="107"/>
      <c r="N1908" s="107"/>
    </row>
    <row r="1909" spans="1:14" x14ac:dyDescent="0.15">
      <c r="A1909" s="107">
        <v>1787</v>
      </c>
      <c r="B1909" s="107" t="s">
        <v>197</v>
      </c>
      <c r="C1909" s="107" t="s">
        <v>268</v>
      </c>
      <c r="D1909" s="25">
        <v>17</v>
      </c>
      <c r="E1909" s="107" t="s">
        <v>204</v>
      </c>
      <c r="F1909" s="107" t="s">
        <v>642</v>
      </c>
      <c r="G1909" s="107">
        <v>18</v>
      </c>
      <c r="H1909" s="107">
        <v>14</v>
      </c>
      <c r="I1909" s="107">
        <v>0</v>
      </c>
      <c r="J1909" s="107">
        <f t="shared" si="30"/>
        <v>1.0999999999999999</v>
      </c>
      <c r="K1909" s="107">
        <v>6752</v>
      </c>
      <c r="L1909" s="107"/>
      <c r="M1909" s="107"/>
      <c r="N1909" s="107"/>
    </row>
    <row r="1910" spans="1:14" x14ac:dyDescent="0.15">
      <c r="A1910" s="107">
        <v>1788</v>
      </c>
      <c r="B1910" s="107" t="s">
        <v>236</v>
      </c>
      <c r="C1910" s="107" t="s">
        <v>268</v>
      </c>
      <c r="D1910" s="25">
        <v>5</v>
      </c>
      <c r="E1910" s="107" t="s">
        <v>204</v>
      </c>
      <c r="F1910" s="107" t="s">
        <v>642</v>
      </c>
      <c r="G1910" s="107">
        <v>5</v>
      </c>
      <c r="H1910" s="107">
        <v>10</v>
      </c>
      <c r="I1910" s="107">
        <v>0</v>
      </c>
      <c r="J1910" s="107">
        <f t="shared" si="30"/>
        <v>1.1000000000000001</v>
      </c>
      <c r="K1910" s="25">
        <v>6786</v>
      </c>
      <c r="L1910" s="107"/>
      <c r="M1910" s="107"/>
      <c r="N1910" s="107"/>
    </row>
    <row r="1911" spans="1:14" x14ac:dyDescent="0.15">
      <c r="A1911" s="107">
        <v>1789</v>
      </c>
      <c r="B1911" s="107" t="s">
        <v>253</v>
      </c>
      <c r="C1911" s="107" t="s">
        <v>268</v>
      </c>
      <c r="D1911" s="25">
        <v>5</v>
      </c>
      <c r="E1911" s="107" t="s">
        <v>204</v>
      </c>
      <c r="F1911" s="107" t="s">
        <v>642</v>
      </c>
      <c r="G1911" s="107">
        <v>5</v>
      </c>
      <c r="H1911" s="107">
        <v>10</v>
      </c>
      <c r="I1911" s="107">
        <v>0</v>
      </c>
      <c r="J1911" s="107">
        <f t="shared" si="30"/>
        <v>1.1000000000000001</v>
      </c>
      <c r="K1911" s="25">
        <v>6785</v>
      </c>
      <c r="L1911" s="107"/>
      <c r="M1911" s="107"/>
      <c r="N1911" s="107"/>
    </row>
    <row r="1912" spans="1:14" x14ac:dyDescent="0.15">
      <c r="A1912" s="107">
        <v>1789</v>
      </c>
      <c r="B1912" s="107" t="s">
        <v>226</v>
      </c>
      <c r="C1912" s="107" t="s">
        <v>268</v>
      </c>
      <c r="D1912" s="25">
        <v>6</v>
      </c>
      <c r="E1912" s="107" t="s">
        <v>204</v>
      </c>
      <c r="F1912" s="107" t="s">
        <v>642</v>
      </c>
      <c r="G1912" s="107">
        <v>11</v>
      </c>
      <c r="H1912" s="107">
        <v>11</v>
      </c>
      <c r="I1912" s="107">
        <v>0</v>
      </c>
      <c r="J1912" s="107">
        <f t="shared" si="30"/>
        <v>1.925</v>
      </c>
      <c r="K1912" s="25">
        <v>6785</v>
      </c>
      <c r="L1912" s="107"/>
      <c r="M1912" s="107"/>
      <c r="N1912" s="107"/>
    </row>
    <row r="1913" spans="1:14" x14ac:dyDescent="0.15">
      <c r="A1913" s="107">
        <v>1790</v>
      </c>
      <c r="B1913" s="107" t="s">
        <v>226</v>
      </c>
      <c r="C1913" s="107" t="s">
        <v>268</v>
      </c>
      <c r="D1913" s="25">
        <v>5</v>
      </c>
      <c r="E1913" s="107" t="s">
        <v>204</v>
      </c>
      <c r="F1913" s="107" t="s">
        <v>642</v>
      </c>
      <c r="G1913" s="107">
        <v>9</v>
      </c>
      <c r="H1913" s="107">
        <v>12</v>
      </c>
      <c r="I1913" s="107">
        <v>8</v>
      </c>
      <c r="J1913" s="107">
        <f t="shared" si="30"/>
        <v>1.925</v>
      </c>
      <c r="K1913" s="25">
        <v>6790</v>
      </c>
      <c r="L1913" s="107"/>
      <c r="M1913" s="107"/>
      <c r="N1913" s="107"/>
    </row>
    <row r="1914" spans="1:14" x14ac:dyDescent="0.15">
      <c r="A1914" s="107">
        <v>1790</v>
      </c>
      <c r="B1914" s="107" t="s">
        <v>196</v>
      </c>
      <c r="C1914" s="107" t="s">
        <v>268</v>
      </c>
      <c r="D1914" s="25">
        <v>2</v>
      </c>
      <c r="E1914" s="107" t="s">
        <v>204</v>
      </c>
      <c r="F1914" s="107" t="s">
        <v>642</v>
      </c>
      <c r="G1914" s="107">
        <v>2</v>
      </c>
      <c r="H1914" s="107">
        <v>4</v>
      </c>
      <c r="I1914" s="107">
        <v>0</v>
      </c>
      <c r="J1914" s="107">
        <f t="shared" si="30"/>
        <v>1.1000000000000001</v>
      </c>
      <c r="K1914" s="25">
        <v>6790</v>
      </c>
      <c r="L1914" s="107"/>
      <c r="M1914" s="107"/>
      <c r="N1914" s="107"/>
    </row>
    <row r="1915" spans="1:14" x14ac:dyDescent="0.15">
      <c r="A1915" s="107">
        <v>1791</v>
      </c>
      <c r="B1915" s="107" t="s">
        <v>196</v>
      </c>
      <c r="C1915" s="107" t="s">
        <v>268</v>
      </c>
      <c r="D1915" s="25">
        <v>5</v>
      </c>
      <c r="E1915" s="107" t="s">
        <v>204</v>
      </c>
      <c r="F1915" s="107" t="s">
        <v>642</v>
      </c>
      <c r="G1915" s="107">
        <v>9</v>
      </c>
      <c r="H1915" s="107">
        <v>12</v>
      </c>
      <c r="I1915" s="107">
        <v>8</v>
      </c>
      <c r="J1915" s="107">
        <f t="shared" si="30"/>
        <v>1.925</v>
      </c>
      <c r="K1915" s="107">
        <v>6805</v>
      </c>
      <c r="L1915" s="107"/>
      <c r="M1915" s="107"/>
      <c r="N1915" s="107"/>
    </row>
    <row r="1916" spans="1:14" x14ac:dyDescent="0.15">
      <c r="A1916" s="107">
        <v>1791</v>
      </c>
      <c r="B1916" s="107" t="s">
        <v>197</v>
      </c>
      <c r="C1916" s="107" t="s">
        <v>268</v>
      </c>
      <c r="D1916" s="25">
        <v>6</v>
      </c>
      <c r="E1916" s="107" t="s">
        <v>204</v>
      </c>
      <c r="F1916" s="107" t="s">
        <v>642</v>
      </c>
      <c r="G1916" s="107">
        <v>11</v>
      </c>
      <c r="H1916" s="107">
        <v>11</v>
      </c>
      <c r="I1916" s="107">
        <v>0</v>
      </c>
      <c r="J1916" s="107">
        <f t="shared" si="30"/>
        <v>1.925</v>
      </c>
      <c r="K1916" s="107">
        <v>6804</v>
      </c>
      <c r="L1916" s="107"/>
      <c r="M1916" s="107"/>
      <c r="N1916" s="107"/>
    </row>
    <row r="1917" spans="1:14" x14ac:dyDescent="0.15">
      <c r="A1917" s="107">
        <v>1794</v>
      </c>
      <c r="B1917" s="107" t="s">
        <v>261</v>
      </c>
      <c r="C1917" s="107" t="s">
        <v>268</v>
      </c>
      <c r="D1917" s="25">
        <v>48</v>
      </c>
      <c r="E1917" s="107" t="s">
        <v>204</v>
      </c>
      <c r="F1917" s="107" t="s">
        <v>642</v>
      </c>
      <c r="G1917" s="107">
        <v>72</v>
      </c>
      <c r="H1917" s="107">
        <v>12</v>
      </c>
      <c r="I1917" s="107">
        <v>0</v>
      </c>
      <c r="J1917" s="107">
        <f t="shared" si="30"/>
        <v>1.5125</v>
      </c>
      <c r="K1917" s="107">
        <v>6839</v>
      </c>
      <c r="L1917" s="107"/>
      <c r="M1917" s="107"/>
      <c r="N1917" s="107"/>
    </row>
    <row r="1918" spans="1:14" x14ac:dyDescent="0.15">
      <c r="A1918" s="107">
        <v>1682</v>
      </c>
      <c r="B1918" s="107" t="s">
        <v>197</v>
      </c>
      <c r="C1918" s="107" t="s">
        <v>271</v>
      </c>
      <c r="D1918" s="107">
        <v>8</v>
      </c>
      <c r="E1918" s="107" t="s">
        <v>204</v>
      </c>
      <c r="F1918" s="107" t="s">
        <v>643</v>
      </c>
      <c r="G1918" s="107">
        <v>16</v>
      </c>
      <c r="H1918" s="107">
        <v>0</v>
      </c>
      <c r="I1918" s="107">
        <v>0</v>
      </c>
      <c r="J1918" s="107">
        <f t="shared" si="30"/>
        <v>2</v>
      </c>
      <c r="K1918" s="107">
        <v>4018</v>
      </c>
      <c r="L1918" s="107">
        <v>1820</v>
      </c>
      <c r="M1918" s="107">
        <v>761</v>
      </c>
      <c r="N1918" s="107" t="s">
        <v>273</v>
      </c>
    </row>
    <row r="1919" spans="1:14" x14ac:dyDescent="0.15">
      <c r="A1919" s="107">
        <v>1697</v>
      </c>
      <c r="B1919" s="107" t="s">
        <v>197</v>
      </c>
      <c r="C1919" s="107" t="s">
        <v>271</v>
      </c>
      <c r="D1919" s="107">
        <v>27</v>
      </c>
      <c r="E1919" s="107" t="s">
        <v>204</v>
      </c>
      <c r="F1919" s="107" t="s">
        <v>643</v>
      </c>
      <c r="G1919" s="107">
        <v>54</v>
      </c>
      <c r="H1919" s="107">
        <v>0</v>
      </c>
      <c r="I1919" s="107">
        <v>0</v>
      </c>
      <c r="J1919" s="107">
        <f t="shared" si="30"/>
        <v>2</v>
      </c>
      <c r="K1919" s="107">
        <v>4038</v>
      </c>
      <c r="L1919" s="107">
        <v>1846</v>
      </c>
      <c r="M1919" s="107">
        <v>716</v>
      </c>
      <c r="N1919" s="107" t="s">
        <v>294</v>
      </c>
    </row>
    <row r="1920" spans="1:14" x14ac:dyDescent="0.15">
      <c r="A1920" s="107">
        <v>1700</v>
      </c>
      <c r="B1920" s="107" t="s">
        <v>200</v>
      </c>
      <c r="C1920" s="107" t="s">
        <v>271</v>
      </c>
      <c r="D1920" s="107">
        <v>10</v>
      </c>
      <c r="E1920" s="107" t="s">
        <v>204</v>
      </c>
      <c r="F1920" s="107" t="s">
        <v>643</v>
      </c>
      <c r="G1920" s="107">
        <v>20</v>
      </c>
      <c r="H1920" s="107">
        <v>0</v>
      </c>
      <c r="I1920" s="107">
        <v>0</v>
      </c>
      <c r="J1920" s="107">
        <f t="shared" si="30"/>
        <v>2</v>
      </c>
      <c r="K1920" s="107">
        <v>4047</v>
      </c>
      <c r="L1920" s="107">
        <v>1855</v>
      </c>
      <c r="M1920" s="107">
        <v>526</v>
      </c>
      <c r="N1920" s="107" t="s">
        <v>272</v>
      </c>
    </row>
    <row r="1921" spans="1:15" x14ac:dyDescent="0.15">
      <c r="A1921" s="107">
        <v>1656</v>
      </c>
      <c r="B1921" s="107" t="s">
        <v>283</v>
      </c>
      <c r="C1921" s="107" t="s">
        <v>274</v>
      </c>
      <c r="D1921" s="107">
        <v>150</v>
      </c>
      <c r="E1921" s="107"/>
      <c r="F1921" s="107" t="s">
        <v>644</v>
      </c>
      <c r="G1921" s="107">
        <v>156</v>
      </c>
      <c r="H1921" s="107">
        <v>0</v>
      </c>
      <c r="I1921" s="107">
        <v>0</v>
      </c>
      <c r="J1921" s="107">
        <f t="shared" si="30"/>
        <v>1.04</v>
      </c>
      <c r="K1921" s="107">
        <v>3991</v>
      </c>
      <c r="L1921" s="107">
        <v>1788</v>
      </c>
      <c r="M1921" s="107">
        <v>150</v>
      </c>
      <c r="N1921" s="107" t="s">
        <v>284</v>
      </c>
      <c r="O1921" s="107"/>
    </row>
    <row r="1922" spans="1:15" x14ac:dyDescent="0.15">
      <c r="A1922" s="107">
        <v>1656</v>
      </c>
      <c r="B1922" s="107" t="s">
        <v>283</v>
      </c>
      <c r="C1922" s="107" t="s">
        <v>274</v>
      </c>
      <c r="D1922" s="107">
        <v>25</v>
      </c>
      <c r="E1922" s="107"/>
      <c r="F1922" s="107" t="s">
        <v>645</v>
      </c>
      <c r="G1922" s="107">
        <v>18</v>
      </c>
      <c r="H1922" s="107">
        <v>15</v>
      </c>
      <c r="I1922" s="107">
        <v>0</v>
      </c>
      <c r="J1922" s="107">
        <f t="shared" si="30"/>
        <v>0.75</v>
      </c>
      <c r="K1922" s="107">
        <v>3991</v>
      </c>
      <c r="L1922" s="107">
        <v>1788</v>
      </c>
      <c r="M1922" s="107">
        <v>150</v>
      </c>
      <c r="N1922" s="107" t="s">
        <v>284</v>
      </c>
      <c r="O1922" s="107"/>
    </row>
    <row r="1923" spans="1:15" x14ac:dyDescent="0.15">
      <c r="A1923" s="107">
        <v>1655</v>
      </c>
      <c r="B1923" s="107" t="s">
        <v>236</v>
      </c>
      <c r="C1923" s="107" t="s">
        <v>274</v>
      </c>
      <c r="D1923" s="107">
        <v>4</v>
      </c>
      <c r="E1923" s="107" t="s">
        <v>429</v>
      </c>
      <c r="F1923" s="107" t="s">
        <v>646</v>
      </c>
      <c r="G1923" s="107">
        <v>7</v>
      </c>
      <c r="H1923" s="107">
        <v>4</v>
      </c>
      <c r="I1923" s="107">
        <v>0</v>
      </c>
      <c r="J1923" s="107">
        <f t="shared" si="30"/>
        <v>1.8</v>
      </c>
      <c r="K1923" s="107">
        <v>3990</v>
      </c>
      <c r="L1923" s="107">
        <v>1788</v>
      </c>
      <c r="M1923" s="107">
        <v>203</v>
      </c>
      <c r="N1923" s="107"/>
      <c r="O1923" s="107"/>
    </row>
    <row r="1924" spans="1:15" x14ac:dyDescent="0.15">
      <c r="A1924" s="107">
        <v>1655</v>
      </c>
      <c r="B1924" s="107" t="s">
        <v>196</v>
      </c>
      <c r="C1924" s="107" t="s">
        <v>274</v>
      </c>
      <c r="D1924" s="107">
        <v>1</v>
      </c>
      <c r="E1924" s="107" t="s">
        <v>429</v>
      </c>
      <c r="F1924" s="107" t="s">
        <v>646</v>
      </c>
      <c r="G1924" s="107">
        <v>1</v>
      </c>
      <c r="H1924" s="107">
        <v>11</v>
      </c>
      <c r="I1924" s="107">
        <v>0</v>
      </c>
      <c r="J1924" s="107">
        <f t="shared" si="30"/>
        <v>1.55</v>
      </c>
      <c r="K1924" s="107">
        <v>3990</v>
      </c>
      <c r="L1924" s="107">
        <v>1788</v>
      </c>
      <c r="M1924" s="107">
        <v>205</v>
      </c>
      <c r="N1924" s="107" t="s">
        <v>647</v>
      </c>
      <c r="O1924" s="107" t="s">
        <v>277</v>
      </c>
    </row>
    <row r="1925" spans="1:15" x14ac:dyDescent="0.15">
      <c r="A1925" s="107">
        <v>1655</v>
      </c>
      <c r="B1925" s="107" t="s">
        <v>196</v>
      </c>
      <c r="C1925" s="107" t="s">
        <v>274</v>
      </c>
      <c r="D1925" s="107">
        <v>2</v>
      </c>
      <c r="E1925" s="107" t="s">
        <v>429</v>
      </c>
      <c r="F1925" s="107" t="s">
        <v>646</v>
      </c>
      <c r="G1925" s="107">
        <v>3</v>
      </c>
      <c r="H1925" s="107">
        <v>2</v>
      </c>
      <c r="I1925" s="107">
        <v>0</v>
      </c>
      <c r="J1925" s="107">
        <f t="shared" si="30"/>
        <v>1.55</v>
      </c>
      <c r="K1925" s="107">
        <v>3990</v>
      </c>
      <c r="L1925" s="107">
        <v>1788</v>
      </c>
      <c r="M1925" s="107">
        <v>205</v>
      </c>
      <c r="N1925" s="107" t="s">
        <v>406</v>
      </c>
      <c r="O1925" s="107" t="s">
        <v>277</v>
      </c>
    </row>
    <row r="1926" spans="1:15" x14ac:dyDescent="0.15">
      <c r="A1926" s="107">
        <v>1655</v>
      </c>
      <c r="B1926" s="107" t="s">
        <v>196</v>
      </c>
      <c r="C1926" s="107" t="s">
        <v>274</v>
      </c>
      <c r="D1926" s="107">
        <v>2</v>
      </c>
      <c r="E1926" s="107" t="s">
        <v>429</v>
      </c>
      <c r="F1926" s="107" t="s">
        <v>646</v>
      </c>
      <c r="G1926" s="107">
        <v>3</v>
      </c>
      <c r="H1926" s="107">
        <v>2</v>
      </c>
      <c r="I1926" s="107">
        <v>0</v>
      </c>
      <c r="J1926" s="107">
        <f t="shared" si="30"/>
        <v>1.55</v>
      </c>
      <c r="K1926" s="107">
        <v>3990</v>
      </c>
      <c r="L1926" s="107">
        <v>1788</v>
      </c>
      <c r="M1926" s="107">
        <v>205</v>
      </c>
      <c r="N1926" s="107" t="s">
        <v>406</v>
      </c>
      <c r="O1926" s="107" t="s">
        <v>277</v>
      </c>
    </row>
    <row r="1927" spans="1:15" x14ac:dyDescent="0.15">
      <c r="A1927" s="107">
        <v>1655</v>
      </c>
      <c r="B1927" s="107" t="s">
        <v>196</v>
      </c>
      <c r="C1927" s="107" t="s">
        <v>274</v>
      </c>
      <c r="D1927" s="107">
        <v>1</v>
      </c>
      <c r="E1927" s="107" t="s">
        <v>429</v>
      </c>
      <c r="F1927" s="107" t="s">
        <v>646</v>
      </c>
      <c r="G1927" s="107">
        <v>1</v>
      </c>
      <c r="H1927" s="107">
        <v>11</v>
      </c>
      <c r="I1927" s="107">
        <v>0</v>
      </c>
      <c r="J1927" s="107">
        <f t="shared" si="30"/>
        <v>1.55</v>
      </c>
      <c r="K1927" s="107">
        <v>3990</v>
      </c>
      <c r="L1927" s="107">
        <v>1788</v>
      </c>
      <c r="M1927" s="107">
        <v>205</v>
      </c>
      <c r="N1927" s="107" t="s">
        <v>406</v>
      </c>
      <c r="O1927" s="107" t="s">
        <v>277</v>
      </c>
    </row>
    <row r="1928" spans="1:15" x14ac:dyDescent="0.15">
      <c r="A1928" s="107">
        <v>1655</v>
      </c>
      <c r="B1928" s="107" t="s">
        <v>197</v>
      </c>
      <c r="C1928" s="107" t="s">
        <v>274</v>
      </c>
      <c r="D1928" s="107">
        <v>1</v>
      </c>
      <c r="E1928" s="107" t="s">
        <v>429</v>
      </c>
      <c r="F1928" s="107" t="s">
        <v>646</v>
      </c>
      <c r="G1928" s="107">
        <v>1</v>
      </c>
      <c r="H1928" s="107">
        <v>11</v>
      </c>
      <c r="I1928" s="107">
        <v>0</v>
      </c>
      <c r="J1928" s="107">
        <f t="shared" si="30"/>
        <v>1.55</v>
      </c>
      <c r="K1928" s="107">
        <v>3990</v>
      </c>
      <c r="L1928" s="107">
        <v>1788</v>
      </c>
      <c r="M1928" s="107">
        <v>212</v>
      </c>
      <c r="N1928" s="107" t="s">
        <v>497</v>
      </c>
      <c r="O1928" s="107" t="s">
        <v>498</v>
      </c>
    </row>
    <row r="1929" spans="1:15" x14ac:dyDescent="0.15">
      <c r="A1929" s="107">
        <v>1656</v>
      </c>
      <c r="B1929" s="107" t="s">
        <v>283</v>
      </c>
      <c r="C1929" s="107" t="s">
        <v>274</v>
      </c>
      <c r="D1929" s="107">
        <v>15</v>
      </c>
      <c r="E1929" s="107" t="s">
        <v>429</v>
      </c>
      <c r="F1929" s="107" t="s">
        <v>646</v>
      </c>
      <c r="G1929" s="107">
        <v>34</v>
      </c>
      <c r="H1929" s="107">
        <v>10</v>
      </c>
      <c r="I1929" s="107">
        <v>0</v>
      </c>
      <c r="J1929" s="107">
        <f t="shared" si="30"/>
        <v>2.2999999999999998</v>
      </c>
      <c r="K1929" s="107">
        <v>3991</v>
      </c>
      <c r="L1929" s="107">
        <v>1788</v>
      </c>
      <c r="M1929" s="107">
        <v>149</v>
      </c>
      <c r="N1929" s="107" t="s">
        <v>284</v>
      </c>
      <c r="O1929" s="107"/>
    </row>
    <row r="1930" spans="1:15" x14ac:dyDescent="0.15">
      <c r="A1930" s="107">
        <v>1655</v>
      </c>
      <c r="B1930" s="107" t="s">
        <v>236</v>
      </c>
      <c r="C1930" s="107" t="s">
        <v>274</v>
      </c>
      <c r="D1930" s="107">
        <v>50</v>
      </c>
      <c r="E1930" s="107"/>
      <c r="F1930" s="107" t="s">
        <v>648</v>
      </c>
      <c r="G1930" s="107">
        <v>37</v>
      </c>
      <c r="H1930" s="107">
        <v>10</v>
      </c>
      <c r="I1930" s="107">
        <v>0</v>
      </c>
      <c r="J1930" s="107">
        <f t="shared" si="30"/>
        <v>0.75</v>
      </c>
      <c r="K1930" s="107">
        <v>3990</v>
      </c>
      <c r="L1930" s="107">
        <v>1788</v>
      </c>
      <c r="M1930" s="107">
        <v>204</v>
      </c>
      <c r="N1930" s="107" t="s">
        <v>349</v>
      </c>
      <c r="O1930" s="107"/>
    </row>
    <row r="1931" spans="1:15" x14ac:dyDescent="0.15">
      <c r="A1931" s="107">
        <v>1656</v>
      </c>
      <c r="B1931" s="107" t="s">
        <v>283</v>
      </c>
      <c r="C1931" s="107" t="s">
        <v>274</v>
      </c>
      <c r="D1931" s="107">
        <v>20</v>
      </c>
      <c r="E1931" s="107"/>
      <c r="F1931" s="107" t="s">
        <v>648</v>
      </c>
      <c r="G1931" s="107">
        <v>15</v>
      </c>
      <c r="H1931" s="107">
        <v>0</v>
      </c>
      <c r="I1931" s="107">
        <v>0</v>
      </c>
      <c r="J1931" s="107">
        <f t="shared" si="30"/>
        <v>0.75</v>
      </c>
      <c r="K1931" s="107">
        <v>3991</v>
      </c>
      <c r="L1931" s="107">
        <v>1788</v>
      </c>
      <c r="M1931" s="107">
        <v>149</v>
      </c>
      <c r="N1931" s="107" t="s">
        <v>284</v>
      </c>
      <c r="O1931" s="107"/>
    </row>
    <row r="1932" spans="1:15" x14ac:dyDescent="0.15">
      <c r="A1932" s="107">
        <v>1700</v>
      </c>
      <c r="B1932" s="107" t="s">
        <v>236</v>
      </c>
      <c r="C1932" s="107" t="s">
        <v>271</v>
      </c>
      <c r="D1932" s="107">
        <v>3</v>
      </c>
      <c r="E1932" s="107" t="s">
        <v>204</v>
      </c>
      <c r="F1932" s="107" t="s">
        <v>648</v>
      </c>
      <c r="G1932" s="107">
        <v>4</v>
      </c>
      <c r="H1932" s="107">
        <v>10</v>
      </c>
      <c r="I1932" s="107">
        <v>0</v>
      </c>
      <c r="J1932" s="107">
        <f t="shared" si="30"/>
        <v>1.5</v>
      </c>
      <c r="K1932" s="107">
        <v>4047</v>
      </c>
      <c r="L1932" s="107">
        <v>1855</v>
      </c>
      <c r="M1932" s="107">
        <v>550</v>
      </c>
      <c r="N1932" s="107" t="s">
        <v>273</v>
      </c>
      <c r="O1932" s="107"/>
    </row>
    <row r="1933" spans="1:15" x14ac:dyDescent="0.15">
      <c r="A1933" s="107">
        <v>1701</v>
      </c>
      <c r="B1933" s="107" t="s">
        <v>196</v>
      </c>
      <c r="C1933" s="107" t="s">
        <v>271</v>
      </c>
      <c r="D1933" s="107">
        <v>12</v>
      </c>
      <c r="E1933" s="107" t="s">
        <v>204</v>
      </c>
      <c r="F1933" s="107" t="s">
        <v>648</v>
      </c>
      <c r="G1933" s="107">
        <v>15</v>
      </c>
      <c r="H1933" s="107">
        <v>17</v>
      </c>
      <c r="I1933" s="107">
        <v>0</v>
      </c>
      <c r="J1933" s="107">
        <f t="shared" si="30"/>
        <v>1.3208333333333333</v>
      </c>
      <c r="K1933" s="107">
        <v>4047</v>
      </c>
      <c r="L1933" s="107">
        <v>1855</v>
      </c>
      <c r="M1933" s="107">
        <v>562</v>
      </c>
      <c r="N1933" s="107" t="s">
        <v>273</v>
      </c>
      <c r="O1933" s="107"/>
    </row>
    <row r="1934" spans="1:15" x14ac:dyDescent="0.15">
      <c r="A1934" s="107">
        <v>1656</v>
      </c>
      <c r="B1934" s="107" t="s">
        <v>283</v>
      </c>
      <c r="C1934" s="107" t="s">
        <v>274</v>
      </c>
      <c r="D1934" s="107">
        <v>12</v>
      </c>
      <c r="E1934" s="107"/>
      <c r="F1934" s="107" t="s">
        <v>649</v>
      </c>
      <c r="G1934" s="107">
        <v>10</v>
      </c>
      <c r="H1934" s="107">
        <v>10</v>
      </c>
      <c r="I1934" s="107">
        <v>0</v>
      </c>
      <c r="J1934" s="107">
        <f t="shared" si="30"/>
        <v>0.875</v>
      </c>
      <c r="K1934" s="107">
        <v>3991</v>
      </c>
      <c r="L1934" s="107">
        <v>1788</v>
      </c>
      <c r="M1934" s="107">
        <v>150</v>
      </c>
      <c r="N1934" s="107" t="s">
        <v>284</v>
      </c>
      <c r="O1934" s="107"/>
    </row>
    <row r="1935" spans="1:15" x14ac:dyDescent="0.15">
      <c r="A1935" s="107">
        <v>1656</v>
      </c>
      <c r="B1935" s="107" t="s">
        <v>283</v>
      </c>
      <c r="C1935" s="107" t="s">
        <v>274</v>
      </c>
      <c r="D1935" s="107">
        <v>6</v>
      </c>
      <c r="E1935" s="107"/>
      <c r="F1935" s="107" t="s">
        <v>650</v>
      </c>
      <c r="G1935" s="107">
        <v>7</v>
      </c>
      <c r="H1935" s="107">
        <v>4</v>
      </c>
      <c r="I1935" s="107">
        <v>0</v>
      </c>
      <c r="J1935" s="107">
        <f t="shared" si="30"/>
        <v>1.2</v>
      </c>
      <c r="K1935" s="107">
        <v>3991</v>
      </c>
      <c r="L1935" s="107">
        <v>1788</v>
      </c>
      <c r="M1935" s="107">
        <v>149</v>
      </c>
      <c r="N1935" s="107" t="s">
        <v>284</v>
      </c>
      <c r="O1935" s="107"/>
    </row>
    <row r="1936" spans="1:15" x14ac:dyDescent="0.15">
      <c r="A1936" s="107">
        <v>1655</v>
      </c>
      <c r="B1936" s="107" t="s">
        <v>197</v>
      </c>
      <c r="C1936" s="107" t="s">
        <v>274</v>
      </c>
      <c r="D1936" s="107">
        <v>4</v>
      </c>
      <c r="E1936" s="107" t="s">
        <v>204</v>
      </c>
      <c r="F1936" s="107" t="s">
        <v>651</v>
      </c>
      <c r="G1936" s="107">
        <v>9</v>
      </c>
      <c r="H1936" s="107">
        <v>12</v>
      </c>
      <c r="I1936" s="107">
        <v>0</v>
      </c>
      <c r="J1936" s="107">
        <f t="shared" si="30"/>
        <v>2.4</v>
      </c>
      <c r="K1936" s="107">
        <v>3990</v>
      </c>
      <c r="L1936" s="107">
        <v>1788</v>
      </c>
      <c r="M1936" s="107">
        <v>203</v>
      </c>
      <c r="N1936" s="107"/>
      <c r="O1936" s="107"/>
    </row>
    <row r="1937" spans="1:15" x14ac:dyDescent="0.15">
      <c r="A1937" s="107">
        <v>1674</v>
      </c>
      <c r="B1937" s="107" t="s">
        <v>197</v>
      </c>
      <c r="C1937" s="107" t="s">
        <v>274</v>
      </c>
      <c r="D1937" s="107">
        <v>1</v>
      </c>
      <c r="E1937" s="107" t="s">
        <v>204</v>
      </c>
      <c r="F1937" s="107" t="s">
        <v>652</v>
      </c>
      <c r="G1937" s="107">
        <v>3</v>
      </c>
      <c r="H1937" s="107">
        <v>0</v>
      </c>
      <c r="I1937" s="107">
        <v>0</v>
      </c>
      <c r="J1937" s="107">
        <f t="shared" si="30"/>
        <v>3</v>
      </c>
      <c r="K1937" s="107">
        <v>4011</v>
      </c>
      <c r="L1937" s="107">
        <v>1814</v>
      </c>
      <c r="M1937" s="107">
        <v>596</v>
      </c>
      <c r="N1937" s="107" t="s">
        <v>294</v>
      </c>
      <c r="O1937" s="107"/>
    </row>
    <row r="1938" spans="1:15" x14ac:dyDescent="0.15">
      <c r="A1938" s="107">
        <v>1656</v>
      </c>
      <c r="B1938" s="107" t="s">
        <v>283</v>
      </c>
      <c r="C1938" s="107" t="s">
        <v>274</v>
      </c>
      <c r="D1938" s="107">
        <v>12</v>
      </c>
      <c r="E1938" s="107"/>
      <c r="F1938" s="107" t="s">
        <v>653</v>
      </c>
      <c r="G1938" s="107">
        <v>1</v>
      </c>
      <c r="H1938" s="107">
        <v>16</v>
      </c>
      <c r="I1938" s="107">
        <v>0</v>
      </c>
      <c r="J1938" s="107">
        <f t="shared" si="30"/>
        <v>0.15</v>
      </c>
      <c r="K1938" s="107">
        <v>3991</v>
      </c>
      <c r="L1938" s="107">
        <v>1788</v>
      </c>
      <c r="M1938" s="107">
        <v>149</v>
      </c>
      <c r="N1938" s="107" t="s">
        <v>284</v>
      </c>
      <c r="O1938" s="107"/>
    </row>
    <row r="1939" spans="1:15" x14ac:dyDescent="0.15">
      <c r="A1939" s="107">
        <v>1700</v>
      </c>
      <c r="B1939" s="107" t="s">
        <v>200</v>
      </c>
      <c r="C1939" s="107" t="s">
        <v>271</v>
      </c>
      <c r="D1939" s="107">
        <v>6</v>
      </c>
      <c r="E1939" s="107" t="s">
        <v>204</v>
      </c>
      <c r="F1939" s="107" t="s">
        <v>654</v>
      </c>
      <c r="G1939" s="107">
        <v>15</v>
      </c>
      <c r="H1939" s="107">
        <v>12</v>
      </c>
      <c r="I1939" s="107">
        <v>0</v>
      </c>
      <c r="J1939" s="107">
        <f t="shared" si="30"/>
        <v>2.6</v>
      </c>
      <c r="K1939" s="107">
        <v>4047</v>
      </c>
      <c r="L1939" s="107">
        <v>1855</v>
      </c>
      <c r="M1939" s="107">
        <v>528</v>
      </c>
      <c r="N1939" s="107" t="s">
        <v>272</v>
      </c>
      <c r="O1939" s="107"/>
    </row>
    <row r="1940" spans="1:15" x14ac:dyDescent="0.15">
      <c r="A1940" s="107">
        <v>1700</v>
      </c>
      <c r="B1940" s="107" t="s">
        <v>200</v>
      </c>
      <c r="C1940" s="107" t="s">
        <v>271</v>
      </c>
      <c r="D1940" s="107">
        <v>101</v>
      </c>
      <c r="E1940" s="107" t="s">
        <v>204</v>
      </c>
      <c r="F1940" s="107" t="s">
        <v>655</v>
      </c>
      <c r="G1940" s="107">
        <v>0</v>
      </c>
      <c r="H1940" s="107">
        <v>16</v>
      </c>
      <c r="I1940" s="107">
        <v>0</v>
      </c>
      <c r="J1940" s="107">
        <f t="shared" si="30"/>
        <v>7.9207920792079209E-3</v>
      </c>
      <c r="K1940" s="107">
        <v>4047</v>
      </c>
      <c r="L1940" s="107">
        <v>1855</v>
      </c>
      <c r="M1940" s="107">
        <v>530</v>
      </c>
      <c r="N1940" s="107" t="s">
        <v>272</v>
      </c>
      <c r="O1940" s="107"/>
    </row>
    <row r="1941" spans="1:15" x14ac:dyDescent="0.15">
      <c r="A1941" s="107">
        <v>1655</v>
      </c>
      <c r="B1941" s="107" t="s">
        <v>226</v>
      </c>
      <c r="C1941" s="107" t="s">
        <v>274</v>
      </c>
      <c r="D1941" s="107">
        <v>4</v>
      </c>
      <c r="E1941" s="107"/>
      <c r="F1941" s="107" t="s">
        <v>656</v>
      </c>
      <c r="G1941" s="107">
        <v>40</v>
      </c>
      <c r="H1941" s="107">
        <v>0</v>
      </c>
      <c r="I1941" s="107">
        <v>0</v>
      </c>
      <c r="J1941" s="107">
        <f t="shared" si="30"/>
        <v>10</v>
      </c>
      <c r="K1941" s="107">
        <v>3990</v>
      </c>
      <c r="L1941" s="107">
        <v>1788</v>
      </c>
      <c r="M1941" s="107">
        <v>208</v>
      </c>
      <c r="N1941" s="107" t="s">
        <v>276</v>
      </c>
      <c r="O1941" s="107" t="s">
        <v>277</v>
      </c>
    </row>
    <row r="1942" spans="1:15" x14ac:dyDescent="0.15">
      <c r="A1942" s="107">
        <v>1656</v>
      </c>
      <c r="B1942" s="107" t="s">
        <v>283</v>
      </c>
      <c r="C1942" s="107" t="s">
        <v>274</v>
      </c>
      <c r="D1942" s="107">
        <v>14</v>
      </c>
      <c r="E1942" s="107"/>
      <c r="F1942" s="107" t="s">
        <v>656</v>
      </c>
      <c r="G1942" s="107">
        <v>77</v>
      </c>
      <c r="H1942" s="107">
        <v>0</v>
      </c>
      <c r="I1942" s="107">
        <v>0</v>
      </c>
      <c r="J1942" s="107">
        <f t="shared" si="30"/>
        <v>5.5</v>
      </c>
      <c r="K1942" s="107">
        <v>3991</v>
      </c>
      <c r="L1942" s="107">
        <v>1788</v>
      </c>
      <c r="M1942" s="107">
        <v>150</v>
      </c>
      <c r="N1942" s="107" t="s">
        <v>284</v>
      </c>
      <c r="O1942" s="107"/>
    </row>
    <row r="1943" spans="1:15" x14ac:dyDescent="0.15">
      <c r="A1943" s="107">
        <v>1659</v>
      </c>
      <c r="B1943" s="107" t="s">
        <v>197</v>
      </c>
      <c r="C1943" s="107" t="s">
        <v>274</v>
      </c>
      <c r="D1943" s="107">
        <v>23</v>
      </c>
      <c r="E1943" s="107"/>
      <c r="F1943" s="107" t="s">
        <v>657</v>
      </c>
      <c r="G1943" s="107">
        <v>15</v>
      </c>
      <c r="H1943" s="107">
        <v>0</v>
      </c>
      <c r="I1943" s="107">
        <v>0</v>
      </c>
      <c r="J1943" s="107">
        <f t="shared" si="30"/>
        <v>0.65217391304347827</v>
      </c>
      <c r="K1943" s="107">
        <v>3993</v>
      </c>
      <c r="L1943" s="107">
        <v>1792</v>
      </c>
      <c r="M1943" s="107">
        <v>167</v>
      </c>
      <c r="N1943" s="107" t="s">
        <v>317</v>
      </c>
      <c r="O1943" s="107"/>
    </row>
    <row r="1944" spans="1:15" x14ac:dyDescent="0.15">
      <c r="A1944" s="107">
        <v>1674</v>
      </c>
      <c r="B1944" s="107" t="s">
        <v>197</v>
      </c>
      <c r="C1944" s="107" t="s">
        <v>274</v>
      </c>
      <c r="D1944" s="107">
        <v>101</v>
      </c>
      <c r="E1944" s="107" t="s">
        <v>204</v>
      </c>
      <c r="F1944" s="107" t="s">
        <v>658</v>
      </c>
      <c r="G1944" s="107">
        <v>10</v>
      </c>
      <c r="H1944" s="107">
        <v>10</v>
      </c>
      <c r="I1944" s="107">
        <v>0</v>
      </c>
      <c r="J1944" s="107">
        <f t="shared" si="30"/>
        <v>0.10396039603960396</v>
      </c>
      <c r="K1944" s="107">
        <v>4011</v>
      </c>
      <c r="L1944" s="107">
        <v>1814</v>
      </c>
      <c r="M1944" s="107">
        <v>596</v>
      </c>
      <c r="N1944" s="107" t="s">
        <v>294</v>
      </c>
      <c r="O1944" s="107"/>
    </row>
    <row r="1945" spans="1:15" x14ac:dyDescent="0.15">
      <c r="A1945" s="107">
        <v>1656</v>
      </c>
      <c r="B1945" s="107" t="s">
        <v>253</v>
      </c>
      <c r="C1945" s="107" t="s">
        <v>274</v>
      </c>
      <c r="D1945" s="107">
        <v>2</v>
      </c>
      <c r="E1945" s="107"/>
      <c r="F1945" s="107" t="s">
        <v>659</v>
      </c>
      <c r="G1945" s="107">
        <v>2</v>
      </c>
      <c r="H1945" s="107">
        <v>0</v>
      </c>
      <c r="I1945" s="107">
        <v>8</v>
      </c>
      <c r="J1945" s="107">
        <f t="shared" si="30"/>
        <v>1.0125</v>
      </c>
      <c r="K1945" s="107">
        <v>3991</v>
      </c>
      <c r="L1945" s="107">
        <v>1788</v>
      </c>
      <c r="M1945" s="107">
        <v>152</v>
      </c>
      <c r="N1945" s="107" t="s">
        <v>383</v>
      </c>
      <c r="O1945" s="107"/>
    </row>
    <row r="1946" spans="1:15" x14ac:dyDescent="0.15">
      <c r="A1946" s="107">
        <v>1655</v>
      </c>
      <c r="B1946" s="107" t="s">
        <v>197</v>
      </c>
      <c r="C1946" s="107" t="s">
        <v>274</v>
      </c>
      <c r="D1946" s="107">
        <v>2</v>
      </c>
      <c r="E1946" s="107" t="s">
        <v>280</v>
      </c>
      <c r="F1946" s="107" t="s">
        <v>660</v>
      </c>
      <c r="G1946" s="107">
        <v>624</v>
      </c>
      <c r="H1946" s="107">
        <v>0</v>
      </c>
      <c r="I1946" s="107">
        <v>0</v>
      </c>
      <c r="J1946" s="107">
        <f t="shared" si="30"/>
        <v>312</v>
      </c>
      <c r="K1946" s="107">
        <v>3990</v>
      </c>
      <c r="L1946" s="107">
        <v>1788</v>
      </c>
      <c r="M1946" s="107">
        <v>149</v>
      </c>
      <c r="N1946" s="107"/>
      <c r="O1946" s="107"/>
    </row>
    <row r="1947" spans="1:15" x14ac:dyDescent="0.15">
      <c r="A1947" s="107">
        <v>1656</v>
      </c>
      <c r="B1947" s="107" t="s">
        <v>197</v>
      </c>
      <c r="C1947" s="107" t="s">
        <v>274</v>
      </c>
      <c r="D1947" s="107">
        <v>1</v>
      </c>
      <c r="E1947" s="107" t="s">
        <v>280</v>
      </c>
      <c r="F1947" s="107" t="s">
        <v>660</v>
      </c>
      <c r="G1947" s="107">
        <v>342</v>
      </c>
      <c r="H1947" s="107">
        <v>14</v>
      </c>
      <c r="I1947" s="107">
        <v>4</v>
      </c>
      <c r="J1947" s="107">
        <f t="shared" si="30"/>
        <v>342.71249999999998</v>
      </c>
      <c r="K1947" s="107">
        <v>3991</v>
      </c>
      <c r="L1947" s="107">
        <v>1788</v>
      </c>
      <c r="M1947" s="107">
        <v>149</v>
      </c>
      <c r="N1947" s="107"/>
      <c r="O1947" s="107"/>
    </row>
    <row r="1948" spans="1:15" x14ac:dyDescent="0.15">
      <c r="A1948" s="107">
        <v>1656</v>
      </c>
      <c r="B1948" s="107" t="s">
        <v>260</v>
      </c>
      <c r="C1948" s="107" t="s">
        <v>274</v>
      </c>
      <c r="D1948" s="107">
        <v>4.5</v>
      </c>
      <c r="E1948" s="107" t="s">
        <v>297</v>
      </c>
      <c r="F1948" s="107" t="s">
        <v>660</v>
      </c>
      <c r="G1948" s="107">
        <v>6</v>
      </c>
      <c r="H1948" s="107">
        <v>15</v>
      </c>
      <c r="I1948" s="107">
        <v>0</v>
      </c>
      <c r="J1948" s="107">
        <f t="shared" si="30"/>
        <v>1.5</v>
      </c>
      <c r="K1948" s="107">
        <v>3991</v>
      </c>
      <c r="L1948" s="107">
        <v>1788</v>
      </c>
      <c r="M1948" s="107">
        <v>160</v>
      </c>
      <c r="N1948" s="107"/>
      <c r="O1948" s="107"/>
    </row>
    <row r="1949" spans="1:15" x14ac:dyDescent="0.15">
      <c r="A1949" s="107">
        <v>1657</v>
      </c>
      <c r="B1949" s="107" t="s">
        <v>197</v>
      </c>
      <c r="C1949" s="107" t="s">
        <v>274</v>
      </c>
      <c r="D1949" s="107">
        <v>15</v>
      </c>
      <c r="E1949" s="107" t="s">
        <v>212</v>
      </c>
      <c r="F1949" s="107" t="s">
        <v>660</v>
      </c>
      <c r="G1949" s="107">
        <v>22</v>
      </c>
      <c r="H1949" s="107">
        <v>10</v>
      </c>
      <c r="I1949" s="107">
        <v>0</v>
      </c>
      <c r="J1949" s="107">
        <f t="shared" si="30"/>
        <v>1.5</v>
      </c>
      <c r="K1949" s="107">
        <v>3992</v>
      </c>
      <c r="L1949" s="107">
        <v>1789</v>
      </c>
      <c r="M1949" s="107">
        <v>228</v>
      </c>
      <c r="N1949" s="107"/>
      <c r="O1949" s="107"/>
    </row>
    <row r="1950" spans="1:15" x14ac:dyDescent="0.15">
      <c r="A1950" s="107">
        <v>1660</v>
      </c>
      <c r="B1950" s="107" t="s">
        <v>261</v>
      </c>
      <c r="C1950" s="107" t="s">
        <v>274</v>
      </c>
      <c r="D1950" s="107">
        <v>39</v>
      </c>
      <c r="E1950" s="107" t="s">
        <v>212</v>
      </c>
      <c r="F1950" s="107" t="s">
        <v>660</v>
      </c>
      <c r="G1950" s="107">
        <v>14</v>
      </c>
      <c r="H1950" s="107">
        <v>1</v>
      </c>
      <c r="I1950" s="107">
        <v>4</v>
      </c>
      <c r="J1950" s="107">
        <f t="shared" si="30"/>
        <v>0.36057692307692307</v>
      </c>
      <c r="K1950" s="107">
        <v>3995</v>
      </c>
      <c r="L1950" s="107">
        <v>1793</v>
      </c>
      <c r="M1950" s="107">
        <v>368</v>
      </c>
      <c r="N1950" s="107"/>
      <c r="O1950" s="107"/>
    </row>
    <row r="1951" spans="1:15" x14ac:dyDescent="0.15">
      <c r="A1951" s="107">
        <v>1661</v>
      </c>
      <c r="B1951" s="107" t="s">
        <v>260</v>
      </c>
      <c r="C1951" s="107" t="s">
        <v>274</v>
      </c>
      <c r="D1951" s="107">
        <v>482.5</v>
      </c>
      <c r="E1951" s="107" t="s">
        <v>297</v>
      </c>
      <c r="F1951" s="107" t="s">
        <v>660</v>
      </c>
      <c r="G1951" s="107">
        <v>1158</v>
      </c>
      <c r="H1951" s="107">
        <v>0</v>
      </c>
      <c r="I1951" s="107">
        <v>0</v>
      </c>
      <c r="J1951" s="107">
        <f t="shared" si="30"/>
        <v>2.4</v>
      </c>
      <c r="K1951" s="107">
        <v>3996</v>
      </c>
      <c r="L1951" s="107">
        <v>1794</v>
      </c>
      <c r="M1951" s="107" t="s">
        <v>290</v>
      </c>
      <c r="N1951" s="107"/>
      <c r="O1951" s="107"/>
    </row>
    <row r="1952" spans="1:15" x14ac:dyDescent="0.15">
      <c r="A1952" s="107">
        <v>1662</v>
      </c>
      <c r="B1952" s="107" t="s">
        <v>261</v>
      </c>
      <c r="C1952" s="107" t="s">
        <v>274</v>
      </c>
      <c r="D1952" s="107">
        <v>518</v>
      </c>
      <c r="E1952" s="107" t="s">
        <v>297</v>
      </c>
      <c r="F1952" s="107" t="s">
        <v>660</v>
      </c>
      <c r="G1952" s="107">
        <v>1243</v>
      </c>
      <c r="H1952" s="107">
        <v>4</v>
      </c>
      <c r="I1952" s="107">
        <v>0</v>
      </c>
      <c r="J1952" s="107">
        <f t="shared" si="30"/>
        <v>2.4</v>
      </c>
      <c r="K1952" s="107">
        <v>3997</v>
      </c>
      <c r="L1952" s="107">
        <v>1795</v>
      </c>
      <c r="M1952" s="107" t="s">
        <v>290</v>
      </c>
      <c r="N1952" s="107"/>
      <c r="O1952" s="107"/>
    </row>
    <row r="1953" spans="1:13" x14ac:dyDescent="0.15">
      <c r="A1953" s="107">
        <v>1663</v>
      </c>
      <c r="B1953" s="107" t="s">
        <v>261</v>
      </c>
      <c r="C1953" s="107" t="s">
        <v>274</v>
      </c>
      <c r="D1953" s="107">
        <v>0.5</v>
      </c>
      <c r="E1953" s="107" t="s">
        <v>280</v>
      </c>
      <c r="F1953" s="107" t="s">
        <v>660</v>
      </c>
      <c r="G1953" s="107">
        <v>125</v>
      </c>
      <c r="H1953" s="107">
        <v>0</v>
      </c>
      <c r="I1953" s="107">
        <v>0</v>
      </c>
      <c r="J1953" s="107">
        <f t="shared" si="30"/>
        <v>250</v>
      </c>
      <c r="K1953" s="107">
        <v>3998</v>
      </c>
      <c r="L1953" s="107">
        <v>1797</v>
      </c>
      <c r="M1953" s="107" t="s">
        <v>290</v>
      </c>
    </row>
    <row r="1954" spans="1:13" x14ac:dyDescent="0.15">
      <c r="A1954" s="107">
        <v>1665</v>
      </c>
      <c r="B1954" s="107" t="s">
        <v>244</v>
      </c>
      <c r="C1954" s="107" t="s">
        <v>274</v>
      </c>
      <c r="D1954" s="107">
        <v>853</v>
      </c>
      <c r="E1954" s="107" t="s">
        <v>299</v>
      </c>
      <c r="F1954" s="107" t="s">
        <v>660</v>
      </c>
      <c r="G1954" s="107">
        <v>1805</v>
      </c>
      <c r="H1954" s="107">
        <v>0</v>
      </c>
      <c r="I1954" s="107">
        <v>0</v>
      </c>
      <c r="J1954" s="107">
        <f t="shared" si="30"/>
        <v>2.1160609613130128</v>
      </c>
      <c r="K1954" s="107">
        <v>4000</v>
      </c>
      <c r="L1954" s="107">
        <v>1798</v>
      </c>
      <c r="M1954" s="107">
        <v>104</v>
      </c>
    </row>
    <row r="1955" spans="1:13" x14ac:dyDescent="0.15">
      <c r="A1955" s="107">
        <v>1666</v>
      </c>
      <c r="B1955" s="107" t="s">
        <v>197</v>
      </c>
      <c r="C1955" s="107" t="s">
        <v>274</v>
      </c>
      <c r="D1955" s="107">
        <v>1</v>
      </c>
      <c r="E1955" s="107" t="s">
        <v>280</v>
      </c>
      <c r="F1955" s="107" t="s">
        <v>660</v>
      </c>
      <c r="G1955" s="107">
        <v>250</v>
      </c>
      <c r="H1955" s="107">
        <v>0</v>
      </c>
      <c r="I1955" s="107">
        <v>0</v>
      </c>
      <c r="J1955" s="107">
        <f t="shared" si="30"/>
        <v>250</v>
      </c>
      <c r="K1955" s="107">
        <v>4001</v>
      </c>
      <c r="L1955" s="107">
        <v>1800</v>
      </c>
      <c r="M1955" s="107">
        <v>40</v>
      </c>
    </row>
    <row r="1956" spans="1:13" x14ac:dyDescent="0.15">
      <c r="A1956" s="107">
        <v>1667</v>
      </c>
      <c r="B1956" s="107" t="s">
        <v>197</v>
      </c>
      <c r="C1956" s="107" t="s">
        <v>274</v>
      </c>
      <c r="D1956" s="107">
        <v>1</v>
      </c>
      <c r="E1956" s="107" t="s">
        <v>280</v>
      </c>
      <c r="F1956" s="107" t="s">
        <v>660</v>
      </c>
      <c r="G1956" s="107">
        <v>250</v>
      </c>
      <c r="H1956" s="107">
        <v>0</v>
      </c>
      <c r="I1956" s="107">
        <v>0</v>
      </c>
      <c r="J1956" s="107">
        <f t="shared" si="30"/>
        <v>250</v>
      </c>
      <c r="K1956" s="107">
        <v>4002</v>
      </c>
      <c r="L1956" s="107">
        <v>1802</v>
      </c>
      <c r="M1956" s="107">
        <v>760</v>
      </c>
    </row>
    <row r="1957" spans="1:13" x14ac:dyDescent="0.15">
      <c r="A1957" s="107">
        <v>1668</v>
      </c>
      <c r="B1957" s="107" t="s">
        <v>197</v>
      </c>
      <c r="C1957" s="107" t="s">
        <v>274</v>
      </c>
      <c r="D1957" s="107">
        <v>2.5</v>
      </c>
      <c r="E1957" s="107" t="s">
        <v>289</v>
      </c>
      <c r="F1957" s="107" t="s">
        <v>660</v>
      </c>
      <c r="G1957" s="107">
        <v>137</v>
      </c>
      <c r="H1957" s="107">
        <v>10</v>
      </c>
      <c r="I1957" s="107">
        <v>0</v>
      </c>
      <c r="J1957" s="107">
        <f t="shared" si="30"/>
        <v>55</v>
      </c>
      <c r="K1957" s="107">
        <v>4003</v>
      </c>
      <c r="L1957" s="107">
        <v>1802</v>
      </c>
      <c r="M1957" s="107">
        <v>41</v>
      </c>
    </row>
    <row r="1958" spans="1:13" x14ac:dyDescent="0.15">
      <c r="A1958" s="107">
        <v>1668</v>
      </c>
      <c r="B1958" s="107" t="s">
        <v>197</v>
      </c>
      <c r="C1958" s="107" t="s">
        <v>274</v>
      </c>
      <c r="D1958" s="107">
        <v>88</v>
      </c>
      <c r="E1958" s="107" t="s">
        <v>212</v>
      </c>
      <c r="F1958" s="107" t="s">
        <v>660</v>
      </c>
      <c r="G1958" s="107">
        <v>158</v>
      </c>
      <c r="H1958" s="107">
        <v>8</v>
      </c>
      <c r="I1958" s="107">
        <v>0</v>
      </c>
      <c r="J1958" s="107">
        <f t="shared" si="30"/>
        <v>1.8</v>
      </c>
      <c r="K1958" s="107">
        <v>4003</v>
      </c>
      <c r="L1958" s="107">
        <v>1802</v>
      </c>
      <c r="M1958" s="107">
        <v>41</v>
      </c>
    </row>
    <row r="1959" spans="1:13" x14ac:dyDescent="0.15">
      <c r="A1959" s="107">
        <v>1669</v>
      </c>
      <c r="B1959" s="107" t="s">
        <v>196</v>
      </c>
      <c r="C1959" s="107" t="s">
        <v>274</v>
      </c>
      <c r="D1959" s="107">
        <v>34.5</v>
      </c>
      <c r="E1959" s="107" t="s">
        <v>212</v>
      </c>
      <c r="F1959" s="107" t="s">
        <v>660</v>
      </c>
      <c r="G1959" s="107">
        <v>72</v>
      </c>
      <c r="H1959" s="107">
        <v>4</v>
      </c>
      <c r="I1959" s="107">
        <v>0</v>
      </c>
      <c r="J1959" s="107">
        <f t="shared" si="30"/>
        <v>2.0927536231884059</v>
      </c>
      <c r="K1959" s="107">
        <v>4004</v>
      </c>
      <c r="L1959" s="107">
        <v>1805</v>
      </c>
      <c r="M1959" s="107">
        <v>570</v>
      </c>
    </row>
    <row r="1960" spans="1:13" x14ac:dyDescent="0.15">
      <c r="A1960" s="107">
        <v>1670</v>
      </c>
      <c r="B1960" s="107" t="s">
        <v>197</v>
      </c>
      <c r="C1960" s="107" t="s">
        <v>274</v>
      </c>
      <c r="D1960" s="107">
        <v>1</v>
      </c>
      <c r="E1960" s="107" t="s">
        <v>296</v>
      </c>
      <c r="F1960" s="107" t="s">
        <v>660</v>
      </c>
      <c r="G1960" s="107">
        <v>78</v>
      </c>
      <c r="H1960" s="107">
        <v>0</v>
      </c>
      <c r="I1960" s="107">
        <v>0</v>
      </c>
      <c r="J1960" s="107">
        <f t="shared" si="30"/>
        <v>78</v>
      </c>
      <c r="K1960" s="107">
        <v>4006</v>
      </c>
      <c r="L1960" s="107">
        <v>1808</v>
      </c>
      <c r="M1960" s="107">
        <v>635</v>
      </c>
    </row>
    <row r="1961" spans="1:13" x14ac:dyDescent="0.15">
      <c r="A1961" s="107">
        <v>1671</v>
      </c>
      <c r="B1961" s="107" t="s">
        <v>356</v>
      </c>
      <c r="C1961" s="107" t="s">
        <v>274</v>
      </c>
      <c r="D1961" s="107">
        <v>2</v>
      </c>
      <c r="E1961" s="107" t="s">
        <v>212</v>
      </c>
      <c r="F1961" s="107" t="s">
        <v>660</v>
      </c>
      <c r="G1961" s="107">
        <v>1</v>
      </c>
      <c r="H1961" s="107">
        <v>15</v>
      </c>
      <c r="I1961" s="107">
        <v>0</v>
      </c>
      <c r="J1961" s="107">
        <f t="shared" si="30"/>
        <v>0.875</v>
      </c>
      <c r="K1961" s="107">
        <v>4008</v>
      </c>
      <c r="L1961" s="107">
        <v>1810</v>
      </c>
      <c r="M1961" s="107">
        <v>433</v>
      </c>
    </row>
    <row r="1962" spans="1:13" x14ac:dyDescent="0.15">
      <c r="A1962" s="107">
        <v>1672</v>
      </c>
      <c r="B1962" s="107" t="s">
        <v>196</v>
      </c>
      <c r="C1962" s="107" t="s">
        <v>274</v>
      </c>
      <c r="D1962" s="107">
        <v>1</v>
      </c>
      <c r="E1962" s="107" t="s">
        <v>280</v>
      </c>
      <c r="F1962" s="107" t="s">
        <v>660</v>
      </c>
      <c r="G1962" s="107">
        <v>312</v>
      </c>
      <c r="H1962" s="107">
        <v>0</v>
      </c>
      <c r="I1962" s="107">
        <v>0</v>
      </c>
      <c r="J1962" s="107">
        <f t="shared" si="30"/>
        <v>312</v>
      </c>
      <c r="K1962" s="107">
        <v>4008</v>
      </c>
      <c r="L1962" s="107">
        <v>1810</v>
      </c>
      <c r="M1962" s="107">
        <v>511</v>
      </c>
    </row>
    <row r="1963" spans="1:13" x14ac:dyDescent="0.15">
      <c r="A1963" s="107">
        <v>1673</v>
      </c>
      <c r="B1963" s="107" t="s">
        <v>197</v>
      </c>
      <c r="C1963" s="107" t="s">
        <v>274</v>
      </c>
      <c r="D1963" s="107">
        <v>8</v>
      </c>
      <c r="E1963" s="107" t="s">
        <v>212</v>
      </c>
      <c r="F1963" s="107" t="s">
        <v>660</v>
      </c>
      <c r="G1963" s="107">
        <v>8</v>
      </c>
      <c r="H1963" s="107">
        <v>0</v>
      </c>
      <c r="I1963" s="107">
        <v>0</v>
      </c>
      <c r="J1963" s="107">
        <f t="shared" si="30"/>
        <v>1</v>
      </c>
      <c r="K1963" s="107">
        <v>4010</v>
      </c>
      <c r="L1963" s="107">
        <v>1812</v>
      </c>
      <c r="M1963" s="107">
        <v>548</v>
      </c>
    </row>
    <row r="1964" spans="1:13" x14ac:dyDescent="0.15">
      <c r="A1964" s="107">
        <v>1676</v>
      </c>
      <c r="B1964" s="107" t="s">
        <v>197</v>
      </c>
      <c r="C1964" s="107" t="s">
        <v>274</v>
      </c>
      <c r="D1964" s="107">
        <v>24</v>
      </c>
      <c r="E1964" s="107" t="s">
        <v>212</v>
      </c>
      <c r="F1964" s="107" t="s">
        <v>660</v>
      </c>
      <c r="G1964" s="107">
        <v>24</v>
      </c>
      <c r="H1964" s="107">
        <v>0</v>
      </c>
      <c r="I1964" s="107">
        <v>0</v>
      </c>
      <c r="J1964" s="107">
        <f t="shared" si="30"/>
        <v>1</v>
      </c>
      <c r="K1964" s="107">
        <v>4012</v>
      </c>
      <c r="L1964" s="107">
        <v>1814</v>
      </c>
      <c r="M1964" s="107">
        <v>427</v>
      </c>
    </row>
    <row r="1965" spans="1:13" x14ac:dyDescent="0.15">
      <c r="A1965" s="107">
        <v>1677</v>
      </c>
      <c r="B1965" s="107" t="s">
        <v>197</v>
      </c>
      <c r="C1965" s="107" t="s">
        <v>274</v>
      </c>
      <c r="D1965" s="107">
        <v>51</v>
      </c>
      <c r="E1965" s="107" t="s">
        <v>212</v>
      </c>
      <c r="F1965" s="107" t="s">
        <v>660</v>
      </c>
      <c r="G1965" s="107">
        <v>51</v>
      </c>
      <c r="H1965" s="107">
        <v>0</v>
      </c>
      <c r="I1965" s="107">
        <v>0</v>
      </c>
      <c r="J1965" s="107">
        <f t="shared" si="30"/>
        <v>1</v>
      </c>
      <c r="K1965" s="107">
        <v>4013</v>
      </c>
      <c r="L1965" s="107">
        <v>1816</v>
      </c>
      <c r="M1965" s="107">
        <v>742</v>
      </c>
    </row>
    <row r="1966" spans="1:13" x14ac:dyDescent="0.15">
      <c r="A1966" s="107">
        <v>1678</v>
      </c>
      <c r="B1966" s="107" t="s">
        <v>197</v>
      </c>
      <c r="C1966" s="107" t="s">
        <v>295</v>
      </c>
      <c r="D1966" s="107">
        <v>0.125</v>
      </c>
      <c r="E1966" s="107" t="s">
        <v>280</v>
      </c>
      <c r="F1966" s="107" t="s">
        <v>660</v>
      </c>
      <c r="G1966" s="107">
        <v>45</v>
      </c>
      <c r="H1966" s="107">
        <v>18</v>
      </c>
      <c r="I1966" s="107">
        <v>0</v>
      </c>
      <c r="J1966" s="107">
        <f t="shared" si="30"/>
        <v>367.2</v>
      </c>
      <c r="K1966" s="107">
        <v>4014</v>
      </c>
      <c r="L1966" s="107">
        <v>4903</v>
      </c>
      <c r="M1966" s="107">
        <v>666</v>
      </c>
    </row>
    <row r="1967" spans="1:13" x14ac:dyDescent="0.15">
      <c r="A1967" s="107">
        <v>1681</v>
      </c>
      <c r="B1967" s="107" t="s">
        <v>197</v>
      </c>
      <c r="C1967" s="107" t="s">
        <v>271</v>
      </c>
      <c r="D1967" s="107">
        <v>62</v>
      </c>
      <c r="E1967" s="107" t="s">
        <v>212</v>
      </c>
      <c r="F1967" s="107" t="s">
        <v>660</v>
      </c>
      <c r="G1967" s="107">
        <v>54</v>
      </c>
      <c r="H1967" s="107">
        <v>5</v>
      </c>
      <c r="I1967" s="107">
        <v>9</v>
      </c>
      <c r="J1967" s="107">
        <f t="shared" si="30"/>
        <v>0.8754536290322581</v>
      </c>
      <c r="K1967" s="107">
        <v>4017</v>
      </c>
      <c r="L1967" s="107">
        <v>1819</v>
      </c>
      <c r="M1967" s="107">
        <v>425</v>
      </c>
    </row>
    <row r="1968" spans="1:13" x14ac:dyDescent="0.15">
      <c r="A1968" s="107">
        <v>1683</v>
      </c>
      <c r="B1968" s="107" t="s">
        <v>197</v>
      </c>
      <c r="C1968" s="107" t="s">
        <v>271</v>
      </c>
      <c r="D1968" s="107">
        <v>58</v>
      </c>
      <c r="E1968" s="107" t="s">
        <v>212</v>
      </c>
      <c r="F1968" s="107" t="s">
        <v>660</v>
      </c>
      <c r="G1968" s="107">
        <v>51</v>
      </c>
      <c r="H1968" s="107">
        <v>5</v>
      </c>
      <c r="I1968" s="107">
        <v>0</v>
      </c>
      <c r="J1968" s="107">
        <f t="shared" ref="J1968:J2031" si="31">(G1968+H1968/20+I1968/320)/D1968</f>
        <v>0.88362068965517238</v>
      </c>
      <c r="K1968" s="107">
        <v>4019</v>
      </c>
      <c r="L1968" s="107">
        <v>1822</v>
      </c>
      <c r="M1968" s="107">
        <v>600</v>
      </c>
    </row>
    <row r="1969" spans="1:15" x14ac:dyDescent="0.15">
      <c r="A1969" s="107">
        <v>1684</v>
      </c>
      <c r="B1969" s="107" t="s">
        <v>197</v>
      </c>
      <c r="C1969" s="107" t="s">
        <v>271</v>
      </c>
      <c r="D1969" s="107">
        <v>56</v>
      </c>
      <c r="E1969" s="107" t="s">
        <v>212</v>
      </c>
      <c r="F1969" s="107" t="s">
        <v>660</v>
      </c>
      <c r="G1969" s="107">
        <v>49</v>
      </c>
      <c r="H1969" s="107">
        <v>0</v>
      </c>
      <c r="I1969" s="107">
        <v>0</v>
      </c>
      <c r="J1969" s="107">
        <f t="shared" si="31"/>
        <v>0.875</v>
      </c>
      <c r="K1969" s="107">
        <v>4021</v>
      </c>
      <c r="L1969" s="107">
        <v>1825</v>
      </c>
      <c r="M1969" s="107">
        <v>666</v>
      </c>
      <c r="N1969" s="107"/>
      <c r="O1969" s="107"/>
    </row>
    <row r="1970" spans="1:15" x14ac:dyDescent="0.15">
      <c r="A1970" s="107">
        <v>1685</v>
      </c>
      <c r="B1970" s="107" t="s">
        <v>197</v>
      </c>
      <c r="C1970" s="107" t="s">
        <v>271</v>
      </c>
      <c r="D1970" s="107">
        <v>0.5</v>
      </c>
      <c r="E1970" s="107" t="s">
        <v>296</v>
      </c>
      <c r="F1970" s="107" t="s">
        <v>660</v>
      </c>
      <c r="G1970" s="107">
        <v>75</v>
      </c>
      <c r="H1970" s="107">
        <v>0</v>
      </c>
      <c r="I1970" s="107">
        <v>0</v>
      </c>
      <c r="J1970" s="107">
        <f t="shared" si="31"/>
        <v>150</v>
      </c>
      <c r="K1970" s="107">
        <v>4022</v>
      </c>
      <c r="L1970" s="107">
        <v>1827</v>
      </c>
      <c r="M1970" s="107">
        <v>609</v>
      </c>
      <c r="N1970" s="107"/>
      <c r="O1970" s="107"/>
    </row>
    <row r="1971" spans="1:15" x14ac:dyDescent="0.15">
      <c r="A1971" s="107">
        <v>1685</v>
      </c>
      <c r="B1971" s="107" t="s">
        <v>196</v>
      </c>
      <c r="C1971" s="107" t="s">
        <v>271</v>
      </c>
      <c r="D1971" s="107">
        <v>654</v>
      </c>
      <c r="E1971" s="107" t="s">
        <v>212</v>
      </c>
      <c r="F1971" s="107" t="s">
        <v>660</v>
      </c>
      <c r="G1971" s="107">
        <v>572</v>
      </c>
      <c r="H1971" s="107">
        <v>5</v>
      </c>
      <c r="I1971" s="107">
        <v>0</v>
      </c>
      <c r="J1971" s="107">
        <f t="shared" si="31"/>
        <v>0.875</v>
      </c>
      <c r="K1971" s="107">
        <v>4022</v>
      </c>
      <c r="L1971" s="107">
        <v>1827</v>
      </c>
      <c r="M1971" s="107">
        <v>600</v>
      </c>
      <c r="N1971" s="107"/>
      <c r="O1971" s="107"/>
    </row>
    <row r="1972" spans="1:15" x14ac:dyDescent="0.15">
      <c r="A1972" s="107">
        <v>1686</v>
      </c>
      <c r="B1972" s="107" t="s">
        <v>197</v>
      </c>
      <c r="C1972" s="107" t="s">
        <v>271</v>
      </c>
      <c r="D1972" s="107">
        <v>194</v>
      </c>
      <c r="E1972" s="107" t="s">
        <v>212</v>
      </c>
      <c r="F1972" s="107" t="s">
        <v>660</v>
      </c>
      <c r="G1972" s="107">
        <v>186</v>
      </c>
      <c r="H1972" s="107">
        <v>14</v>
      </c>
      <c r="I1972" s="107">
        <v>8</v>
      </c>
      <c r="J1972" s="107">
        <f t="shared" si="31"/>
        <v>0.96250000000000002</v>
      </c>
      <c r="K1972" s="107">
        <v>4023</v>
      </c>
      <c r="L1972" s="107">
        <v>1829</v>
      </c>
      <c r="M1972" s="107">
        <v>706</v>
      </c>
      <c r="N1972" s="107"/>
      <c r="O1972" s="107"/>
    </row>
    <row r="1973" spans="1:15" x14ac:dyDescent="0.15">
      <c r="A1973" s="107">
        <v>1686</v>
      </c>
      <c r="B1973" s="107" t="s">
        <v>247</v>
      </c>
      <c r="C1973" s="107" t="s">
        <v>295</v>
      </c>
      <c r="D1973" s="107">
        <v>3</v>
      </c>
      <c r="E1973" s="107" t="s">
        <v>293</v>
      </c>
      <c r="F1973" s="107" t="s">
        <v>660</v>
      </c>
      <c r="G1973" s="107">
        <v>2</v>
      </c>
      <c r="H1973" s="107">
        <v>8</v>
      </c>
      <c r="I1973" s="107">
        <v>9</v>
      </c>
      <c r="J1973" s="107">
        <f t="shared" si="31"/>
        <v>0.80937500000000007</v>
      </c>
      <c r="K1973" s="107">
        <v>4023</v>
      </c>
      <c r="L1973" s="107">
        <v>1829</v>
      </c>
      <c r="M1973" s="107">
        <v>831</v>
      </c>
      <c r="N1973" s="107"/>
      <c r="O1973" s="107"/>
    </row>
    <row r="1974" spans="1:15" x14ac:dyDescent="0.15">
      <c r="A1974" s="107">
        <v>1689</v>
      </c>
      <c r="B1974" s="107" t="s">
        <v>197</v>
      </c>
      <c r="C1974" s="107" t="s">
        <v>271</v>
      </c>
      <c r="D1974" s="107">
        <v>2</v>
      </c>
      <c r="E1974" s="107" t="s">
        <v>212</v>
      </c>
      <c r="F1974" s="107" t="s">
        <v>660</v>
      </c>
      <c r="G1974" s="107">
        <v>1</v>
      </c>
      <c r="H1974" s="107">
        <v>18</v>
      </c>
      <c r="I1974" s="107">
        <v>0</v>
      </c>
      <c r="J1974" s="107">
        <f t="shared" si="31"/>
        <v>0.95</v>
      </c>
      <c r="K1974" s="107">
        <v>4027</v>
      </c>
      <c r="L1974" s="107">
        <v>1832</v>
      </c>
      <c r="M1974" s="107">
        <v>483</v>
      </c>
      <c r="N1974" s="107"/>
      <c r="O1974" s="107"/>
    </row>
    <row r="1975" spans="1:15" x14ac:dyDescent="0.15">
      <c r="A1975" s="107">
        <v>1655</v>
      </c>
      <c r="B1975" s="107" t="s">
        <v>236</v>
      </c>
      <c r="C1975" s="107" t="s">
        <v>274</v>
      </c>
      <c r="D1975" s="107">
        <v>150</v>
      </c>
      <c r="E1975" s="107"/>
      <c r="F1975" s="107" t="s">
        <v>661</v>
      </c>
      <c r="G1975" s="107">
        <v>150</v>
      </c>
      <c r="H1975" s="107">
        <v>0</v>
      </c>
      <c r="I1975" s="107">
        <v>0</v>
      </c>
      <c r="J1975" s="107">
        <f t="shared" si="31"/>
        <v>1</v>
      </c>
      <c r="K1975" s="107">
        <v>3990</v>
      </c>
      <c r="L1975" s="107">
        <v>1788</v>
      </c>
      <c r="M1975" s="107">
        <v>204</v>
      </c>
      <c r="N1975" s="107" t="s">
        <v>349</v>
      </c>
      <c r="O1975" s="107"/>
    </row>
    <row r="1976" spans="1:15" x14ac:dyDescent="0.15">
      <c r="A1976" s="107">
        <v>1656</v>
      </c>
      <c r="B1976" s="107" t="s">
        <v>283</v>
      </c>
      <c r="C1976" s="107" t="s">
        <v>274</v>
      </c>
      <c r="D1976" s="107">
        <v>100</v>
      </c>
      <c r="E1976" s="107"/>
      <c r="F1976" s="107" t="s">
        <v>662</v>
      </c>
      <c r="G1976" s="107">
        <v>100</v>
      </c>
      <c r="H1976" s="107">
        <v>0</v>
      </c>
      <c r="I1976" s="107">
        <v>0</v>
      </c>
      <c r="J1976" s="107">
        <f t="shared" si="31"/>
        <v>1</v>
      </c>
      <c r="K1976" s="107">
        <v>3991</v>
      </c>
      <c r="L1976" s="107">
        <v>1788</v>
      </c>
      <c r="M1976" s="107">
        <v>149</v>
      </c>
      <c r="N1976" s="107" t="s">
        <v>284</v>
      </c>
      <c r="O1976" s="107"/>
    </row>
    <row r="1977" spans="1:15" x14ac:dyDescent="0.15">
      <c r="A1977" s="107">
        <v>1655</v>
      </c>
      <c r="B1977" s="107" t="s">
        <v>197</v>
      </c>
      <c r="C1977" s="107" t="s">
        <v>274</v>
      </c>
      <c r="D1977" s="107">
        <v>8.3333333333333329E-2</v>
      </c>
      <c r="E1977" s="107" t="s">
        <v>280</v>
      </c>
      <c r="F1977" s="107" t="s">
        <v>663</v>
      </c>
      <c r="G1977" s="107">
        <v>26</v>
      </c>
      <c r="H1977" s="107">
        <v>0</v>
      </c>
      <c r="I1977" s="107">
        <v>0</v>
      </c>
      <c r="J1977" s="107">
        <f t="shared" si="31"/>
        <v>312</v>
      </c>
      <c r="K1977" s="107">
        <v>3990</v>
      </c>
      <c r="L1977" s="107">
        <v>1788</v>
      </c>
      <c r="M1977" s="107">
        <v>205</v>
      </c>
      <c r="N1977" s="107"/>
      <c r="O1977" s="107" t="s">
        <v>277</v>
      </c>
    </row>
    <row r="1978" spans="1:15" x14ac:dyDescent="0.15">
      <c r="A1978" s="107">
        <v>1655</v>
      </c>
      <c r="B1978" s="107" t="s">
        <v>196</v>
      </c>
      <c r="C1978" s="107" t="s">
        <v>274</v>
      </c>
      <c r="D1978" s="107">
        <v>0.16666666666666666</v>
      </c>
      <c r="E1978" s="107" t="s">
        <v>280</v>
      </c>
      <c r="F1978" s="107" t="s">
        <v>663</v>
      </c>
      <c r="G1978" s="107">
        <v>52</v>
      </c>
      <c r="H1978" s="107">
        <v>0</v>
      </c>
      <c r="I1978" s="107">
        <v>0</v>
      </c>
      <c r="J1978" s="107">
        <f t="shared" si="31"/>
        <v>312</v>
      </c>
      <c r="K1978" s="107">
        <v>3990</v>
      </c>
      <c r="L1978" s="107">
        <v>1788</v>
      </c>
      <c r="M1978" s="107">
        <v>206</v>
      </c>
      <c r="N1978" s="107" t="s">
        <v>288</v>
      </c>
      <c r="O1978" s="107" t="s">
        <v>277</v>
      </c>
    </row>
    <row r="1979" spans="1:15" x14ac:dyDescent="0.15">
      <c r="A1979" s="107">
        <v>1655</v>
      </c>
      <c r="B1979" s="107" t="s">
        <v>226</v>
      </c>
      <c r="C1979" s="107" t="s">
        <v>274</v>
      </c>
      <c r="D1979" s="107">
        <v>0.5</v>
      </c>
      <c r="E1979" s="107" t="s">
        <v>280</v>
      </c>
      <c r="F1979" s="107" t="s">
        <v>663</v>
      </c>
      <c r="G1979" s="107">
        <v>156</v>
      </c>
      <c r="H1979" s="107">
        <v>0</v>
      </c>
      <c r="I1979" s="107">
        <v>0</v>
      </c>
      <c r="J1979" s="107">
        <f t="shared" si="31"/>
        <v>312</v>
      </c>
      <c r="K1979" s="107">
        <v>3990</v>
      </c>
      <c r="L1979" s="107">
        <v>1788</v>
      </c>
      <c r="M1979" s="107">
        <v>207</v>
      </c>
      <c r="N1979" s="107" t="s">
        <v>276</v>
      </c>
      <c r="O1979" s="107" t="s">
        <v>277</v>
      </c>
    </row>
    <row r="1980" spans="1:15" x14ac:dyDescent="0.15">
      <c r="A1980" s="107">
        <v>1655</v>
      </c>
      <c r="B1980" s="107" t="s">
        <v>197</v>
      </c>
      <c r="C1980" s="107" t="s">
        <v>274</v>
      </c>
      <c r="D1980" s="107">
        <v>0.16666666666666666</v>
      </c>
      <c r="E1980" s="107" t="s">
        <v>452</v>
      </c>
      <c r="F1980" s="107" t="s">
        <v>663</v>
      </c>
      <c r="G1980" s="107">
        <v>52</v>
      </c>
      <c r="H1980" s="107">
        <v>0</v>
      </c>
      <c r="I1980" s="107">
        <v>0</v>
      </c>
      <c r="J1980" s="107">
        <f t="shared" si="31"/>
        <v>312</v>
      </c>
      <c r="K1980" s="107">
        <v>3990</v>
      </c>
      <c r="L1980" s="107">
        <v>1788</v>
      </c>
      <c r="M1980" s="107">
        <v>209</v>
      </c>
      <c r="N1980" s="107" t="s">
        <v>281</v>
      </c>
      <c r="O1980" s="107" t="s">
        <v>282</v>
      </c>
    </row>
    <row r="1981" spans="1:15" x14ac:dyDescent="0.15">
      <c r="A1981" s="107">
        <v>1682</v>
      </c>
      <c r="B1981" s="107" t="s">
        <v>197</v>
      </c>
      <c r="C1981" s="107" t="s">
        <v>271</v>
      </c>
      <c r="D1981" s="107">
        <v>58</v>
      </c>
      <c r="E1981" s="107" t="s">
        <v>212</v>
      </c>
      <c r="F1981" s="107" t="s">
        <v>663</v>
      </c>
      <c r="G1981" s="107">
        <v>50</v>
      </c>
      <c r="H1981" s="107">
        <v>15</v>
      </c>
      <c r="I1981" s="107">
        <v>0</v>
      </c>
      <c r="J1981" s="107">
        <f t="shared" si="31"/>
        <v>0.875</v>
      </c>
      <c r="K1981" s="107">
        <v>4018</v>
      </c>
      <c r="L1981" s="107">
        <v>1820</v>
      </c>
      <c r="M1981" s="107">
        <v>754</v>
      </c>
      <c r="N1981" s="107" t="s">
        <v>294</v>
      </c>
      <c r="O1981" s="107"/>
    </row>
    <row r="1982" spans="1:15" x14ac:dyDescent="0.15">
      <c r="A1982" s="107">
        <v>1656</v>
      </c>
      <c r="B1982" s="107" t="s">
        <v>283</v>
      </c>
      <c r="C1982" s="107" t="s">
        <v>274</v>
      </c>
      <c r="D1982" s="107">
        <v>2</v>
      </c>
      <c r="E1982" s="107" t="s">
        <v>280</v>
      </c>
      <c r="F1982" s="107" t="s">
        <v>664</v>
      </c>
      <c r="G1982" s="107">
        <v>342</v>
      </c>
      <c r="H1982" s="107">
        <v>14</v>
      </c>
      <c r="I1982" s="107">
        <v>4</v>
      </c>
      <c r="J1982" s="107">
        <f t="shared" si="31"/>
        <v>171.35624999999999</v>
      </c>
      <c r="K1982" s="107">
        <v>3991</v>
      </c>
      <c r="L1982" s="107">
        <v>1788</v>
      </c>
      <c r="M1982" s="107">
        <v>150</v>
      </c>
      <c r="N1982" s="107" t="s">
        <v>284</v>
      </c>
      <c r="O1982" s="107"/>
    </row>
    <row r="1983" spans="1:15" x14ac:dyDescent="0.15">
      <c r="A1983" s="107">
        <v>1674</v>
      </c>
      <c r="B1983" s="107" t="s">
        <v>197</v>
      </c>
      <c r="C1983" s="107" t="s">
        <v>274</v>
      </c>
      <c r="D1983" s="107">
        <v>100</v>
      </c>
      <c r="E1983" s="107" t="s">
        <v>212</v>
      </c>
      <c r="F1983" s="107" t="s">
        <v>664</v>
      </c>
      <c r="G1983" s="107">
        <v>80</v>
      </c>
      <c r="H1983" s="107">
        <v>0</v>
      </c>
      <c r="I1983" s="107">
        <v>0</v>
      </c>
      <c r="J1983" s="107">
        <f t="shared" si="31"/>
        <v>0.8</v>
      </c>
      <c r="K1983" s="107">
        <v>4011</v>
      </c>
      <c r="L1983" s="107">
        <v>1814</v>
      </c>
      <c r="M1983" s="107">
        <v>594</v>
      </c>
      <c r="N1983" s="107" t="s">
        <v>294</v>
      </c>
      <c r="O1983" s="107"/>
    </row>
    <row r="1984" spans="1:15" x14ac:dyDescent="0.15">
      <c r="A1984" s="107">
        <v>1655</v>
      </c>
      <c r="B1984" s="107" t="s">
        <v>197</v>
      </c>
      <c r="C1984" s="107" t="s">
        <v>274</v>
      </c>
      <c r="D1984" s="107">
        <v>1</v>
      </c>
      <c r="E1984" s="107" t="s">
        <v>429</v>
      </c>
      <c r="F1984" s="107" t="s">
        <v>665</v>
      </c>
      <c r="G1984" s="107">
        <v>2</v>
      </c>
      <c r="H1984" s="107">
        <v>2</v>
      </c>
      <c r="I1984" s="107">
        <v>0</v>
      </c>
      <c r="J1984" s="107">
        <f t="shared" si="31"/>
        <v>2.1</v>
      </c>
      <c r="K1984" s="107">
        <v>3990</v>
      </c>
      <c r="L1984" s="107">
        <v>1788</v>
      </c>
      <c r="M1984" s="107">
        <v>203</v>
      </c>
      <c r="N1984" s="107"/>
      <c r="O1984" s="107"/>
    </row>
    <row r="1985" spans="1:15" x14ac:dyDescent="0.15">
      <c r="A1985" s="107">
        <v>1655</v>
      </c>
      <c r="B1985" s="107" t="s">
        <v>196</v>
      </c>
      <c r="C1985" s="107" t="s">
        <v>274</v>
      </c>
      <c r="D1985" s="107">
        <v>2</v>
      </c>
      <c r="E1985" s="107" t="s">
        <v>429</v>
      </c>
      <c r="F1985" s="107" t="s">
        <v>665</v>
      </c>
      <c r="G1985" s="107">
        <v>4</v>
      </c>
      <c r="H1985" s="107">
        <v>8</v>
      </c>
      <c r="I1985" s="107">
        <v>0</v>
      </c>
      <c r="J1985" s="107">
        <f t="shared" si="31"/>
        <v>2.2000000000000002</v>
      </c>
      <c r="K1985" s="107">
        <v>3990</v>
      </c>
      <c r="L1985" s="107">
        <v>1788</v>
      </c>
      <c r="M1985" s="107">
        <v>206</v>
      </c>
      <c r="N1985" s="107" t="s">
        <v>406</v>
      </c>
      <c r="O1985" s="107" t="s">
        <v>277</v>
      </c>
    </row>
    <row r="1986" spans="1:15" x14ac:dyDescent="0.15">
      <c r="A1986" s="107">
        <v>1655</v>
      </c>
      <c r="B1986" s="107" t="s">
        <v>196</v>
      </c>
      <c r="C1986" s="107" t="s">
        <v>274</v>
      </c>
      <c r="D1986" s="107">
        <v>1</v>
      </c>
      <c r="E1986" s="107" t="s">
        <v>429</v>
      </c>
      <c r="F1986" s="107" t="s">
        <v>665</v>
      </c>
      <c r="G1986" s="107">
        <v>2</v>
      </c>
      <c r="H1986" s="107">
        <v>4</v>
      </c>
      <c r="I1986" s="107">
        <v>0</v>
      </c>
      <c r="J1986" s="107">
        <f t="shared" si="31"/>
        <v>2.2000000000000002</v>
      </c>
      <c r="K1986" s="107">
        <v>3990</v>
      </c>
      <c r="L1986" s="107">
        <v>1788</v>
      </c>
      <c r="M1986" s="107">
        <v>206</v>
      </c>
      <c r="N1986" s="107" t="s">
        <v>406</v>
      </c>
      <c r="O1986" s="107" t="s">
        <v>277</v>
      </c>
    </row>
    <row r="1987" spans="1:15" x14ac:dyDescent="0.15">
      <c r="A1987" s="107">
        <v>1655</v>
      </c>
      <c r="B1987" s="107" t="s">
        <v>226</v>
      </c>
      <c r="C1987" s="107" t="s">
        <v>274</v>
      </c>
      <c r="D1987" s="107">
        <v>25</v>
      </c>
      <c r="E1987" s="107" t="s">
        <v>204</v>
      </c>
      <c r="F1987" s="107" t="s">
        <v>665</v>
      </c>
      <c r="G1987" s="107">
        <v>63</v>
      </c>
      <c r="H1987" s="107">
        <v>15</v>
      </c>
      <c r="I1987" s="107">
        <v>0</v>
      </c>
      <c r="J1987" s="107">
        <f t="shared" si="31"/>
        <v>2.5499999999999998</v>
      </c>
      <c r="K1987" s="107">
        <v>3990</v>
      </c>
      <c r="L1987" s="107">
        <v>1788</v>
      </c>
      <c r="M1987" s="107">
        <v>208</v>
      </c>
      <c r="N1987" s="107" t="s">
        <v>276</v>
      </c>
      <c r="O1987" s="107" t="s">
        <v>277</v>
      </c>
    </row>
    <row r="1988" spans="1:15" x14ac:dyDescent="0.15">
      <c r="A1988" s="107">
        <v>1659</v>
      </c>
      <c r="B1988" s="107" t="s">
        <v>197</v>
      </c>
      <c r="C1988" s="107" t="s">
        <v>274</v>
      </c>
      <c r="D1988" s="107">
        <v>62</v>
      </c>
      <c r="E1988" s="107" t="s">
        <v>438</v>
      </c>
      <c r="F1988" s="107" t="s">
        <v>666</v>
      </c>
      <c r="G1988" s="107">
        <v>125</v>
      </c>
      <c r="H1988" s="107">
        <v>10</v>
      </c>
      <c r="I1988" s="107">
        <v>0</v>
      </c>
      <c r="J1988" s="107">
        <f t="shared" si="31"/>
        <v>2.024193548387097</v>
      </c>
      <c r="K1988" s="107">
        <v>3993</v>
      </c>
      <c r="L1988" s="107">
        <v>1792</v>
      </c>
      <c r="M1988" s="107">
        <v>167</v>
      </c>
      <c r="N1988" s="107" t="s">
        <v>317</v>
      </c>
      <c r="O1988" s="107"/>
    </row>
    <row r="1989" spans="1:15" x14ac:dyDescent="0.15">
      <c r="A1989" s="107">
        <v>1677</v>
      </c>
      <c r="B1989" s="107" t="s">
        <v>197</v>
      </c>
      <c r="C1989" s="107" t="s">
        <v>274</v>
      </c>
      <c r="D1989" s="107">
        <v>1</v>
      </c>
      <c r="E1989" s="107" t="s">
        <v>193</v>
      </c>
      <c r="F1989" s="107" t="s">
        <v>667</v>
      </c>
      <c r="G1989" s="107">
        <v>0</v>
      </c>
      <c r="H1989" s="107">
        <v>8</v>
      </c>
      <c r="I1989" s="107">
        <v>6</v>
      </c>
      <c r="J1989" s="107">
        <f t="shared" si="31"/>
        <v>0.41875000000000001</v>
      </c>
      <c r="K1989" s="107">
        <v>4013</v>
      </c>
      <c r="L1989" s="107">
        <v>1816</v>
      </c>
      <c r="M1989" s="107">
        <v>742</v>
      </c>
      <c r="N1989" s="107"/>
      <c r="O1989" s="107"/>
    </row>
    <row r="1990" spans="1:15" x14ac:dyDescent="0.15">
      <c r="A1990" s="107">
        <v>1682</v>
      </c>
      <c r="B1990" s="107" t="s">
        <v>197</v>
      </c>
      <c r="C1990" s="107" t="s">
        <v>271</v>
      </c>
      <c r="D1990" s="107">
        <v>5</v>
      </c>
      <c r="E1990" s="107" t="s">
        <v>193</v>
      </c>
      <c r="F1990" s="107" t="s">
        <v>667</v>
      </c>
      <c r="G1990" s="107">
        <v>2</v>
      </c>
      <c r="H1990" s="107">
        <v>2</v>
      </c>
      <c r="I1990" s="107">
        <v>8</v>
      </c>
      <c r="J1990" s="107">
        <f t="shared" si="31"/>
        <v>0.42499999999999999</v>
      </c>
      <c r="K1990" s="107">
        <v>4018</v>
      </c>
      <c r="L1990" s="107">
        <v>1820</v>
      </c>
      <c r="M1990" s="107">
        <v>760</v>
      </c>
      <c r="N1990" s="107" t="s">
        <v>273</v>
      </c>
      <c r="O1990" s="107"/>
    </row>
    <row r="1991" spans="1:15" x14ac:dyDescent="0.15">
      <c r="A1991" s="107">
        <v>1691</v>
      </c>
      <c r="B1991" s="107" t="s">
        <v>244</v>
      </c>
      <c r="C1991" s="107" t="s">
        <v>271</v>
      </c>
      <c r="D1991" s="107">
        <v>4</v>
      </c>
      <c r="E1991" s="107" t="s">
        <v>193</v>
      </c>
      <c r="F1991" s="107" t="s">
        <v>667</v>
      </c>
      <c r="G1991" s="107">
        <v>2</v>
      </c>
      <c r="H1991" s="107">
        <v>12</v>
      </c>
      <c r="I1991" s="107">
        <v>0</v>
      </c>
      <c r="J1991" s="107">
        <f t="shared" si="31"/>
        <v>0.65</v>
      </c>
      <c r="K1991" s="107">
        <v>4028</v>
      </c>
      <c r="L1991" s="107">
        <v>1834</v>
      </c>
      <c r="M1991" s="107">
        <v>383</v>
      </c>
      <c r="N1991" s="107"/>
      <c r="O1991" s="107"/>
    </row>
    <row r="1992" spans="1:15" x14ac:dyDescent="0.15">
      <c r="A1992" s="107">
        <v>1693</v>
      </c>
      <c r="B1992" s="107" t="s">
        <v>197</v>
      </c>
      <c r="C1992" s="107" t="s">
        <v>271</v>
      </c>
      <c r="D1992" s="107">
        <v>1</v>
      </c>
      <c r="E1992" s="107" t="s">
        <v>193</v>
      </c>
      <c r="F1992" s="107" t="s">
        <v>667</v>
      </c>
      <c r="G1992" s="107">
        <v>0</v>
      </c>
      <c r="H1992" s="107">
        <v>12</v>
      </c>
      <c r="I1992" s="107">
        <v>0</v>
      </c>
      <c r="J1992" s="107">
        <f t="shared" si="31"/>
        <v>0.6</v>
      </c>
      <c r="K1992" s="107">
        <v>4030</v>
      </c>
      <c r="L1992" s="107">
        <v>1836</v>
      </c>
      <c r="M1992" s="107">
        <v>254</v>
      </c>
      <c r="N1992" s="107"/>
      <c r="O1992" s="107"/>
    </row>
    <row r="1993" spans="1:15" x14ac:dyDescent="0.15">
      <c r="A1993" s="107">
        <v>1694</v>
      </c>
      <c r="B1993" s="107" t="s">
        <v>261</v>
      </c>
      <c r="C1993" s="107" t="s">
        <v>271</v>
      </c>
      <c r="D1993" s="107">
        <v>4</v>
      </c>
      <c r="E1993" s="107" t="s">
        <v>193</v>
      </c>
      <c r="F1993" s="107" t="s">
        <v>667</v>
      </c>
      <c r="G1993" s="107">
        <v>2</v>
      </c>
      <c r="H1993" s="107">
        <v>0</v>
      </c>
      <c r="I1993" s="107">
        <v>0</v>
      </c>
      <c r="J1993" s="107">
        <f t="shared" si="31"/>
        <v>0.5</v>
      </c>
      <c r="K1993" s="107">
        <v>4032</v>
      </c>
      <c r="L1993" s="107">
        <v>1839</v>
      </c>
      <c r="M1993" s="107">
        <v>253</v>
      </c>
      <c r="N1993" s="107"/>
      <c r="O1993" s="107"/>
    </row>
    <row r="1994" spans="1:15" x14ac:dyDescent="0.15">
      <c r="A1994" s="107">
        <v>1696</v>
      </c>
      <c r="B1994" s="107" t="s">
        <v>244</v>
      </c>
      <c r="C1994" s="107" t="s">
        <v>271</v>
      </c>
      <c r="D1994" s="107">
        <v>2</v>
      </c>
      <c r="E1994" s="107" t="s">
        <v>193</v>
      </c>
      <c r="F1994" s="107" t="s">
        <v>667</v>
      </c>
      <c r="G1994" s="107">
        <v>0</v>
      </c>
      <c r="H1994" s="107">
        <v>12</v>
      </c>
      <c r="I1994" s="107">
        <v>0</v>
      </c>
      <c r="J1994" s="107">
        <f t="shared" si="31"/>
        <v>0.3</v>
      </c>
      <c r="K1994" s="107">
        <v>4037</v>
      </c>
      <c r="L1994" s="107">
        <v>1844</v>
      </c>
      <c r="M1994" s="107">
        <v>1382</v>
      </c>
      <c r="N1994" s="107"/>
      <c r="O1994" s="107"/>
    </row>
    <row r="1995" spans="1:15" x14ac:dyDescent="0.15">
      <c r="A1995" s="107">
        <v>1698</v>
      </c>
      <c r="B1995" s="107" t="s">
        <v>200</v>
      </c>
      <c r="C1995" s="107" t="s">
        <v>271</v>
      </c>
      <c r="D1995" s="107">
        <v>5</v>
      </c>
      <c r="E1995" s="107" t="s">
        <v>193</v>
      </c>
      <c r="F1995" s="107" t="s">
        <v>667</v>
      </c>
      <c r="G1995" s="107">
        <v>1</v>
      </c>
      <c r="H1995" s="107">
        <v>15</v>
      </c>
      <c r="I1995" s="107">
        <v>0</v>
      </c>
      <c r="J1995" s="107">
        <f t="shared" si="31"/>
        <v>0.35</v>
      </c>
      <c r="K1995" s="107">
        <v>4043</v>
      </c>
      <c r="L1995" s="107">
        <v>1851</v>
      </c>
      <c r="M1995" s="107">
        <v>830</v>
      </c>
      <c r="N1995" s="107"/>
      <c r="O1995" s="107"/>
    </row>
    <row r="1996" spans="1:15" x14ac:dyDescent="0.15">
      <c r="A1996" s="107">
        <v>1699</v>
      </c>
      <c r="B1996" s="107" t="s">
        <v>197</v>
      </c>
      <c r="C1996" s="107" t="s">
        <v>271</v>
      </c>
      <c r="D1996" s="107">
        <v>2</v>
      </c>
      <c r="E1996" s="107" t="s">
        <v>193</v>
      </c>
      <c r="F1996" s="107" t="s">
        <v>667</v>
      </c>
      <c r="G1996" s="107">
        <v>0</v>
      </c>
      <c r="H1996" s="107">
        <v>14</v>
      </c>
      <c r="I1996" s="107">
        <v>0</v>
      </c>
      <c r="J1996" s="107">
        <f t="shared" si="31"/>
        <v>0.35</v>
      </c>
      <c r="K1996" s="107">
        <v>4043</v>
      </c>
      <c r="L1996" s="107">
        <v>1851</v>
      </c>
      <c r="M1996" s="107">
        <v>852</v>
      </c>
      <c r="N1996" s="107"/>
      <c r="O1996" s="107"/>
    </row>
    <row r="1997" spans="1:15" x14ac:dyDescent="0.15">
      <c r="A1997" s="107">
        <v>1700</v>
      </c>
      <c r="B1997" s="107" t="s">
        <v>200</v>
      </c>
      <c r="C1997" s="107" t="s">
        <v>271</v>
      </c>
      <c r="D1997" s="107">
        <v>4</v>
      </c>
      <c r="E1997" s="107" t="s">
        <v>193</v>
      </c>
      <c r="F1997" s="107" t="s">
        <v>667</v>
      </c>
      <c r="G1997" s="107">
        <v>1</v>
      </c>
      <c r="H1997" s="107">
        <v>8</v>
      </c>
      <c r="I1997" s="107">
        <v>0</v>
      </c>
      <c r="J1997" s="107">
        <f t="shared" si="31"/>
        <v>0.35</v>
      </c>
      <c r="K1997" s="107">
        <v>4047</v>
      </c>
      <c r="L1997" s="107">
        <v>1855</v>
      </c>
      <c r="M1997" s="107">
        <v>525</v>
      </c>
      <c r="N1997" s="107" t="s">
        <v>272</v>
      </c>
      <c r="O1997" s="107"/>
    </row>
    <row r="1998" spans="1:15" x14ac:dyDescent="0.15">
      <c r="A1998" s="107">
        <v>1700</v>
      </c>
      <c r="B1998" s="107" t="s">
        <v>236</v>
      </c>
      <c r="C1998" s="107" t="s">
        <v>271</v>
      </c>
      <c r="D1998" s="107">
        <v>9</v>
      </c>
      <c r="E1998" s="107" t="s">
        <v>193</v>
      </c>
      <c r="F1998" s="107" t="s">
        <v>667</v>
      </c>
      <c r="G1998" s="107">
        <v>3</v>
      </c>
      <c r="H1998" s="107">
        <v>3</v>
      </c>
      <c r="I1998" s="107">
        <v>9</v>
      </c>
      <c r="J1998" s="107">
        <f t="shared" si="31"/>
        <v>0.35312500000000002</v>
      </c>
      <c r="K1998" s="107">
        <v>4047</v>
      </c>
      <c r="L1998" s="107">
        <v>1855</v>
      </c>
      <c r="M1998" s="107">
        <v>553</v>
      </c>
      <c r="N1998" s="107" t="s">
        <v>273</v>
      </c>
      <c r="O1998" s="107"/>
    </row>
    <row r="1999" spans="1:15" x14ac:dyDescent="0.15">
      <c r="A1999" s="107">
        <v>1701</v>
      </c>
      <c r="B1999" s="107" t="s">
        <v>197</v>
      </c>
      <c r="C1999" s="107" t="s">
        <v>271</v>
      </c>
      <c r="D1999" s="107">
        <v>4</v>
      </c>
      <c r="E1999" s="107" t="s">
        <v>193</v>
      </c>
      <c r="F1999" s="107" t="s">
        <v>667</v>
      </c>
      <c r="G1999" s="107">
        <v>1</v>
      </c>
      <c r="H1999" s="107">
        <v>8</v>
      </c>
      <c r="I1999" s="107">
        <v>0</v>
      </c>
      <c r="J1999" s="107">
        <f t="shared" si="31"/>
        <v>0.35</v>
      </c>
      <c r="K1999" s="107">
        <v>4047</v>
      </c>
      <c r="L1999" s="107">
        <v>1855</v>
      </c>
      <c r="M1999" s="107">
        <v>556</v>
      </c>
      <c r="N1999" s="107" t="s">
        <v>294</v>
      </c>
      <c r="O1999" s="107"/>
    </row>
    <row r="2000" spans="1:15" x14ac:dyDescent="0.15">
      <c r="A2000" s="107">
        <v>1655</v>
      </c>
      <c r="B2000" s="107" t="s">
        <v>196</v>
      </c>
      <c r="C2000" s="107" t="s">
        <v>274</v>
      </c>
      <c r="D2000" s="107">
        <v>1</v>
      </c>
      <c r="E2000" s="107" t="s">
        <v>324</v>
      </c>
      <c r="F2000" s="107" t="s">
        <v>668</v>
      </c>
      <c r="G2000" s="107">
        <v>90</v>
      </c>
      <c r="H2000" s="107">
        <v>0</v>
      </c>
      <c r="I2000" s="107">
        <v>0</v>
      </c>
      <c r="J2000" s="107">
        <f t="shared" si="31"/>
        <v>90</v>
      </c>
      <c r="K2000" s="107">
        <v>3990</v>
      </c>
      <c r="L2000" s="107">
        <v>1788</v>
      </c>
      <c r="M2000" s="107">
        <v>206</v>
      </c>
      <c r="N2000" s="107" t="s">
        <v>288</v>
      </c>
      <c r="O2000" s="107" t="s">
        <v>277</v>
      </c>
    </row>
    <row r="2001" spans="1:15" x14ac:dyDescent="0.15">
      <c r="A2001" s="107">
        <v>1655</v>
      </c>
      <c r="B2001" s="107" t="s">
        <v>247</v>
      </c>
      <c r="C2001" s="107" t="s">
        <v>274</v>
      </c>
      <c r="D2001" s="107">
        <v>1</v>
      </c>
      <c r="E2001" s="107" t="s">
        <v>324</v>
      </c>
      <c r="F2001" s="107" t="s">
        <v>668</v>
      </c>
      <c r="G2001" s="107">
        <v>90</v>
      </c>
      <c r="H2001" s="107">
        <v>0</v>
      </c>
      <c r="I2001" s="107">
        <v>0</v>
      </c>
      <c r="J2001" s="107">
        <f t="shared" si="31"/>
        <v>90</v>
      </c>
      <c r="K2001" s="107">
        <v>3990</v>
      </c>
      <c r="L2001" s="107">
        <v>1788</v>
      </c>
      <c r="M2001" s="107">
        <v>207</v>
      </c>
      <c r="N2001" s="107" t="s">
        <v>276</v>
      </c>
      <c r="O2001" s="107" t="s">
        <v>277</v>
      </c>
    </row>
    <row r="2002" spans="1:15" x14ac:dyDescent="0.15">
      <c r="A2002" s="107">
        <v>1655</v>
      </c>
      <c r="B2002" s="107" t="s">
        <v>197</v>
      </c>
      <c r="C2002" s="107" t="s">
        <v>274</v>
      </c>
      <c r="D2002" s="107">
        <v>1</v>
      </c>
      <c r="E2002" s="107" t="s">
        <v>324</v>
      </c>
      <c r="F2002" s="107" t="s">
        <v>668</v>
      </c>
      <c r="G2002" s="107">
        <v>90</v>
      </c>
      <c r="H2002" s="107">
        <v>0</v>
      </c>
      <c r="I2002" s="107">
        <v>0</v>
      </c>
      <c r="J2002" s="107">
        <f t="shared" si="31"/>
        <v>90</v>
      </c>
      <c r="K2002" s="107">
        <v>3990</v>
      </c>
      <c r="L2002" s="107">
        <v>1788</v>
      </c>
      <c r="M2002" s="107">
        <v>209</v>
      </c>
      <c r="N2002" s="107" t="s">
        <v>281</v>
      </c>
      <c r="O2002" s="107" t="s">
        <v>282</v>
      </c>
    </row>
    <row r="2003" spans="1:15" x14ac:dyDescent="0.15">
      <c r="A2003" s="107">
        <v>1655</v>
      </c>
      <c r="B2003" s="107" t="s">
        <v>192</v>
      </c>
      <c r="C2003" s="107" t="s">
        <v>274</v>
      </c>
      <c r="D2003" s="107">
        <v>1</v>
      </c>
      <c r="E2003" s="107" t="s">
        <v>324</v>
      </c>
      <c r="F2003" s="107" t="s">
        <v>668</v>
      </c>
      <c r="G2003" s="107">
        <v>90</v>
      </c>
      <c r="H2003" s="107">
        <v>0</v>
      </c>
      <c r="I2003" s="107">
        <v>0</v>
      </c>
      <c r="J2003" s="107">
        <f t="shared" si="31"/>
        <v>90</v>
      </c>
      <c r="K2003" s="107">
        <v>3990</v>
      </c>
      <c r="L2003" s="107">
        <v>1788</v>
      </c>
      <c r="M2003" s="107">
        <v>227</v>
      </c>
      <c r="N2003" s="107" t="s">
        <v>287</v>
      </c>
      <c r="O2003" s="107" t="s">
        <v>507</v>
      </c>
    </row>
    <row r="2004" spans="1:15" x14ac:dyDescent="0.15">
      <c r="A2004" s="107">
        <v>1655</v>
      </c>
      <c r="B2004" s="107" t="s">
        <v>197</v>
      </c>
      <c r="C2004" s="107" t="s">
        <v>274</v>
      </c>
      <c r="D2004" s="107">
        <v>10</v>
      </c>
      <c r="E2004" s="107" t="s">
        <v>324</v>
      </c>
      <c r="F2004" s="107" t="s">
        <v>668</v>
      </c>
      <c r="G2004" s="107">
        <v>360</v>
      </c>
      <c r="H2004" s="107">
        <v>0</v>
      </c>
      <c r="I2004" s="107">
        <v>0</v>
      </c>
      <c r="J2004" s="107">
        <f t="shared" si="31"/>
        <v>36</v>
      </c>
      <c r="K2004" s="107">
        <v>3990</v>
      </c>
      <c r="L2004" s="107">
        <v>1788</v>
      </c>
      <c r="M2004" s="107">
        <v>149</v>
      </c>
      <c r="N2004" s="107"/>
      <c r="O2004" s="107"/>
    </row>
    <row r="2005" spans="1:15" x14ac:dyDescent="0.15">
      <c r="A2005" s="107">
        <v>1656</v>
      </c>
      <c r="B2005" s="107" t="s">
        <v>244</v>
      </c>
      <c r="C2005" s="107" t="s">
        <v>274</v>
      </c>
      <c r="D2005" s="107">
        <v>6</v>
      </c>
      <c r="E2005" s="107" t="s">
        <v>193</v>
      </c>
      <c r="F2005" s="107" t="s">
        <v>668</v>
      </c>
      <c r="G2005" s="107">
        <v>1</v>
      </c>
      <c r="H2005" s="107">
        <v>16</v>
      </c>
      <c r="I2005" s="107">
        <v>0</v>
      </c>
      <c r="J2005" s="107">
        <f t="shared" si="31"/>
        <v>0.3</v>
      </c>
      <c r="K2005" s="107">
        <v>3991</v>
      </c>
      <c r="L2005" s="107">
        <v>1788</v>
      </c>
      <c r="M2005" s="107">
        <v>162</v>
      </c>
      <c r="N2005" s="107"/>
      <c r="O2005" s="107"/>
    </row>
    <row r="2006" spans="1:15" x14ac:dyDescent="0.15">
      <c r="A2006" s="107">
        <v>1657</v>
      </c>
      <c r="B2006" s="107" t="s">
        <v>197</v>
      </c>
      <c r="C2006" s="107" t="s">
        <v>274</v>
      </c>
      <c r="D2006" s="107">
        <v>19</v>
      </c>
      <c r="E2006" s="107" t="s">
        <v>193</v>
      </c>
      <c r="F2006" s="107" t="s">
        <v>668</v>
      </c>
      <c r="G2006" s="107">
        <v>5</v>
      </c>
      <c r="H2006" s="107">
        <v>18</v>
      </c>
      <c r="I2006" s="107">
        <v>0</v>
      </c>
      <c r="J2006" s="107">
        <f t="shared" si="31"/>
        <v>0.31052631578947371</v>
      </c>
      <c r="K2006" s="107">
        <v>3992</v>
      </c>
      <c r="L2006" s="107">
        <v>1789</v>
      </c>
      <c r="M2006" s="107">
        <v>228</v>
      </c>
      <c r="N2006" s="107"/>
      <c r="O2006" s="107"/>
    </row>
    <row r="2007" spans="1:15" x14ac:dyDescent="0.15">
      <c r="A2007" s="107">
        <v>1660</v>
      </c>
      <c r="B2007" s="107" t="s">
        <v>186</v>
      </c>
      <c r="C2007" s="107" t="s">
        <v>274</v>
      </c>
      <c r="D2007" s="107">
        <v>909.5</v>
      </c>
      <c r="E2007" s="107" t="s">
        <v>193</v>
      </c>
      <c r="F2007" s="107" t="s">
        <v>668</v>
      </c>
      <c r="G2007" s="107">
        <v>272</v>
      </c>
      <c r="H2007" s="107">
        <v>17</v>
      </c>
      <c r="I2007" s="107">
        <v>0</v>
      </c>
      <c r="J2007" s="107">
        <f t="shared" si="31"/>
        <v>0.30000000000000004</v>
      </c>
      <c r="K2007" s="107">
        <v>3995</v>
      </c>
      <c r="L2007" s="107">
        <v>1793</v>
      </c>
      <c r="M2007" s="107">
        <v>230</v>
      </c>
      <c r="N2007" s="107"/>
      <c r="O2007" s="107"/>
    </row>
    <row r="2008" spans="1:15" x14ac:dyDescent="0.15">
      <c r="A2008" s="107">
        <v>1661</v>
      </c>
      <c r="B2008" s="107" t="s">
        <v>260</v>
      </c>
      <c r="C2008" s="107" t="s">
        <v>274</v>
      </c>
      <c r="D2008" s="107">
        <v>26</v>
      </c>
      <c r="E2008" s="107" t="s">
        <v>193</v>
      </c>
      <c r="F2008" s="107" t="s">
        <v>668</v>
      </c>
      <c r="G2008" s="107">
        <v>7</v>
      </c>
      <c r="H2008" s="107">
        <v>16</v>
      </c>
      <c r="I2008" s="107">
        <v>0</v>
      </c>
      <c r="J2008" s="107">
        <f t="shared" si="31"/>
        <v>0.3</v>
      </c>
      <c r="K2008" s="107">
        <v>3996</v>
      </c>
      <c r="L2008" s="107">
        <v>1794</v>
      </c>
      <c r="M2008" s="107" t="s">
        <v>290</v>
      </c>
      <c r="N2008" s="107"/>
      <c r="O2008" s="107"/>
    </row>
    <row r="2009" spans="1:15" x14ac:dyDescent="0.15">
      <c r="A2009" s="107">
        <v>1662</v>
      </c>
      <c r="B2009" s="107" t="s">
        <v>261</v>
      </c>
      <c r="C2009" s="107" t="s">
        <v>274</v>
      </c>
      <c r="D2009" s="107">
        <v>15</v>
      </c>
      <c r="E2009" s="107" t="s">
        <v>193</v>
      </c>
      <c r="F2009" s="107" t="s">
        <v>668</v>
      </c>
      <c r="G2009" s="107">
        <v>4</v>
      </c>
      <c r="H2009" s="107">
        <v>10</v>
      </c>
      <c r="I2009" s="107">
        <v>0</v>
      </c>
      <c r="J2009" s="107">
        <f t="shared" si="31"/>
        <v>0.3</v>
      </c>
      <c r="K2009" s="107">
        <v>3997</v>
      </c>
      <c r="L2009" s="107">
        <v>1795</v>
      </c>
      <c r="M2009" s="107" t="s">
        <v>290</v>
      </c>
      <c r="N2009" s="107"/>
      <c r="O2009" s="107"/>
    </row>
    <row r="2010" spans="1:15" x14ac:dyDescent="0.15">
      <c r="A2010" s="107">
        <v>1663</v>
      </c>
      <c r="B2010" s="107" t="s">
        <v>197</v>
      </c>
      <c r="C2010" s="107" t="s">
        <v>274</v>
      </c>
      <c r="D2010" s="107">
        <v>25</v>
      </c>
      <c r="E2010" s="107" t="s">
        <v>324</v>
      </c>
      <c r="F2010" s="107" t="s">
        <v>668</v>
      </c>
      <c r="G2010" s="107">
        <v>1875</v>
      </c>
      <c r="H2010" s="107">
        <v>0</v>
      </c>
      <c r="I2010" s="107">
        <v>0</v>
      </c>
      <c r="J2010" s="107">
        <f t="shared" si="31"/>
        <v>75</v>
      </c>
      <c r="K2010" s="107">
        <v>3998</v>
      </c>
      <c r="L2010" s="107">
        <v>1797</v>
      </c>
      <c r="M2010" s="107" t="s">
        <v>290</v>
      </c>
      <c r="N2010" s="107"/>
      <c r="O2010" s="107"/>
    </row>
    <row r="2011" spans="1:15" x14ac:dyDescent="0.15">
      <c r="A2011" s="107">
        <v>1665</v>
      </c>
      <c r="B2011" s="107" t="s">
        <v>244</v>
      </c>
      <c r="C2011" s="107" t="s">
        <v>274</v>
      </c>
      <c r="D2011" s="107">
        <v>22</v>
      </c>
      <c r="E2011" s="107" t="s">
        <v>193</v>
      </c>
      <c r="F2011" s="107" t="s">
        <v>668</v>
      </c>
      <c r="G2011" s="107">
        <v>6</v>
      </c>
      <c r="H2011" s="107">
        <v>12</v>
      </c>
      <c r="I2011" s="107">
        <v>0</v>
      </c>
      <c r="J2011" s="107">
        <f t="shared" si="31"/>
        <v>0.3</v>
      </c>
      <c r="K2011" s="107">
        <v>4000</v>
      </c>
      <c r="L2011" s="107">
        <v>1798</v>
      </c>
      <c r="M2011" s="107">
        <v>104</v>
      </c>
      <c r="N2011" s="107"/>
      <c r="O2011" s="107"/>
    </row>
    <row r="2012" spans="1:15" x14ac:dyDescent="0.15">
      <c r="A2012" s="107">
        <v>1666</v>
      </c>
      <c r="B2012" s="107" t="s">
        <v>197</v>
      </c>
      <c r="C2012" s="107" t="s">
        <v>274</v>
      </c>
      <c r="D2012" s="107">
        <v>12</v>
      </c>
      <c r="E2012" s="107" t="s">
        <v>324</v>
      </c>
      <c r="F2012" s="107" t="s">
        <v>668</v>
      </c>
      <c r="G2012" s="107">
        <v>672</v>
      </c>
      <c r="H2012" s="107">
        <v>0</v>
      </c>
      <c r="I2012" s="107">
        <v>0</v>
      </c>
      <c r="J2012" s="107">
        <f t="shared" si="31"/>
        <v>56</v>
      </c>
      <c r="K2012" s="107">
        <v>4001</v>
      </c>
      <c r="L2012" s="107">
        <v>1800</v>
      </c>
      <c r="M2012" s="107">
        <v>40</v>
      </c>
      <c r="N2012" s="107"/>
      <c r="O2012" s="107"/>
    </row>
    <row r="2013" spans="1:15" x14ac:dyDescent="0.15">
      <c r="A2013" s="107">
        <v>1667</v>
      </c>
      <c r="B2013" s="107" t="s">
        <v>197</v>
      </c>
      <c r="C2013" s="107" t="s">
        <v>274</v>
      </c>
      <c r="D2013" s="107">
        <v>10.75</v>
      </c>
      <c r="E2013" s="107" t="s">
        <v>324</v>
      </c>
      <c r="F2013" s="107" t="s">
        <v>668</v>
      </c>
      <c r="G2013" s="107">
        <v>602</v>
      </c>
      <c r="H2013" s="107">
        <v>0</v>
      </c>
      <c r="I2013" s="107">
        <v>0</v>
      </c>
      <c r="J2013" s="107">
        <f t="shared" si="31"/>
        <v>56</v>
      </c>
      <c r="K2013" s="107">
        <v>4002</v>
      </c>
      <c r="L2013" s="107">
        <v>1802</v>
      </c>
      <c r="M2013" s="107">
        <v>761</v>
      </c>
      <c r="N2013" s="107"/>
      <c r="O2013" s="107"/>
    </row>
    <row r="2014" spans="1:15" x14ac:dyDescent="0.15">
      <c r="A2014" s="107">
        <v>1668</v>
      </c>
      <c r="B2014" s="107" t="s">
        <v>197</v>
      </c>
      <c r="C2014" s="107" t="s">
        <v>274</v>
      </c>
      <c r="D2014" s="107">
        <v>806</v>
      </c>
      <c r="E2014" s="107" t="s">
        <v>193</v>
      </c>
      <c r="F2014" s="107" t="s">
        <v>668</v>
      </c>
      <c r="G2014" s="107">
        <v>241</v>
      </c>
      <c r="H2014" s="107">
        <v>16</v>
      </c>
      <c r="I2014" s="107">
        <v>0</v>
      </c>
      <c r="J2014" s="107">
        <f t="shared" si="31"/>
        <v>0.3</v>
      </c>
      <c r="K2014" s="107">
        <v>4003</v>
      </c>
      <c r="L2014" s="107">
        <v>1802</v>
      </c>
      <c r="M2014" s="107">
        <v>42</v>
      </c>
      <c r="N2014" s="107"/>
      <c r="O2014" s="107"/>
    </row>
    <row r="2015" spans="1:15" x14ac:dyDescent="0.15">
      <c r="A2015" s="107">
        <v>1669</v>
      </c>
      <c r="B2015" s="107" t="s">
        <v>196</v>
      </c>
      <c r="C2015" s="107" t="s">
        <v>274</v>
      </c>
      <c r="D2015" s="107">
        <v>127</v>
      </c>
      <c r="E2015" s="107" t="s">
        <v>193</v>
      </c>
      <c r="F2015" s="107" t="s">
        <v>668</v>
      </c>
      <c r="G2015" s="107">
        <v>38</v>
      </c>
      <c r="H2015" s="107">
        <v>2</v>
      </c>
      <c r="I2015" s="107">
        <v>0</v>
      </c>
      <c r="J2015" s="107">
        <f t="shared" si="31"/>
        <v>0.3</v>
      </c>
      <c r="K2015" s="107">
        <v>4004</v>
      </c>
      <c r="L2015" s="107">
        <v>1805</v>
      </c>
      <c r="M2015" s="107">
        <v>570</v>
      </c>
      <c r="N2015" s="107"/>
      <c r="O2015" s="107"/>
    </row>
    <row r="2016" spans="1:15" x14ac:dyDescent="0.15">
      <c r="A2016" s="107">
        <v>1670</v>
      </c>
      <c r="B2016" s="107" t="s">
        <v>197</v>
      </c>
      <c r="C2016" s="107" t="s">
        <v>274</v>
      </c>
      <c r="D2016" s="107">
        <v>2</v>
      </c>
      <c r="E2016" s="107" t="s">
        <v>324</v>
      </c>
      <c r="F2016" s="107" t="s">
        <v>668</v>
      </c>
      <c r="G2016" s="107">
        <v>200</v>
      </c>
      <c r="H2016" s="107">
        <v>0</v>
      </c>
      <c r="I2016" s="107">
        <v>0</v>
      </c>
      <c r="J2016" s="107">
        <f t="shared" si="31"/>
        <v>100</v>
      </c>
      <c r="K2016" s="107">
        <v>4006</v>
      </c>
      <c r="L2016" s="107">
        <v>1808</v>
      </c>
      <c r="M2016" s="107">
        <v>635</v>
      </c>
      <c r="N2016" s="107"/>
      <c r="O2016" s="107"/>
    </row>
    <row r="2017" spans="1:14" x14ac:dyDescent="0.15">
      <c r="A2017" s="107">
        <v>1671</v>
      </c>
      <c r="B2017" s="107" t="s">
        <v>197</v>
      </c>
      <c r="C2017" s="107" t="s">
        <v>274</v>
      </c>
      <c r="D2017" s="107">
        <v>2</v>
      </c>
      <c r="E2017" s="107" t="s">
        <v>193</v>
      </c>
      <c r="F2017" s="107" t="s">
        <v>668</v>
      </c>
      <c r="G2017" s="107">
        <v>0</v>
      </c>
      <c r="H2017" s="107">
        <v>12</v>
      </c>
      <c r="I2017" s="107">
        <v>0</v>
      </c>
      <c r="J2017" s="107">
        <f t="shared" si="31"/>
        <v>0.3</v>
      </c>
      <c r="K2017" s="107">
        <v>4008</v>
      </c>
      <c r="L2017" s="107">
        <v>1810</v>
      </c>
      <c r="M2017" s="107">
        <v>410</v>
      </c>
      <c r="N2017" s="107"/>
    </row>
    <row r="2018" spans="1:14" x14ac:dyDescent="0.15">
      <c r="A2018" s="107">
        <v>1672</v>
      </c>
      <c r="B2018" s="107" t="s">
        <v>196</v>
      </c>
      <c r="C2018" s="107" t="s">
        <v>274</v>
      </c>
      <c r="D2018" s="107">
        <v>6</v>
      </c>
      <c r="E2018" s="107" t="s">
        <v>324</v>
      </c>
      <c r="F2018" s="107" t="s">
        <v>668</v>
      </c>
      <c r="G2018" s="107">
        <v>540</v>
      </c>
      <c r="H2018" s="107">
        <v>0</v>
      </c>
      <c r="I2018" s="107">
        <v>0</v>
      </c>
      <c r="J2018" s="107">
        <f t="shared" si="31"/>
        <v>90</v>
      </c>
      <c r="K2018" s="107">
        <v>4008</v>
      </c>
      <c r="L2018" s="107">
        <v>1810</v>
      </c>
      <c r="M2018" s="107">
        <v>511</v>
      </c>
      <c r="N2018" s="107"/>
    </row>
    <row r="2019" spans="1:14" x14ac:dyDescent="0.15">
      <c r="A2019" s="107">
        <v>1673</v>
      </c>
      <c r="B2019" s="107" t="s">
        <v>197</v>
      </c>
      <c r="C2019" s="107" t="s">
        <v>274</v>
      </c>
      <c r="D2019" s="107">
        <v>119.11111111111111</v>
      </c>
      <c r="E2019" s="107" t="s">
        <v>193</v>
      </c>
      <c r="F2019" s="107" t="s">
        <v>668</v>
      </c>
      <c r="G2019" s="107">
        <v>35</v>
      </c>
      <c r="H2019" s="107">
        <v>17</v>
      </c>
      <c r="I2019" s="107">
        <v>0</v>
      </c>
      <c r="J2019" s="107">
        <f t="shared" si="31"/>
        <v>0.30097947761194033</v>
      </c>
      <c r="K2019" s="107">
        <v>4010</v>
      </c>
      <c r="L2019" s="107">
        <v>1812</v>
      </c>
      <c r="M2019" s="107">
        <v>548</v>
      </c>
      <c r="N2019" s="107"/>
    </row>
    <row r="2020" spans="1:14" x14ac:dyDescent="0.15">
      <c r="A2020" s="107">
        <v>1674</v>
      </c>
      <c r="B2020" s="107" t="s">
        <v>197</v>
      </c>
      <c r="C2020" s="107" t="s">
        <v>274</v>
      </c>
      <c r="D2020" s="107">
        <v>6</v>
      </c>
      <c r="E2020" s="107" t="s">
        <v>193</v>
      </c>
      <c r="F2020" s="107" t="s">
        <v>668</v>
      </c>
      <c r="G2020" s="107">
        <v>1</v>
      </c>
      <c r="H2020" s="107">
        <v>16</v>
      </c>
      <c r="I2020" s="107">
        <v>0</v>
      </c>
      <c r="J2020" s="107">
        <f t="shared" si="31"/>
        <v>0.3</v>
      </c>
      <c r="K2020" s="107">
        <v>4011</v>
      </c>
      <c r="L2020" s="107">
        <v>1814</v>
      </c>
      <c r="M2020" s="107">
        <v>595</v>
      </c>
      <c r="N2020" s="107" t="s">
        <v>294</v>
      </c>
    </row>
    <row r="2021" spans="1:14" x14ac:dyDescent="0.15">
      <c r="A2021" s="107">
        <v>1676</v>
      </c>
      <c r="B2021" s="107" t="s">
        <v>197</v>
      </c>
      <c r="C2021" s="107" t="s">
        <v>274</v>
      </c>
      <c r="D2021" s="107">
        <v>66</v>
      </c>
      <c r="E2021" s="107" t="s">
        <v>193</v>
      </c>
      <c r="F2021" s="107" t="s">
        <v>668</v>
      </c>
      <c r="G2021" s="107">
        <v>19</v>
      </c>
      <c r="H2021" s="107">
        <v>16</v>
      </c>
      <c r="I2021" s="107">
        <v>0</v>
      </c>
      <c r="J2021" s="107">
        <f t="shared" si="31"/>
        <v>0.3</v>
      </c>
      <c r="K2021" s="107">
        <v>4012</v>
      </c>
      <c r="L2021" s="107">
        <v>1814</v>
      </c>
      <c r="M2021" s="107">
        <v>426</v>
      </c>
      <c r="N2021" s="107"/>
    </row>
    <row r="2022" spans="1:14" x14ac:dyDescent="0.15">
      <c r="A2022" s="107">
        <v>1677</v>
      </c>
      <c r="B2022" s="107" t="s">
        <v>197</v>
      </c>
      <c r="C2022" s="107" t="s">
        <v>274</v>
      </c>
      <c r="D2022" s="107">
        <v>4</v>
      </c>
      <c r="E2022" s="107" t="s">
        <v>324</v>
      </c>
      <c r="F2022" s="107" t="s">
        <v>668</v>
      </c>
      <c r="G2022" s="107">
        <v>360</v>
      </c>
      <c r="H2022" s="107">
        <v>0</v>
      </c>
      <c r="I2022" s="107">
        <v>0</v>
      </c>
      <c r="J2022" s="107">
        <f t="shared" si="31"/>
        <v>90</v>
      </c>
      <c r="K2022" s="107">
        <v>4013</v>
      </c>
      <c r="L2022" s="107">
        <v>1816</v>
      </c>
      <c r="M2022" s="107">
        <v>742</v>
      </c>
      <c r="N2022" s="107"/>
    </row>
    <row r="2023" spans="1:14" x14ac:dyDescent="0.15">
      <c r="A2023" s="107">
        <v>1681</v>
      </c>
      <c r="B2023" s="107" t="s">
        <v>197</v>
      </c>
      <c r="C2023" s="107" t="s">
        <v>271</v>
      </c>
      <c r="D2023" s="107">
        <v>50</v>
      </c>
      <c r="E2023" s="107" t="s">
        <v>193</v>
      </c>
      <c r="F2023" s="107" t="s">
        <v>668</v>
      </c>
      <c r="G2023" s="107">
        <v>15</v>
      </c>
      <c r="H2023" s="107">
        <v>0</v>
      </c>
      <c r="I2023" s="107">
        <v>0</v>
      </c>
      <c r="J2023" s="107">
        <f t="shared" si="31"/>
        <v>0.3</v>
      </c>
      <c r="K2023" s="107">
        <v>4017</v>
      </c>
      <c r="L2023" s="107">
        <v>1819</v>
      </c>
      <c r="M2023" s="107">
        <v>426</v>
      </c>
      <c r="N2023" s="107"/>
    </row>
    <row r="2024" spans="1:14" x14ac:dyDescent="0.15">
      <c r="A2024" s="107">
        <v>1682</v>
      </c>
      <c r="B2024" s="107" t="s">
        <v>197</v>
      </c>
      <c r="C2024" s="107" t="s">
        <v>271</v>
      </c>
      <c r="D2024" s="107">
        <v>42</v>
      </c>
      <c r="E2024" s="107" t="s">
        <v>193</v>
      </c>
      <c r="F2024" s="107" t="s">
        <v>668</v>
      </c>
      <c r="G2024" s="107">
        <v>12</v>
      </c>
      <c r="H2024" s="107">
        <v>12</v>
      </c>
      <c r="I2024" s="107">
        <v>0</v>
      </c>
      <c r="J2024" s="107">
        <f t="shared" si="31"/>
        <v>0.3</v>
      </c>
      <c r="K2024" s="107">
        <v>4018</v>
      </c>
      <c r="L2024" s="107">
        <v>1820</v>
      </c>
      <c r="M2024" s="107">
        <v>756</v>
      </c>
      <c r="N2024" s="107" t="s">
        <v>294</v>
      </c>
    </row>
    <row r="2025" spans="1:14" x14ac:dyDescent="0.15">
      <c r="A2025" s="107">
        <v>1683</v>
      </c>
      <c r="B2025" s="107" t="s">
        <v>197</v>
      </c>
      <c r="C2025" s="107" t="s">
        <v>271</v>
      </c>
      <c r="D2025" s="107">
        <v>4</v>
      </c>
      <c r="E2025" s="107" t="s">
        <v>193</v>
      </c>
      <c r="F2025" s="107" t="s">
        <v>668</v>
      </c>
      <c r="G2025" s="107">
        <v>1</v>
      </c>
      <c r="H2025" s="107">
        <v>4</v>
      </c>
      <c r="I2025" s="107">
        <v>0</v>
      </c>
      <c r="J2025" s="107">
        <f t="shared" si="31"/>
        <v>0.3</v>
      </c>
      <c r="K2025" s="107">
        <v>4019</v>
      </c>
      <c r="L2025" s="107">
        <v>1822</v>
      </c>
      <c r="M2025" s="107">
        <v>600</v>
      </c>
      <c r="N2025" s="107"/>
    </row>
    <row r="2026" spans="1:14" x14ac:dyDescent="0.15">
      <c r="A2026" s="107">
        <v>1684</v>
      </c>
      <c r="B2026" s="107" t="s">
        <v>197</v>
      </c>
      <c r="C2026" s="107" t="s">
        <v>271</v>
      </c>
      <c r="D2026" s="107">
        <v>76</v>
      </c>
      <c r="E2026" s="107" t="s">
        <v>193</v>
      </c>
      <c r="F2026" s="107" t="s">
        <v>668</v>
      </c>
      <c r="G2026" s="107">
        <v>22</v>
      </c>
      <c r="H2026" s="107">
        <v>16</v>
      </c>
      <c r="I2026" s="107">
        <v>0</v>
      </c>
      <c r="J2026" s="107">
        <f t="shared" si="31"/>
        <v>0.3</v>
      </c>
      <c r="K2026" s="107">
        <v>4021</v>
      </c>
      <c r="L2026" s="107">
        <v>1825</v>
      </c>
      <c r="M2026" s="107">
        <v>666</v>
      </c>
      <c r="N2026" s="107"/>
    </row>
    <row r="2027" spans="1:14" x14ac:dyDescent="0.15">
      <c r="A2027" s="107">
        <v>1685</v>
      </c>
      <c r="B2027" s="107" t="s">
        <v>196</v>
      </c>
      <c r="C2027" s="107" t="s">
        <v>271</v>
      </c>
      <c r="D2027" s="107">
        <v>1</v>
      </c>
      <c r="E2027" s="107" t="s">
        <v>351</v>
      </c>
      <c r="F2027" s="107" t="s">
        <v>668</v>
      </c>
      <c r="G2027" s="107">
        <v>105</v>
      </c>
      <c r="H2027" s="107">
        <v>0</v>
      </c>
      <c r="I2027" s="107">
        <v>0</v>
      </c>
      <c r="J2027" s="107">
        <f t="shared" si="31"/>
        <v>105</v>
      </c>
      <c r="K2027" s="107">
        <v>4022</v>
      </c>
      <c r="L2027" s="107">
        <v>1827</v>
      </c>
      <c r="M2027" s="107">
        <v>601</v>
      </c>
      <c r="N2027" s="107"/>
    </row>
    <row r="2028" spans="1:14" x14ac:dyDescent="0.15">
      <c r="A2028" s="107">
        <v>1686</v>
      </c>
      <c r="B2028" s="107" t="s">
        <v>197</v>
      </c>
      <c r="C2028" s="107" t="s">
        <v>271</v>
      </c>
      <c r="D2028" s="107">
        <v>7.5</v>
      </c>
      <c r="E2028" s="107" t="s">
        <v>193</v>
      </c>
      <c r="F2028" s="107" t="s">
        <v>668</v>
      </c>
      <c r="G2028" s="107">
        <v>2</v>
      </c>
      <c r="H2028" s="107">
        <v>5</v>
      </c>
      <c r="I2028" s="107">
        <v>0</v>
      </c>
      <c r="J2028" s="107">
        <f t="shared" si="31"/>
        <v>0.3</v>
      </c>
      <c r="K2028" s="107">
        <v>4023</v>
      </c>
      <c r="L2028" s="107">
        <v>1829</v>
      </c>
      <c r="M2028" s="107">
        <v>706</v>
      </c>
      <c r="N2028" s="107"/>
    </row>
    <row r="2029" spans="1:14" x14ac:dyDescent="0.15">
      <c r="A2029" s="107">
        <v>1689</v>
      </c>
      <c r="B2029" s="107" t="s">
        <v>196</v>
      </c>
      <c r="C2029" s="107" t="s">
        <v>271</v>
      </c>
      <c r="D2029" s="107">
        <v>1</v>
      </c>
      <c r="E2029" s="107" t="s">
        <v>324</v>
      </c>
      <c r="F2029" s="107" t="s">
        <v>668</v>
      </c>
      <c r="G2029" s="107">
        <v>110</v>
      </c>
      <c r="H2029" s="107">
        <v>0</v>
      </c>
      <c r="I2029" s="107">
        <v>0</v>
      </c>
      <c r="J2029" s="107">
        <f t="shared" si="31"/>
        <v>110</v>
      </c>
      <c r="K2029" s="107">
        <v>4027</v>
      </c>
      <c r="L2029" s="107">
        <v>1832</v>
      </c>
      <c r="M2029" s="107">
        <v>488</v>
      </c>
      <c r="N2029" s="107"/>
    </row>
    <row r="2030" spans="1:14" x14ac:dyDescent="0.15">
      <c r="A2030" s="107">
        <v>1690</v>
      </c>
      <c r="B2030" s="107" t="s">
        <v>247</v>
      </c>
      <c r="C2030" s="107" t="s">
        <v>271</v>
      </c>
      <c r="D2030" s="107">
        <v>3</v>
      </c>
      <c r="E2030" s="107" t="s">
        <v>324</v>
      </c>
      <c r="F2030" s="107" t="s">
        <v>668</v>
      </c>
      <c r="G2030" s="107">
        <v>216</v>
      </c>
      <c r="H2030" s="107">
        <v>0</v>
      </c>
      <c r="I2030" s="107">
        <v>0</v>
      </c>
      <c r="J2030" s="107">
        <f t="shared" si="31"/>
        <v>72</v>
      </c>
      <c r="K2030" s="107">
        <v>4028</v>
      </c>
      <c r="L2030" s="107">
        <v>1834</v>
      </c>
      <c r="M2030" s="107">
        <v>398</v>
      </c>
      <c r="N2030" s="107"/>
    </row>
    <row r="2031" spans="1:14" x14ac:dyDescent="0.15">
      <c r="A2031" s="107">
        <v>1691</v>
      </c>
      <c r="B2031" s="107" t="s">
        <v>244</v>
      </c>
      <c r="C2031" s="107" t="s">
        <v>271</v>
      </c>
      <c r="D2031" s="107">
        <v>1</v>
      </c>
      <c r="E2031" s="107" t="s">
        <v>324</v>
      </c>
      <c r="F2031" s="107" t="s">
        <v>668</v>
      </c>
      <c r="G2031" s="107">
        <v>112</v>
      </c>
      <c r="H2031" s="107">
        <v>10</v>
      </c>
      <c r="I2031" s="107">
        <v>0</v>
      </c>
      <c r="J2031" s="107">
        <f t="shared" si="31"/>
        <v>112.5</v>
      </c>
      <c r="K2031" s="107">
        <v>4028</v>
      </c>
      <c r="L2031" s="107">
        <v>1834</v>
      </c>
      <c r="M2031" s="107">
        <v>379</v>
      </c>
      <c r="N2031" s="107"/>
    </row>
    <row r="2032" spans="1:14" x14ac:dyDescent="0.15">
      <c r="A2032" s="107">
        <v>1692</v>
      </c>
      <c r="B2032" s="107" t="s">
        <v>200</v>
      </c>
      <c r="C2032" s="107" t="s">
        <v>271</v>
      </c>
      <c r="D2032" s="107">
        <v>14</v>
      </c>
      <c r="E2032" s="107" t="s">
        <v>193</v>
      </c>
      <c r="F2032" s="107" t="s">
        <v>668</v>
      </c>
      <c r="G2032" s="107">
        <v>5</v>
      </c>
      <c r="H2032" s="107">
        <v>12</v>
      </c>
      <c r="I2032" s="107">
        <v>0</v>
      </c>
      <c r="J2032" s="107">
        <f t="shared" ref="J2032:J2095" si="32">(G2032+H2032/20+I2032/320)/D2032</f>
        <v>0.39999999999999997</v>
      </c>
      <c r="K2032" s="107">
        <v>4030</v>
      </c>
      <c r="L2032" s="107">
        <v>1836</v>
      </c>
      <c r="M2032" s="107">
        <v>240</v>
      </c>
      <c r="N2032" s="107"/>
    </row>
    <row r="2033" spans="1:15" x14ac:dyDescent="0.15">
      <c r="A2033" s="107">
        <v>1693</v>
      </c>
      <c r="B2033" s="107" t="s">
        <v>261</v>
      </c>
      <c r="C2033" s="107" t="s">
        <v>271</v>
      </c>
      <c r="D2033" s="107">
        <v>425</v>
      </c>
      <c r="E2033" s="107" t="s">
        <v>193</v>
      </c>
      <c r="F2033" s="107" t="s">
        <v>668</v>
      </c>
      <c r="G2033" s="107">
        <v>170</v>
      </c>
      <c r="H2033" s="107">
        <v>0</v>
      </c>
      <c r="I2033" s="107">
        <v>0</v>
      </c>
      <c r="J2033" s="107">
        <f t="shared" si="32"/>
        <v>0.4</v>
      </c>
      <c r="K2033" s="107">
        <v>4032</v>
      </c>
      <c r="L2033" s="107">
        <v>1839</v>
      </c>
      <c r="M2033" s="107">
        <v>260</v>
      </c>
      <c r="N2033" s="107"/>
      <c r="O2033" s="107"/>
    </row>
    <row r="2034" spans="1:15" x14ac:dyDescent="0.15">
      <c r="A2034" s="107">
        <v>1695</v>
      </c>
      <c r="B2034" s="107" t="s">
        <v>197</v>
      </c>
      <c r="C2034" s="107" t="s">
        <v>271</v>
      </c>
      <c r="D2034" s="107">
        <v>2</v>
      </c>
      <c r="E2034" s="107" t="s">
        <v>324</v>
      </c>
      <c r="F2034" s="107" t="s">
        <v>668</v>
      </c>
      <c r="G2034" s="107">
        <v>264</v>
      </c>
      <c r="H2034" s="107">
        <v>0</v>
      </c>
      <c r="I2034" s="107">
        <v>0</v>
      </c>
      <c r="J2034" s="107">
        <f t="shared" si="32"/>
        <v>132</v>
      </c>
      <c r="K2034" s="107">
        <v>4035</v>
      </c>
      <c r="L2034" s="107">
        <v>1841</v>
      </c>
      <c r="M2034" s="107">
        <v>65</v>
      </c>
      <c r="N2034" s="107"/>
      <c r="O2034" s="107"/>
    </row>
    <row r="2035" spans="1:15" x14ac:dyDescent="0.15">
      <c r="A2035" s="107">
        <v>1696</v>
      </c>
      <c r="B2035" s="107" t="s">
        <v>226</v>
      </c>
      <c r="C2035" s="107" t="s">
        <v>271</v>
      </c>
      <c r="D2035" s="107">
        <v>1</v>
      </c>
      <c r="E2035" s="107" t="s">
        <v>669</v>
      </c>
      <c r="F2035" s="107" t="s">
        <v>668</v>
      </c>
      <c r="G2035" s="107">
        <v>120</v>
      </c>
      <c r="H2035" s="107">
        <v>0</v>
      </c>
      <c r="I2035" s="107">
        <v>0</v>
      </c>
      <c r="J2035" s="107">
        <f t="shared" si="32"/>
        <v>120</v>
      </c>
      <c r="K2035" s="107">
        <v>4037</v>
      </c>
      <c r="L2035" s="107">
        <v>1844</v>
      </c>
      <c r="M2035" s="107">
        <v>1379</v>
      </c>
      <c r="N2035" s="107"/>
      <c r="O2035" s="107"/>
    </row>
    <row r="2036" spans="1:15" x14ac:dyDescent="0.15">
      <c r="A2036" s="107">
        <v>1697</v>
      </c>
      <c r="B2036" s="107" t="s">
        <v>197</v>
      </c>
      <c r="C2036" s="107" t="s">
        <v>271</v>
      </c>
      <c r="D2036" s="107">
        <v>270</v>
      </c>
      <c r="E2036" s="107" t="s">
        <v>193</v>
      </c>
      <c r="F2036" s="107" t="s">
        <v>668</v>
      </c>
      <c r="G2036" s="107">
        <v>100</v>
      </c>
      <c r="H2036" s="107">
        <v>0</v>
      </c>
      <c r="I2036" s="107">
        <v>0</v>
      </c>
      <c r="J2036" s="107">
        <f t="shared" si="32"/>
        <v>0.37037037037037035</v>
      </c>
      <c r="K2036" s="107">
        <v>4038</v>
      </c>
      <c r="L2036" s="107">
        <v>1846</v>
      </c>
      <c r="M2036" s="107">
        <v>714</v>
      </c>
      <c r="N2036" s="107" t="s">
        <v>294</v>
      </c>
      <c r="O2036" s="107"/>
    </row>
    <row r="2037" spans="1:15" x14ac:dyDescent="0.15">
      <c r="A2037" s="107">
        <v>1698</v>
      </c>
      <c r="B2037" s="107" t="s">
        <v>200</v>
      </c>
      <c r="C2037" s="107" t="s">
        <v>271</v>
      </c>
      <c r="D2037" s="107">
        <v>108</v>
      </c>
      <c r="E2037" s="107" t="s">
        <v>193</v>
      </c>
      <c r="F2037" s="107" t="s">
        <v>668</v>
      </c>
      <c r="G2037" s="107">
        <v>43</v>
      </c>
      <c r="H2037" s="107">
        <v>4</v>
      </c>
      <c r="I2037" s="107">
        <v>0</v>
      </c>
      <c r="J2037" s="107">
        <f t="shared" si="32"/>
        <v>0.4</v>
      </c>
      <c r="K2037" s="107">
        <v>4043</v>
      </c>
      <c r="L2037" s="107">
        <v>1851</v>
      </c>
      <c r="M2037" s="107">
        <v>827</v>
      </c>
      <c r="N2037" s="107"/>
      <c r="O2037" s="107"/>
    </row>
    <row r="2038" spans="1:15" x14ac:dyDescent="0.15">
      <c r="A2038" s="107">
        <v>1699</v>
      </c>
      <c r="B2038" s="107" t="s">
        <v>197</v>
      </c>
      <c r="C2038" s="107" t="s">
        <v>271</v>
      </c>
      <c r="D2038" s="107">
        <v>348</v>
      </c>
      <c r="E2038" s="107" t="s">
        <v>193</v>
      </c>
      <c r="F2038" s="107" t="s">
        <v>668</v>
      </c>
      <c r="G2038" s="107">
        <v>139</v>
      </c>
      <c r="H2038" s="107">
        <v>4</v>
      </c>
      <c r="I2038" s="107">
        <v>0</v>
      </c>
      <c r="J2038" s="107">
        <f t="shared" si="32"/>
        <v>0.39999999999999997</v>
      </c>
      <c r="K2038" s="107">
        <v>4043</v>
      </c>
      <c r="L2038" s="107">
        <v>1851</v>
      </c>
      <c r="M2038" s="107">
        <v>851</v>
      </c>
      <c r="N2038" s="107"/>
      <c r="O2038" s="107"/>
    </row>
    <row r="2039" spans="1:15" x14ac:dyDescent="0.15">
      <c r="A2039" s="107">
        <v>1702</v>
      </c>
      <c r="B2039" s="107" t="s">
        <v>226</v>
      </c>
      <c r="C2039" s="107" t="s">
        <v>271</v>
      </c>
      <c r="D2039" s="107">
        <v>324</v>
      </c>
      <c r="E2039" s="107" t="s">
        <v>193</v>
      </c>
      <c r="F2039" s="107" t="s">
        <v>668</v>
      </c>
      <c r="G2039" s="107">
        <v>129</v>
      </c>
      <c r="H2039" s="107">
        <v>12</v>
      </c>
      <c r="I2039" s="107">
        <v>0</v>
      </c>
      <c r="J2039" s="107">
        <f t="shared" si="32"/>
        <v>0.39999999999999997</v>
      </c>
      <c r="K2039" s="107">
        <v>4049</v>
      </c>
      <c r="L2039" s="107">
        <v>1856</v>
      </c>
      <c r="M2039" s="107">
        <v>512</v>
      </c>
      <c r="N2039" s="107"/>
      <c r="O2039" s="107"/>
    </row>
    <row r="2040" spans="1:15" x14ac:dyDescent="0.15">
      <c r="A2040" s="107">
        <v>1703</v>
      </c>
      <c r="B2040" s="107" t="s">
        <v>253</v>
      </c>
      <c r="C2040" s="107" t="s">
        <v>271</v>
      </c>
      <c r="D2040" s="107">
        <v>5</v>
      </c>
      <c r="E2040" s="107" t="s">
        <v>324</v>
      </c>
      <c r="F2040" s="107" t="s">
        <v>668</v>
      </c>
      <c r="G2040" s="107">
        <v>656</v>
      </c>
      <c r="H2040" s="107">
        <v>12</v>
      </c>
      <c r="I2040" s="107">
        <v>8</v>
      </c>
      <c r="J2040" s="107">
        <f t="shared" si="32"/>
        <v>131.32499999999999</v>
      </c>
      <c r="K2040" s="107">
        <v>4049</v>
      </c>
      <c r="L2040" s="107">
        <v>1856</v>
      </c>
      <c r="M2040" s="107">
        <v>537</v>
      </c>
      <c r="N2040" s="107"/>
      <c r="O2040" s="107"/>
    </row>
    <row r="2041" spans="1:15" x14ac:dyDescent="0.15">
      <c r="A2041" s="107">
        <v>1741</v>
      </c>
      <c r="B2041" s="107" t="s">
        <v>196</v>
      </c>
      <c r="C2041" s="107" t="s">
        <v>268</v>
      </c>
      <c r="D2041" s="25">
        <v>660</v>
      </c>
      <c r="E2041" s="107" t="s">
        <v>193</v>
      </c>
      <c r="F2041" s="107" t="s">
        <v>668</v>
      </c>
      <c r="G2041" s="107">
        <v>282</v>
      </c>
      <c r="H2041" s="107">
        <v>11</v>
      </c>
      <c r="I2041" s="107">
        <v>0</v>
      </c>
      <c r="J2041" s="107">
        <f t="shared" si="32"/>
        <v>0.4281060606060606</v>
      </c>
      <c r="K2041" s="107">
        <v>6115</v>
      </c>
      <c r="L2041" s="107"/>
      <c r="M2041" s="107"/>
      <c r="N2041" s="107"/>
      <c r="O2041" s="107"/>
    </row>
    <row r="2042" spans="1:15" x14ac:dyDescent="0.15">
      <c r="A2042" s="107">
        <v>1748</v>
      </c>
      <c r="B2042" s="107" t="s">
        <v>260</v>
      </c>
      <c r="C2042" s="107" t="s">
        <v>268</v>
      </c>
      <c r="D2042" s="25">
        <v>1320</v>
      </c>
      <c r="E2042" s="107" t="s">
        <v>193</v>
      </c>
      <c r="F2042" s="107" t="s">
        <v>668</v>
      </c>
      <c r="G2042" s="107">
        <v>412</v>
      </c>
      <c r="H2042" s="107">
        <v>10</v>
      </c>
      <c r="I2042" s="107">
        <v>0</v>
      </c>
      <c r="J2042" s="107">
        <f t="shared" si="32"/>
        <v>0.3125</v>
      </c>
      <c r="K2042" s="107">
        <v>6218</v>
      </c>
      <c r="L2042" s="107"/>
      <c r="M2042" s="107"/>
      <c r="N2042" s="107"/>
      <c r="O2042" s="107"/>
    </row>
    <row r="2043" spans="1:15" x14ac:dyDescent="0.15">
      <c r="A2043" s="107">
        <v>1708</v>
      </c>
      <c r="B2043" s="107" t="s">
        <v>253</v>
      </c>
      <c r="C2043" s="107" t="s">
        <v>268</v>
      </c>
      <c r="D2043" s="25">
        <v>2627</v>
      </c>
      <c r="E2043" s="107" t="s">
        <v>193</v>
      </c>
      <c r="F2043" s="107" t="s">
        <v>670</v>
      </c>
      <c r="G2043" s="107">
        <v>1017</v>
      </c>
      <c r="H2043" s="107">
        <v>19</v>
      </c>
      <c r="I2043" s="107">
        <v>0</v>
      </c>
      <c r="J2043" s="107">
        <f t="shared" si="32"/>
        <v>0.38749524172059385</v>
      </c>
      <c r="K2043" s="107">
        <v>5571</v>
      </c>
      <c r="L2043" s="107"/>
      <c r="M2043" s="107"/>
      <c r="N2043" s="107"/>
      <c r="O2043" s="107"/>
    </row>
    <row r="2044" spans="1:15" x14ac:dyDescent="0.15">
      <c r="A2044" s="107">
        <v>1716</v>
      </c>
      <c r="B2044" s="107" t="s">
        <v>197</v>
      </c>
      <c r="C2044" s="107" t="s">
        <v>268</v>
      </c>
      <c r="D2044" s="25">
        <v>400</v>
      </c>
      <c r="E2044" s="107" t="s">
        <v>193</v>
      </c>
      <c r="F2044" s="107" t="s">
        <v>670</v>
      </c>
      <c r="G2044" s="107">
        <v>173</v>
      </c>
      <c r="H2044" s="107">
        <v>15</v>
      </c>
      <c r="I2044" s="107">
        <v>0</v>
      </c>
      <c r="J2044" s="107">
        <f t="shared" si="32"/>
        <v>0.43437500000000001</v>
      </c>
      <c r="K2044" s="107">
        <v>5670</v>
      </c>
      <c r="L2044" s="107"/>
      <c r="M2044" s="107"/>
      <c r="N2044" s="107"/>
      <c r="O2044" s="107"/>
    </row>
    <row r="2045" spans="1:15" x14ac:dyDescent="0.15">
      <c r="A2045" s="107">
        <v>1720</v>
      </c>
      <c r="B2045" s="107" t="s">
        <v>253</v>
      </c>
      <c r="C2045" s="107" t="s">
        <v>268</v>
      </c>
      <c r="D2045" s="25">
        <v>4160</v>
      </c>
      <c r="E2045" s="107" t="s">
        <v>193</v>
      </c>
      <c r="F2045" s="107" t="s">
        <v>670</v>
      </c>
      <c r="G2045" s="107">
        <v>1664</v>
      </c>
      <c r="H2045" s="107">
        <v>0</v>
      </c>
      <c r="I2045" s="107">
        <v>0</v>
      </c>
      <c r="J2045" s="107">
        <f t="shared" si="32"/>
        <v>0.4</v>
      </c>
      <c r="K2045" s="107">
        <v>5731</v>
      </c>
      <c r="L2045" s="107"/>
      <c r="M2045" s="107"/>
      <c r="N2045" s="107"/>
      <c r="O2045" s="107"/>
    </row>
    <row r="2046" spans="1:15" x14ac:dyDescent="0.15">
      <c r="A2046" s="107">
        <v>1793</v>
      </c>
      <c r="B2046" s="107" t="s">
        <v>247</v>
      </c>
      <c r="C2046" s="107" t="s">
        <v>270</v>
      </c>
      <c r="D2046" s="25">
        <v>348</v>
      </c>
      <c r="E2046" s="107" t="s">
        <v>193</v>
      </c>
      <c r="F2046" s="107" t="s">
        <v>670</v>
      </c>
      <c r="G2046" s="107">
        <v>95</v>
      </c>
      <c r="H2046" s="107">
        <v>14</v>
      </c>
      <c r="I2046" s="107">
        <v>0</v>
      </c>
      <c r="J2046" s="107">
        <f t="shared" si="32"/>
        <v>0.27500000000000002</v>
      </c>
      <c r="K2046" s="107">
        <v>6826</v>
      </c>
      <c r="L2046" s="107"/>
      <c r="M2046" s="107"/>
      <c r="N2046" s="107"/>
      <c r="O2046" s="107"/>
    </row>
    <row r="2047" spans="1:15" x14ac:dyDescent="0.15">
      <c r="A2047" s="107">
        <v>1655</v>
      </c>
      <c r="B2047" s="107" t="s">
        <v>247</v>
      </c>
      <c r="C2047" s="107" t="s">
        <v>274</v>
      </c>
      <c r="D2047" s="107">
        <v>19</v>
      </c>
      <c r="E2047" s="107" t="s">
        <v>193</v>
      </c>
      <c r="F2047" s="107" t="s">
        <v>671</v>
      </c>
      <c r="G2047" s="107">
        <v>5</v>
      </c>
      <c r="H2047" s="107">
        <v>14</v>
      </c>
      <c r="I2047" s="107">
        <v>0</v>
      </c>
      <c r="J2047" s="107">
        <f t="shared" si="32"/>
        <v>0.3</v>
      </c>
      <c r="K2047" s="107">
        <v>3990</v>
      </c>
      <c r="L2047" s="107">
        <v>1788</v>
      </c>
      <c r="M2047" s="107">
        <v>224</v>
      </c>
      <c r="N2047" s="107" t="s">
        <v>287</v>
      </c>
      <c r="O2047" s="107" t="s">
        <v>319</v>
      </c>
    </row>
    <row r="2048" spans="1:15" x14ac:dyDescent="0.15">
      <c r="A2048" s="107">
        <v>1674</v>
      </c>
      <c r="B2048" s="107" t="s">
        <v>197</v>
      </c>
      <c r="C2048" s="107" t="s">
        <v>274</v>
      </c>
      <c r="D2048" s="107">
        <v>223</v>
      </c>
      <c r="E2048" s="107" t="s">
        <v>193</v>
      </c>
      <c r="F2048" s="107" t="s">
        <v>671</v>
      </c>
      <c r="G2048" s="107">
        <v>33</v>
      </c>
      <c r="H2048" s="107">
        <v>9</v>
      </c>
      <c r="I2048" s="107">
        <v>0</v>
      </c>
      <c r="J2048" s="107">
        <f t="shared" si="32"/>
        <v>0.15000000000000002</v>
      </c>
      <c r="K2048" s="107">
        <v>4011</v>
      </c>
      <c r="L2048" s="107">
        <v>1814</v>
      </c>
      <c r="M2048" s="107">
        <v>597</v>
      </c>
      <c r="N2048" s="107" t="s">
        <v>294</v>
      </c>
      <c r="O2048" s="107"/>
    </row>
    <row r="2049" spans="1:14" x14ac:dyDescent="0.15">
      <c r="A2049" s="107">
        <v>1682</v>
      </c>
      <c r="B2049" s="107" t="s">
        <v>197</v>
      </c>
      <c r="C2049" s="107" t="s">
        <v>271</v>
      </c>
      <c r="D2049" s="107">
        <v>478</v>
      </c>
      <c r="E2049" s="107" t="s">
        <v>193</v>
      </c>
      <c r="F2049" s="107" t="s">
        <v>671</v>
      </c>
      <c r="G2049" s="107">
        <v>59</v>
      </c>
      <c r="H2049" s="107">
        <v>15</v>
      </c>
      <c r="I2049" s="107">
        <v>0</v>
      </c>
      <c r="J2049" s="107">
        <f t="shared" si="32"/>
        <v>0.125</v>
      </c>
      <c r="K2049" s="107">
        <v>4018</v>
      </c>
      <c r="L2049" s="107">
        <v>1820</v>
      </c>
      <c r="M2049" s="107">
        <v>759</v>
      </c>
      <c r="N2049" s="107" t="s">
        <v>273</v>
      </c>
    </row>
    <row r="2050" spans="1:14" x14ac:dyDescent="0.15">
      <c r="A2050" s="107">
        <v>1700</v>
      </c>
      <c r="B2050" s="107" t="s">
        <v>200</v>
      </c>
      <c r="C2050" s="107" t="s">
        <v>271</v>
      </c>
      <c r="D2050" s="107">
        <v>511</v>
      </c>
      <c r="E2050" s="107" t="s">
        <v>193</v>
      </c>
      <c r="F2050" s="107" t="s">
        <v>671</v>
      </c>
      <c r="G2050" s="107">
        <v>89</v>
      </c>
      <c r="H2050" s="107">
        <v>8</v>
      </c>
      <c r="I2050" s="107">
        <v>8</v>
      </c>
      <c r="J2050" s="107">
        <f t="shared" si="32"/>
        <v>0.17500000000000002</v>
      </c>
      <c r="K2050" s="107">
        <v>4047</v>
      </c>
      <c r="L2050" s="107">
        <v>1855</v>
      </c>
      <c r="M2050" s="107">
        <v>528</v>
      </c>
      <c r="N2050" s="107" t="s">
        <v>272</v>
      </c>
    </row>
    <row r="2051" spans="1:14" x14ac:dyDescent="0.15">
      <c r="A2051" s="107">
        <v>1701</v>
      </c>
      <c r="B2051" s="107" t="s">
        <v>197</v>
      </c>
      <c r="C2051" s="107" t="s">
        <v>271</v>
      </c>
      <c r="D2051" s="107">
        <v>548</v>
      </c>
      <c r="E2051" s="107" t="s">
        <v>193</v>
      </c>
      <c r="F2051" s="107" t="s">
        <v>671</v>
      </c>
      <c r="G2051" s="107">
        <v>95</v>
      </c>
      <c r="H2051" s="107">
        <v>18</v>
      </c>
      <c r="I2051" s="107">
        <v>0</v>
      </c>
      <c r="J2051" s="107">
        <f t="shared" si="32"/>
        <v>0.17500000000000002</v>
      </c>
      <c r="K2051" s="107">
        <v>4047</v>
      </c>
      <c r="L2051" s="107">
        <v>1855</v>
      </c>
      <c r="M2051" s="107">
        <v>557</v>
      </c>
      <c r="N2051" s="107" t="s">
        <v>273</v>
      </c>
    </row>
    <row r="2052" spans="1:14" x14ac:dyDescent="0.15">
      <c r="A2052" s="107">
        <v>1702</v>
      </c>
      <c r="B2052" s="107" t="s">
        <v>226</v>
      </c>
      <c r="C2052" s="107" t="s">
        <v>268</v>
      </c>
      <c r="D2052" s="25">
        <v>5</v>
      </c>
      <c r="E2052" s="107" t="s">
        <v>193</v>
      </c>
      <c r="F2052" s="107" t="s">
        <v>217</v>
      </c>
      <c r="G2052" s="107">
        <v>1</v>
      </c>
      <c r="H2052" s="107">
        <v>1</v>
      </c>
      <c r="I2052" s="107">
        <v>4</v>
      </c>
      <c r="J2052" s="107">
        <f t="shared" si="32"/>
        <v>0.21249999999999999</v>
      </c>
      <c r="K2052" s="107">
        <v>5503</v>
      </c>
      <c r="L2052" s="107"/>
      <c r="M2052" s="107"/>
      <c r="N2052" s="107"/>
    </row>
    <row r="2053" spans="1:14" x14ac:dyDescent="0.15">
      <c r="A2053" s="107">
        <v>1705</v>
      </c>
      <c r="B2053" s="107" t="s">
        <v>197</v>
      </c>
      <c r="C2053" s="107" t="s">
        <v>268</v>
      </c>
      <c r="D2053" s="25">
        <v>10</v>
      </c>
      <c r="E2053" s="107" t="s">
        <v>193</v>
      </c>
      <c r="F2053" s="107" t="s">
        <v>217</v>
      </c>
      <c r="G2053" s="107">
        <v>2</v>
      </c>
      <c r="H2053" s="107">
        <v>2</v>
      </c>
      <c r="I2053" s="107">
        <v>8</v>
      </c>
      <c r="J2053" s="107">
        <f t="shared" si="32"/>
        <v>0.21249999999999999</v>
      </c>
      <c r="K2053" s="107">
        <v>5536</v>
      </c>
      <c r="L2053" s="107"/>
      <c r="M2053" s="107"/>
      <c r="N2053" s="107"/>
    </row>
    <row r="2054" spans="1:14" x14ac:dyDescent="0.15">
      <c r="A2054" s="107">
        <v>1706</v>
      </c>
      <c r="B2054" s="107" t="s">
        <v>186</v>
      </c>
      <c r="C2054" s="107" t="s">
        <v>268</v>
      </c>
      <c r="D2054" s="25">
        <v>10</v>
      </c>
      <c r="E2054" s="107" t="s">
        <v>193</v>
      </c>
      <c r="F2054" s="107" t="s">
        <v>217</v>
      </c>
      <c r="G2054" s="107">
        <v>2</v>
      </c>
      <c r="H2054" s="107">
        <v>2</v>
      </c>
      <c r="I2054" s="107">
        <v>8</v>
      </c>
      <c r="J2054" s="107">
        <f t="shared" si="32"/>
        <v>0.21249999999999999</v>
      </c>
      <c r="K2054" s="107">
        <v>5558</v>
      </c>
      <c r="L2054" s="107"/>
      <c r="M2054" s="107"/>
      <c r="N2054" s="107"/>
    </row>
    <row r="2055" spans="1:14" x14ac:dyDescent="0.15">
      <c r="A2055" s="107">
        <v>1707</v>
      </c>
      <c r="B2055" s="107" t="s">
        <v>244</v>
      </c>
      <c r="C2055" s="107" t="s">
        <v>268</v>
      </c>
      <c r="D2055" s="25">
        <v>10</v>
      </c>
      <c r="E2055" s="107" t="s">
        <v>193</v>
      </c>
      <c r="F2055" s="107" t="s">
        <v>217</v>
      </c>
      <c r="G2055" s="107">
        <v>2</v>
      </c>
      <c r="H2055" s="107">
        <v>2</v>
      </c>
      <c r="I2055" s="107">
        <v>8</v>
      </c>
      <c r="J2055" s="107">
        <f t="shared" si="32"/>
        <v>0.21249999999999999</v>
      </c>
      <c r="K2055" s="107">
        <v>5570</v>
      </c>
      <c r="L2055" s="107"/>
      <c r="M2055" s="107"/>
      <c r="N2055" s="107"/>
    </row>
    <row r="2056" spans="1:14" x14ac:dyDescent="0.15">
      <c r="A2056" s="107">
        <v>1708</v>
      </c>
      <c r="B2056" s="107" t="s">
        <v>253</v>
      </c>
      <c r="C2056" s="107" t="s">
        <v>268</v>
      </c>
      <c r="D2056" s="25">
        <v>10</v>
      </c>
      <c r="E2056" s="107" t="s">
        <v>193</v>
      </c>
      <c r="F2056" s="107" t="s">
        <v>217</v>
      </c>
      <c r="G2056" s="107">
        <v>2</v>
      </c>
      <c r="H2056" s="107">
        <v>1</v>
      </c>
      <c r="I2056" s="107">
        <v>0</v>
      </c>
      <c r="J2056" s="107">
        <f t="shared" si="32"/>
        <v>0.20499999999999999</v>
      </c>
      <c r="K2056" s="107">
        <v>5571</v>
      </c>
      <c r="L2056" s="107"/>
      <c r="M2056" s="107"/>
      <c r="N2056" s="107"/>
    </row>
    <row r="2057" spans="1:14" x14ac:dyDescent="0.15">
      <c r="A2057" s="107">
        <v>1711</v>
      </c>
      <c r="B2057" s="107" t="s">
        <v>260</v>
      </c>
      <c r="C2057" s="107" t="s">
        <v>268</v>
      </c>
      <c r="D2057" s="25">
        <v>5</v>
      </c>
      <c r="E2057" s="107" t="s">
        <v>193</v>
      </c>
      <c r="F2057" s="107" t="s">
        <v>217</v>
      </c>
      <c r="G2057" s="107">
        <v>1</v>
      </c>
      <c r="H2057" s="107">
        <v>1</v>
      </c>
      <c r="I2057" s="107">
        <v>0</v>
      </c>
      <c r="J2057" s="107">
        <f t="shared" si="32"/>
        <v>0.21000000000000002</v>
      </c>
      <c r="K2057" s="107">
        <v>5612</v>
      </c>
      <c r="L2057" s="107"/>
      <c r="M2057" s="107"/>
      <c r="N2057" s="107"/>
    </row>
    <row r="2058" spans="1:14" x14ac:dyDescent="0.15">
      <c r="A2058" s="107">
        <v>1712</v>
      </c>
      <c r="B2058" s="107" t="s">
        <v>261</v>
      </c>
      <c r="C2058" s="107" t="s">
        <v>268</v>
      </c>
      <c r="D2058" s="25">
        <v>10</v>
      </c>
      <c r="E2058" s="107" t="s">
        <v>193</v>
      </c>
      <c r="F2058" s="107" t="s">
        <v>217</v>
      </c>
      <c r="G2058" s="107">
        <v>2</v>
      </c>
      <c r="H2058" s="107">
        <v>5</v>
      </c>
      <c r="I2058" s="107">
        <v>0</v>
      </c>
      <c r="J2058" s="107">
        <f t="shared" si="32"/>
        <v>0.22500000000000001</v>
      </c>
      <c r="K2058" s="107">
        <v>5628</v>
      </c>
      <c r="L2058" s="107"/>
      <c r="M2058" s="107"/>
      <c r="N2058" s="107"/>
    </row>
    <row r="2059" spans="1:14" x14ac:dyDescent="0.15">
      <c r="A2059" s="107">
        <v>1716</v>
      </c>
      <c r="B2059" s="107" t="s">
        <v>197</v>
      </c>
      <c r="C2059" s="107" t="s">
        <v>268</v>
      </c>
      <c r="D2059" s="25">
        <v>5</v>
      </c>
      <c r="E2059" s="107" t="s">
        <v>193</v>
      </c>
      <c r="F2059" s="107" t="s">
        <v>217</v>
      </c>
      <c r="G2059" s="107">
        <v>0</v>
      </c>
      <c r="H2059" s="107">
        <v>19</v>
      </c>
      <c r="I2059" s="107">
        <v>8</v>
      </c>
      <c r="J2059" s="107">
        <f t="shared" si="32"/>
        <v>0.19500000000000001</v>
      </c>
      <c r="K2059" s="107">
        <v>5670</v>
      </c>
      <c r="L2059" s="107"/>
      <c r="M2059" s="107"/>
      <c r="N2059" s="107"/>
    </row>
    <row r="2060" spans="1:14" x14ac:dyDescent="0.15">
      <c r="A2060" s="107">
        <v>1717</v>
      </c>
      <c r="B2060" s="107" t="s">
        <v>192</v>
      </c>
      <c r="C2060" s="107" t="s">
        <v>268</v>
      </c>
      <c r="D2060" s="25">
        <v>5</v>
      </c>
      <c r="E2060" s="107" t="s">
        <v>193</v>
      </c>
      <c r="F2060" s="107" t="s">
        <v>217</v>
      </c>
      <c r="G2060" s="107">
        <v>0</v>
      </c>
      <c r="H2060" s="107">
        <v>19</v>
      </c>
      <c r="I2060" s="107">
        <v>0</v>
      </c>
      <c r="J2060" s="107">
        <f t="shared" si="32"/>
        <v>0.19</v>
      </c>
      <c r="K2060" s="107">
        <v>5683</v>
      </c>
      <c r="L2060" s="107"/>
      <c r="M2060" s="107"/>
      <c r="N2060" s="107"/>
    </row>
    <row r="2061" spans="1:14" x14ac:dyDescent="0.15">
      <c r="A2061" s="107">
        <v>1719</v>
      </c>
      <c r="B2061" s="107" t="s">
        <v>186</v>
      </c>
      <c r="C2061" s="107" t="s">
        <v>268</v>
      </c>
      <c r="D2061" s="25">
        <v>3</v>
      </c>
      <c r="E2061" s="107" t="s">
        <v>193</v>
      </c>
      <c r="F2061" s="107" t="s">
        <v>217</v>
      </c>
      <c r="G2061" s="107">
        <v>0</v>
      </c>
      <c r="H2061" s="107">
        <v>12</v>
      </c>
      <c r="I2061" s="107">
        <v>0</v>
      </c>
      <c r="J2061" s="107">
        <f t="shared" si="32"/>
        <v>0.19999999999999998</v>
      </c>
      <c r="K2061" s="107">
        <v>5732</v>
      </c>
      <c r="L2061" s="107"/>
      <c r="M2061" s="107"/>
      <c r="N2061" s="107"/>
    </row>
    <row r="2062" spans="1:14" x14ac:dyDescent="0.15">
      <c r="A2062" s="107">
        <v>1720</v>
      </c>
      <c r="B2062" s="107" t="s">
        <v>253</v>
      </c>
      <c r="C2062" s="107" t="s">
        <v>268</v>
      </c>
      <c r="D2062" s="25">
        <v>3</v>
      </c>
      <c r="E2062" s="107" t="s">
        <v>193</v>
      </c>
      <c r="F2062" s="107" t="s">
        <v>217</v>
      </c>
      <c r="G2062" s="107">
        <v>0</v>
      </c>
      <c r="H2062" s="107">
        <v>12</v>
      </c>
      <c r="I2062" s="107">
        <v>0</v>
      </c>
      <c r="J2062" s="107">
        <f t="shared" si="32"/>
        <v>0.19999999999999998</v>
      </c>
      <c r="K2062" s="107">
        <v>5731</v>
      </c>
      <c r="L2062" s="107"/>
      <c r="M2062" s="107"/>
      <c r="N2062" s="107"/>
    </row>
    <row r="2063" spans="1:14" x14ac:dyDescent="0.15">
      <c r="A2063" s="107">
        <v>1721</v>
      </c>
      <c r="B2063" s="107" t="s">
        <v>192</v>
      </c>
      <c r="C2063" s="107" t="s">
        <v>268</v>
      </c>
      <c r="D2063" s="25">
        <v>2</v>
      </c>
      <c r="E2063" s="107" t="s">
        <v>193</v>
      </c>
      <c r="F2063" s="107" t="s">
        <v>217</v>
      </c>
      <c r="G2063" s="107">
        <v>0</v>
      </c>
      <c r="H2063" s="107">
        <v>8</v>
      </c>
      <c r="I2063" s="107">
        <v>0</v>
      </c>
      <c r="J2063" s="107">
        <f t="shared" si="32"/>
        <v>0.2</v>
      </c>
      <c r="K2063" s="107">
        <v>5753</v>
      </c>
      <c r="L2063" s="107"/>
      <c r="M2063" s="107"/>
      <c r="N2063" s="107"/>
    </row>
    <row r="2064" spans="1:14" x14ac:dyDescent="0.15">
      <c r="A2064" s="107">
        <v>1723</v>
      </c>
      <c r="B2064" s="107" t="s">
        <v>236</v>
      </c>
      <c r="C2064" s="107" t="s">
        <v>268</v>
      </c>
      <c r="D2064" s="25">
        <v>1</v>
      </c>
      <c r="E2064" s="107" t="s">
        <v>193</v>
      </c>
      <c r="F2064" s="107" t="s">
        <v>217</v>
      </c>
      <c r="G2064" s="107">
        <v>0</v>
      </c>
      <c r="H2064" s="107">
        <v>3</v>
      </c>
      <c r="I2064" s="107">
        <v>0</v>
      </c>
      <c r="J2064" s="107">
        <f t="shared" si="32"/>
        <v>0.15</v>
      </c>
      <c r="K2064" s="107">
        <v>6808</v>
      </c>
      <c r="L2064" s="107"/>
      <c r="M2064" s="107"/>
      <c r="N2064" s="107"/>
    </row>
    <row r="2065" spans="1:11" x14ac:dyDescent="0.15">
      <c r="A2065" s="107">
        <v>1724</v>
      </c>
      <c r="B2065" s="107" t="s">
        <v>197</v>
      </c>
      <c r="C2065" s="107" t="s">
        <v>268</v>
      </c>
      <c r="D2065" s="25">
        <v>3</v>
      </c>
      <c r="E2065" s="107" t="s">
        <v>193</v>
      </c>
      <c r="F2065" s="107" t="s">
        <v>217</v>
      </c>
      <c r="G2065" s="107">
        <v>0</v>
      </c>
      <c r="H2065" s="107">
        <v>9</v>
      </c>
      <c r="I2065" s="107">
        <v>8</v>
      </c>
      <c r="J2065" s="107">
        <f t="shared" si="32"/>
        <v>0.15833333333333335</v>
      </c>
      <c r="K2065" s="107">
        <v>6807</v>
      </c>
    </row>
    <row r="2066" spans="1:11" x14ac:dyDescent="0.15">
      <c r="A2066" s="107">
        <v>1725</v>
      </c>
      <c r="B2066" s="107" t="s">
        <v>200</v>
      </c>
      <c r="C2066" s="107" t="s">
        <v>268</v>
      </c>
      <c r="D2066" s="25">
        <v>2</v>
      </c>
      <c r="E2066" s="107" t="s">
        <v>193</v>
      </c>
      <c r="F2066" s="107" t="s">
        <v>217</v>
      </c>
      <c r="G2066" s="107">
        <v>11</v>
      </c>
      <c r="H2066" s="107">
        <v>12</v>
      </c>
      <c r="I2066" s="107">
        <v>0</v>
      </c>
      <c r="J2066" s="107">
        <f t="shared" si="32"/>
        <v>5.8</v>
      </c>
      <c r="K2066" s="107">
        <v>5838</v>
      </c>
    </row>
    <row r="2067" spans="1:11" x14ac:dyDescent="0.15">
      <c r="A2067" s="107">
        <v>1726</v>
      </c>
      <c r="B2067" s="107" t="s">
        <v>261</v>
      </c>
      <c r="C2067" s="107" t="s">
        <v>268</v>
      </c>
      <c r="D2067" s="25">
        <v>1</v>
      </c>
      <c r="E2067" s="107" t="s">
        <v>193</v>
      </c>
      <c r="F2067" s="107" t="s">
        <v>217</v>
      </c>
      <c r="G2067" s="107">
        <v>0</v>
      </c>
      <c r="H2067" s="107">
        <v>4</v>
      </c>
      <c r="I2067" s="107">
        <v>0</v>
      </c>
      <c r="J2067" s="107">
        <f t="shared" si="32"/>
        <v>0.2</v>
      </c>
      <c r="K2067" s="107">
        <v>5855</v>
      </c>
    </row>
    <row r="2068" spans="1:11" x14ac:dyDescent="0.15">
      <c r="A2068" s="107">
        <v>1727</v>
      </c>
      <c r="B2068" s="107" t="s">
        <v>192</v>
      </c>
      <c r="C2068" s="107" t="s">
        <v>268</v>
      </c>
      <c r="D2068" s="25">
        <v>1</v>
      </c>
      <c r="E2068" s="107" t="s">
        <v>193</v>
      </c>
      <c r="F2068" s="107" t="s">
        <v>217</v>
      </c>
      <c r="G2068" s="107">
        <v>0</v>
      </c>
      <c r="H2068" s="107">
        <v>4</v>
      </c>
      <c r="I2068" s="107">
        <v>0</v>
      </c>
      <c r="J2068" s="107">
        <f t="shared" si="32"/>
        <v>0.2</v>
      </c>
      <c r="K2068" s="107">
        <v>5871</v>
      </c>
    </row>
    <row r="2069" spans="1:11" x14ac:dyDescent="0.15">
      <c r="A2069" s="107">
        <v>1728</v>
      </c>
      <c r="B2069" s="107" t="s">
        <v>186</v>
      </c>
      <c r="C2069" s="107" t="s">
        <v>268</v>
      </c>
      <c r="D2069" s="25">
        <v>2</v>
      </c>
      <c r="E2069" s="107" t="s">
        <v>193</v>
      </c>
      <c r="F2069" s="107" t="s">
        <v>217</v>
      </c>
      <c r="G2069" s="107">
        <v>0</v>
      </c>
      <c r="H2069" s="107">
        <v>7</v>
      </c>
      <c r="I2069" s="107">
        <v>8</v>
      </c>
      <c r="J2069" s="107">
        <f t="shared" si="32"/>
        <v>0.1875</v>
      </c>
      <c r="K2069" s="107">
        <v>5900</v>
      </c>
    </row>
    <row r="2070" spans="1:11" x14ac:dyDescent="0.15">
      <c r="A2070" s="107">
        <v>1729</v>
      </c>
      <c r="B2070" s="107" t="s">
        <v>261</v>
      </c>
      <c r="C2070" s="107" t="s">
        <v>268</v>
      </c>
      <c r="D2070" s="25">
        <v>3</v>
      </c>
      <c r="E2070" s="107" t="s">
        <v>193</v>
      </c>
      <c r="F2070" s="107" t="s">
        <v>217</v>
      </c>
      <c r="G2070" s="107">
        <v>0</v>
      </c>
      <c r="H2070" s="107">
        <v>11</v>
      </c>
      <c r="I2070" s="107">
        <v>8</v>
      </c>
      <c r="J2070" s="107">
        <f t="shared" si="32"/>
        <v>0.19166666666666668</v>
      </c>
      <c r="K2070" s="107">
        <v>5903</v>
      </c>
    </row>
    <row r="2071" spans="1:11" x14ac:dyDescent="0.15">
      <c r="A2071" s="107">
        <v>1730</v>
      </c>
      <c r="B2071" s="107" t="s">
        <v>226</v>
      </c>
      <c r="C2071" s="107" t="s">
        <v>268</v>
      </c>
      <c r="D2071" s="25">
        <v>1</v>
      </c>
      <c r="E2071" s="107" t="s">
        <v>193</v>
      </c>
      <c r="F2071" s="107" t="s">
        <v>217</v>
      </c>
      <c r="G2071" s="107">
        <v>0</v>
      </c>
      <c r="H2071" s="107">
        <v>3</v>
      </c>
      <c r="I2071" s="107">
        <v>8</v>
      </c>
      <c r="J2071" s="107">
        <f t="shared" si="32"/>
        <v>0.17499999999999999</v>
      </c>
      <c r="K2071" s="107">
        <v>5935</v>
      </c>
    </row>
    <row r="2072" spans="1:11" x14ac:dyDescent="0.15">
      <c r="A2072" s="107">
        <v>1731</v>
      </c>
      <c r="B2072" s="107" t="s">
        <v>261</v>
      </c>
      <c r="C2072" s="107" t="s">
        <v>268</v>
      </c>
      <c r="D2072" s="25">
        <v>2</v>
      </c>
      <c r="E2072" s="107" t="s">
        <v>193</v>
      </c>
      <c r="F2072" s="107" t="s">
        <v>217</v>
      </c>
      <c r="G2072" s="107">
        <v>0</v>
      </c>
      <c r="H2072" s="107">
        <v>8</v>
      </c>
      <c r="I2072" s="107">
        <v>0</v>
      </c>
      <c r="J2072" s="107">
        <f t="shared" si="32"/>
        <v>0.2</v>
      </c>
      <c r="K2072" s="107">
        <v>5938</v>
      </c>
    </row>
    <row r="2073" spans="1:11" x14ac:dyDescent="0.15">
      <c r="A2073" s="107">
        <v>1732</v>
      </c>
      <c r="B2073" s="107" t="s">
        <v>186</v>
      </c>
      <c r="C2073" s="107" t="s">
        <v>268</v>
      </c>
      <c r="D2073" s="25">
        <v>1</v>
      </c>
      <c r="E2073" s="107" t="s">
        <v>193</v>
      </c>
      <c r="F2073" s="107" t="s">
        <v>217</v>
      </c>
      <c r="G2073" s="107">
        <v>0</v>
      </c>
      <c r="H2073" s="107">
        <v>3</v>
      </c>
      <c r="I2073" s="107">
        <v>8</v>
      </c>
      <c r="J2073" s="107">
        <f t="shared" si="32"/>
        <v>0.17499999999999999</v>
      </c>
      <c r="K2073" s="107">
        <v>5957</v>
      </c>
    </row>
    <row r="2074" spans="1:11" x14ac:dyDescent="0.15">
      <c r="A2074" s="107">
        <v>1733</v>
      </c>
      <c r="B2074" s="107" t="s">
        <v>253</v>
      </c>
      <c r="C2074" s="107" t="s">
        <v>268</v>
      </c>
      <c r="D2074" s="25">
        <v>2</v>
      </c>
      <c r="E2074" s="107" t="s">
        <v>193</v>
      </c>
      <c r="F2074" s="107" t="s">
        <v>217</v>
      </c>
      <c r="G2074" s="107">
        <v>0</v>
      </c>
      <c r="H2074" s="107">
        <v>7</v>
      </c>
      <c r="I2074" s="107">
        <v>8</v>
      </c>
      <c r="J2074" s="107">
        <f t="shared" si="32"/>
        <v>0.1875</v>
      </c>
      <c r="K2074" s="107">
        <v>5956</v>
      </c>
    </row>
    <row r="2075" spans="1:11" x14ac:dyDescent="0.15">
      <c r="A2075" s="107">
        <v>1735</v>
      </c>
      <c r="B2075" s="107" t="s">
        <v>244</v>
      </c>
      <c r="C2075" s="107" t="s">
        <v>268</v>
      </c>
      <c r="D2075" s="25">
        <v>2</v>
      </c>
      <c r="E2075" s="107" t="s">
        <v>193</v>
      </c>
      <c r="F2075" s="107" t="s">
        <v>217</v>
      </c>
      <c r="G2075" s="107">
        <v>0</v>
      </c>
      <c r="H2075" s="107">
        <v>7</v>
      </c>
      <c r="I2075" s="107">
        <v>8</v>
      </c>
      <c r="J2075" s="107">
        <f t="shared" si="32"/>
        <v>0.1875</v>
      </c>
      <c r="K2075" s="107">
        <v>6015</v>
      </c>
    </row>
    <row r="2076" spans="1:11" x14ac:dyDescent="0.15">
      <c r="A2076" s="107">
        <v>1736</v>
      </c>
      <c r="B2076" s="107" t="s">
        <v>261</v>
      </c>
      <c r="C2076" s="107" t="s">
        <v>268</v>
      </c>
      <c r="D2076" s="25">
        <v>2</v>
      </c>
      <c r="E2076" s="107" t="s">
        <v>193</v>
      </c>
      <c r="F2076" s="107" t="s">
        <v>217</v>
      </c>
      <c r="G2076" s="107">
        <v>0</v>
      </c>
      <c r="H2076" s="107">
        <v>8</v>
      </c>
      <c r="I2076" s="107">
        <v>0</v>
      </c>
      <c r="J2076" s="107">
        <f t="shared" si="32"/>
        <v>0.2</v>
      </c>
      <c r="K2076" s="107">
        <v>6014</v>
      </c>
    </row>
    <row r="2077" spans="1:11" x14ac:dyDescent="0.15">
      <c r="A2077" s="107">
        <v>1737</v>
      </c>
      <c r="B2077" s="107" t="s">
        <v>226</v>
      </c>
      <c r="C2077" s="107" t="s">
        <v>268</v>
      </c>
      <c r="D2077" s="25">
        <v>2</v>
      </c>
      <c r="E2077" s="107" t="s">
        <v>193</v>
      </c>
      <c r="F2077" s="107" t="s">
        <v>217</v>
      </c>
      <c r="G2077" s="107">
        <v>0</v>
      </c>
      <c r="H2077" s="107">
        <v>8</v>
      </c>
      <c r="I2077" s="107">
        <v>0</v>
      </c>
      <c r="J2077" s="107">
        <f t="shared" si="32"/>
        <v>0.2</v>
      </c>
      <c r="K2077" s="107">
        <v>6035</v>
      </c>
    </row>
    <row r="2078" spans="1:11" x14ac:dyDescent="0.15">
      <c r="A2078" s="107">
        <v>1738</v>
      </c>
      <c r="B2078" s="107" t="s">
        <v>196</v>
      </c>
      <c r="C2078" s="107" t="s">
        <v>268</v>
      </c>
      <c r="D2078" s="25">
        <v>2</v>
      </c>
      <c r="E2078" s="107" t="s">
        <v>193</v>
      </c>
      <c r="F2078" s="107" t="s">
        <v>217</v>
      </c>
      <c r="G2078" s="107">
        <v>0</v>
      </c>
      <c r="H2078" s="107">
        <v>7</v>
      </c>
      <c r="I2078" s="107">
        <v>8</v>
      </c>
      <c r="J2078" s="107">
        <f t="shared" si="32"/>
        <v>0.1875</v>
      </c>
      <c r="K2078" s="107">
        <v>6060</v>
      </c>
    </row>
    <row r="2079" spans="1:11" x14ac:dyDescent="0.15">
      <c r="A2079" s="107">
        <v>1739</v>
      </c>
      <c r="B2079" s="107" t="s">
        <v>226</v>
      </c>
      <c r="C2079" s="107" t="s">
        <v>268</v>
      </c>
      <c r="D2079" s="25">
        <v>2</v>
      </c>
      <c r="E2079" s="107" t="s">
        <v>193</v>
      </c>
      <c r="F2079" s="107" t="s">
        <v>217</v>
      </c>
      <c r="G2079" s="107">
        <v>0</v>
      </c>
      <c r="H2079" s="107">
        <v>8</v>
      </c>
      <c r="I2079" s="107">
        <v>8</v>
      </c>
      <c r="J2079" s="107">
        <f t="shared" si="32"/>
        <v>0.21250000000000002</v>
      </c>
      <c r="K2079" s="107">
        <v>6089</v>
      </c>
    </row>
    <row r="2080" spans="1:11" x14ac:dyDescent="0.15">
      <c r="A2080" s="107">
        <v>1740</v>
      </c>
      <c r="B2080" s="107" t="s">
        <v>197</v>
      </c>
      <c r="C2080" s="107" t="s">
        <v>268</v>
      </c>
      <c r="D2080" s="25">
        <v>2</v>
      </c>
      <c r="E2080" s="107" t="s">
        <v>193</v>
      </c>
      <c r="F2080" s="107" t="s">
        <v>217</v>
      </c>
      <c r="G2080" s="107">
        <v>0</v>
      </c>
      <c r="H2080" s="107">
        <v>8</v>
      </c>
      <c r="I2080" s="107">
        <v>8</v>
      </c>
      <c r="J2080" s="107">
        <f t="shared" si="32"/>
        <v>0.21250000000000002</v>
      </c>
      <c r="K2080" s="107">
        <v>6098</v>
      </c>
    </row>
    <row r="2081" spans="1:14" x14ac:dyDescent="0.15">
      <c r="A2081" s="107">
        <v>1741</v>
      </c>
      <c r="B2081" s="107" t="s">
        <v>196</v>
      </c>
      <c r="C2081" s="107" t="s">
        <v>268</v>
      </c>
      <c r="D2081" s="25">
        <v>2</v>
      </c>
      <c r="E2081" s="107" t="s">
        <v>193</v>
      </c>
      <c r="F2081" s="107" t="s">
        <v>217</v>
      </c>
      <c r="G2081" s="107">
        <v>0</v>
      </c>
      <c r="H2081" s="107">
        <v>8</v>
      </c>
      <c r="I2081" s="107">
        <v>8</v>
      </c>
      <c r="J2081" s="107">
        <f t="shared" si="32"/>
        <v>0.21250000000000002</v>
      </c>
      <c r="K2081" s="107">
        <v>6115</v>
      </c>
      <c r="L2081" s="107"/>
      <c r="M2081" s="107"/>
      <c r="N2081" s="107"/>
    </row>
    <row r="2082" spans="1:14" x14ac:dyDescent="0.15">
      <c r="A2082" s="107">
        <v>1742</v>
      </c>
      <c r="B2082" s="107" t="s">
        <v>261</v>
      </c>
      <c r="C2082" s="107" t="s">
        <v>268</v>
      </c>
      <c r="D2082" s="25">
        <v>1</v>
      </c>
      <c r="E2082" s="107" t="s">
        <v>193</v>
      </c>
      <c r="F2082" s="107" t="s">
        <v>217</v>
      </c>
      <c r="G2082" s="107">
        <v>0</v>
      </c>
      <c r="H2082" s="107">
        <v>4</v>
      </c>
      <c r="I2082" s="107">
        <v>0</v>
      </c>
      <c r="J2082" s="107">
        <f t="shared" si="32"/>
        <v>0.2</v>
      </c>
      <c r="K2082" s="107">
        <v>6122</v>
      </c>
      <c r="L2082" s="107"/>
      <c r="M2082" s="107"/>
      <c r="N2082" s="107"/>
    </row>
    <row r="2083" spans="1:14" x14ac:dyDescent="0.15">
      <c r="A2083" s="107">
        <v>1743</v>
      </c>
      <c r="B2083" s="107" t="s">
        <v>196</v>
      </c>
      <c r="C2083" s="107" t="s">
        <v>268</v>
      </c>
      <c r="D2083" s="25">
        <v>1</v>
      </c>
      <c r="E2083" s="107" t="s">
        <v>193</v>
      </c>
      <c r="F2083" s="107" t="s">
        <v>217</v>
      </c>
      <c r="G2083" s="107">
        <v>0</v>
      </c>
      <c r="H2083" s="107">
        <v>5</v>
      </c>
      <c r="I2083" s="107">
        <v>0</v>
      </c>
      <c r="J2083" s="107">
        <f t="shared" si="32"/>
        <v>0.25</v>
      </c>
      <c r="K2083" s="107">
        <v>6143</v>
      </c>
      <c r="L2083" s="107"/>
      <c r="M2083" s="107"/>
      <c r="N2083" s="107"/>
    </row>
    <row r="2084" spans="1:14" x14ac:dyDescent="0.15">
      <c r="A2084" s="107">
        <v>1747</v>
      </c>
      <c r="B2084" s="107" t="s">
        <v>247</v>
      </c>
      <c r="C2084" s="107" t="s">
        <v>268</v>
      </c>
      <c r="D2084" s="25">
        <v>6</v>
      </c>
      <c r="E2084" s="107" t="s">
        <v>193</v>
      </c>
      <c r="F2084" s="107" t="s">
        <v>217</v>
      </c>
      <c r="G2084" s="107">
        <v>1</v>
      </c>
      <c r="H2084" s="107">
        <v>0</v>
      </c>
      <c r="I2084" s="107">
        <v>8</v>
      </c>
      <c r="J2084" s="107">
        <f t="shared" si="32"/>
        <v>0.17083333333333331</v>
      </c>
      <c r="K2084" s="107">
        <v>6207</v>
      </c>
      <c r="L2084" s="107"/>
      <c r="M2084" s="107"/>
      <c r="N2084" s="107"/>
    </row>
    <row r="2085" spans="1:14" x14ac:dyDescent="0.15">
      <c r="A2085" s="107">
        <v>1749</v>
      </c>
      <c r="B2085" s="107" t="s">
        <v>253</v>
      </c>
      <c r="C2085" s="107" t="s">
        <v>268</v>
      </c>
      <c r="D2085" s="25">
        <v>2</v>
      </c>
      <c r="E2085" s="107" t="s">
        <v>193</v>
      </c>
      <c r="F2085" s="107" t="s">
        <v>217</v>
      </c>
      <c r="G2085" s="107">
        <v>0</v>
      </c>
      <c r="H2085" s="107">
        <v>8</v>
      </c>
      <c r="I2085" s="107">
        <v>0</v>
      </c>
      <c r="J2085" s="107">
        <f t="shared" si="32"/>
        <v>0.2</v>
      </c>
      <c r="K2085" s="107">
        <v>6233</v>
      </c>
      <c r="L2085" s="107"/>
      <c r="M2085" s="107"/>
      <c r="N2085" s="107"/>
    </row>
    <row r="2086" spans="1:14" x14ac:dyDescent="0.15">
      <c r="A2086" s="107">
        <v>1750</v>
      </c>
      <c r="B2086" s="107" t="s">
        <v>197</v>
      </c>
      <c r="C2086" s="107" t="s">
        <v>268</v>
      </c>
      <c r="D2086" s="25">
        <v>3</v>
      </c>
      <c r="E2086" s="107" t="s">
        <v>193</v>
      </c>
      <c r="F2086" s="107" t="s">
        <v>217</v>
      </c>
      <c r="G2086" s="107">
        <v>0</v>
      </c>
      <c r="H2086" s="107">
        <v>12</v>
      </c>
      <c r="I2086" s="107">
        <v>0</v>
      </c>
      <c r="J2086" s="107">
        <f t="shared" si="32"/>
        <v>0.19999999999999998</v>
      </c>
      <c r="K2086" s="107">
        <v>6254</v>
      </c>
      <c r="L2086" s="107"/>
      <c r="M2086" s="107"/>
      <c r="N2086" s="107"/>
    </row>
    <row r="2087" spans="1:14" x14ac:dyDescent="0.15">
      <c r="A2087" s="107">
        <v>1751</v>
      </c>
      <c r="B2087" s="107" t="s">
        <v>196</v>
      </c>
      <c r="C2087" s="107" t="s">
        <v>268</v>
      </c>
      <c r="D2087" s="25">
        <v>2</v>
      </c>
      <c r="E2087" s="107" t="s">
        <v>193</v>
      </c>
      <c r="F2087" s="107" t="s">
        <v>217</v>
      </c>
      <c r="G2087" s="107">
        <v>0</v>
      </c>
      <c r="H2087" s="107">
        <v>7</v>
      </c>
      <c r="I2087" s="107">
        <v>8</v>
      </c>
      <c r="J2087" s="107">
        <f t="shared" si="32"/>
        <v>0.1875</v>
      </c>
      <c r="K2087" s="107">
        <v>6270</v>
      </c>
      <c r="L2087" s="107"/>
      <c r="M2087" s="107"/>
      <c r="N2087" s="107"/>
    </row>
    <row r="2088" spans="1:14" x14ac:dyDescent="0.15">
      <c r="A2088" s="107">
        <v>1753</v>
      </c>
      <c r="B2088" s="107" t="s">
        <v>196</v>
      </c>
      <c r="C2088" s="107" t="s">
        <v>268</v>
      </c>
      <c r="D2088" s="25">
        <v>2</v>
      </c>
      <c r="E2088" s="107" t="s">
        <v>193</v>
      </c>
      <c r="F2088" s="107" t="s">
        <v>217</v>
      </c>
      <c r="G2088" s="107">
        <v>0</v>
      </c>
      <c r="H2088" s="107">
        <v>6</v>
      </c>
      <c r="I2088" s="107">
        <v>0</v>
      </c>
      <c r="J2088" s="107">
        <f t="shared" si="32"/>
        <v>0.15</v>
      </c>
      <c r="K2088" s="107">
        <v>6303</v>
      </c>
      <c r="L2088" s="107"/>
      <c r="M2088" s="107"/>
      <c r="N2088" s="107"/>
    </row>
    <row r="2089" spans="1:14" x14ac:dyDescent="0.15">
      <c r="A2089" s="107">
        <v>1754</v>
      </c>
      <c r="B2089" s="107" t="s">
        <v>196</v>
      </c>
      <c r="C2089" s="107" t="s">
        <v>268</v>
      </c>
      <c r="D2089" s="25">
        <v>2</v>
      </c>
      <c r="E2089" s="107" t="s">
        <v>193</v>
      </c>
      <c r="F2089" s="107" t="s">
        <v>217</v>
      </c>
      <c r="G2089" s="107">
        <v>0</v>
      </c>
      <c r="H2089" s="107">
        <v>7</v>
      </c>
      <c r="I2089" s="107">
        <v>0</v>
      </c>
      <c r="J2089" s="107">
        <f t="shared" si="32"/>
        <v>0.17499999999999999</v>
      </c>
      <c r="K2089" s="107">
        <v>6314</v>
      </c>
      <c r="L2089" s="107"/>
      <c r="M2089" s="107"/>
      <c r="N2089" s="107"/>
    </row>
    <row r="2090" spans="1:14" x14ac:dyDescent="0.15">
      <c r="A2090" s="107">
        <v>1756</v>
      </c>
      <c r="B2090" s="107" t="s">
        <v>197</v>
      </c>
      <c r="C2090" s="107" t="s">
        <v>268</v>
      </c>
      <c r="D2090" s="25">
        <v>2</v>
      </c>
      <c r="E2090" s="107" t="s">
        <v>193</v>
      </c>
      <c r="F2090" s="107" t="s">
        <v>217</v>
      </c>
      <c r="G2090" s="107">
        <v>0</v>
      </c>
      <c r="H2090" s="107">
        <v>7</v>
      </c>
      <c r="I2090" s="107">
        <v>8</v>
      </c>
      <c r="J2090" s="107">
        <f t="shared" si="32"/>
        <v>0.1875</v>
      </c>
      <c r="K2090" s="107">
        <v>6333</v>
      </c>
      <c r="L2090" s="107"/>
      <c r="M2090" s="107"/>
      <c r="N2090" s="107"/>
    </row>
    <row r="2091" spans="1:14" x14ac:dyDescent="0.15">
      <c r="A2091" s="107">
        <v>1766</v>
      </c>
      <c r="B2091" s="107" t="s">
        <v>261</v>
      </c>
      <c r="C2091" s="107" t="s">
        <v>268</v>
      </c>
      <c r="D2091" s="25">
        <v>2</v>
      </c>
      <c r="E2091" s="107" t="s">
        <v>193</v>
      </c>
      <c r="F2091" s="107" t="s">
        <v>217</v>
      </c>
      <c r="G2091" s="107">
        <v>0</v>
      </c>
      <c r="H2091" s="107">
        <v>6</v>
      </c>
      <c r="I2091" s="107">
        <v>0</v>
      </c>
      <c r="J2091" s="107">
        <f t="shared" si="32"/>
        <v>0.15</v>
      </c>
      <c r="K2091" s="107">
        <v>6457</v>
      </c>
      <c r="L2091" s="107"/>
      <c r="M2091" s="107"/>
      <c r="N2091" s="107"/>
    </row>
    <row r="2092" spans="1:14" x14ac:dyDescent="0.15">
      <c r="A2092" s="107">
        <v>1768</v>
      </c>
      <c r="B2092" s="107" t="s">
        <v>260</v>
      </c>
      <c r="C2092" s="107" t="s">
        <v>268</v>
      </c>
      <c r="D2092" s="25">
        <v>2</v>
      </c>
      <c r="E2092" s="107" t="s">
        <v>193</v>
      </c>
      <c r="F2092" s="107" t="s">
        <v>217</v>
      </c>
      <c r="G2092" s="107">
        <v>0</v>
      </c>
      <c r="H2092" s="107">
        <v>7</v>
      </c>
      <c r="I2092" s="107">
        <v>0</v>
      </c>
      <c r="J2092" s="107">
        <f t="shared" si="32"/>
        <v>0.17499999999999999</v>
      </c>
      <c r="K2092" s="107">
        <v>6489</v>
      </c>
      <c r="L2092" s="107"/>
      <c r="M2092" s="107"/>
      <c r="N2092" s="107"/>
    </row>
    <row r="2093" spans="1:14" x14ac:dyDescent="0.15">
      <c r="A2093" s="107">
        <v>1769</v>
      </c>
      <c r="B2093" s="107" t="s">
        <v>260</v>
      </c>
      <c r="C2093" s="107" t="s">
        <v>268</v>
      </c>
      <c r="D2093" s="25">
        <v>4</v>
      </c>
      <c r="E2093" s="107" t="s">
        <v>193</v>
      </c>
      <c r="F2093" s="107" t="s">
        <v>217</v>
      </c>
      <c r="G2093" s="107">
        <v>0</v>
      </c>
      <c r="H2093" s="107">
        <v>14</v>
      </c>
      <c r="I2093" s="107">
        <v>0</v>
      </c>
      <c r="J2093" s="107">
        <f t="shared" si="32"/>
        <v>0.17499999999999999</v>
      </c>
      <c r="K2093" s="107">
        <v>6518</v>
      </c>
      <c r="L2093" s="107"/>
      <c r="M2093" s="107"/>
      <c r="N2093" s="107"/>
    </row>
    <row r="2094" spans="1:14" x14ac:dyDescent="0.15">
      <c r="A2094" s="107">
        <v>1656</v>
      </c>
      <c r="B2094" s="107" t="s">
        <v>283</v>
      </c>
      <c r="C2094" s="107" t="s">
        <v>274</v>
      </c>
      <c r="D2094" s="107">
        <v>1</v>
      </c>
      <c r="E2094" s="107" t="s">
        <v>672</v>
      </c>
      <c r="F2094" s="107" t="s">
        <v>673</v>
      </c>
      <c r="G2094" s="107">
        <v>56</v>
      </c>
      <c r="H2094" s="107">
        <v>11</v>
      </c>
      <c r="I2094" s="107">
        <v>10</v>
      </c>
      <c r="J2094" s="107">
        <f t="shared" si="32"/>
        <v>56.581249999999997</v>
      </c>
      <c r="K2094" s="107">
        <v>3991</v>
      </c>
      <c r="L2094" s="107">
        <v>1788</v>
      </c>
      <c r="M2094" s="107">
        <v>149</v>
      </c>
      <c r="N2094" s="107" t="s">
        <v>284</v>
      </c>
    </row>
    <row r="2095" spans="1:14" x14ac:dyDescent="0.15">
      <c r="A2095" s="107">
        <v>1655</v>
      </c>
      <c r="B2095" s="107" t="s">
        <v>236</v>
      </c>
      <c r="C2095" s="107" t="s">
        <v>274</v>
      </c>
      <c r="D2095" s="107">
        <v>57.75</v>
      </c>
      <c r="E2095" s="107" t="s">
        <v>375</v>
      </c>
      <c r="F2095" s="107" t="s">
        <v>674</v>
      </c>
      <c r="G2095" s="107">
        <v>421</v>
      </c>
      <c r="H2095" s="107">
        <v>7</v>
      </c>
      <c r="I2095" s="107">
        <v>12</v>
      </c>
      <c r="J2095" s="107">
        <f t="shared" si="32"/>
        <v>7.2967532467532479</v>
      </c>
      <c r="K2095" s="107">
        <v>3990</v>
      </c>
      <c r="L2095" s="107">
        <v>1788</v>
      </c>
      <c r="M2095" s="107">
        <v>204</v>
      </c>
      <c r="N2095" s="107" t="s">
        <v>286</v>
      </c>
    </row>
    <row r="2096" spans="1:14" x14ac:dyDescent="0.15">
      <c r="A2096" s="107">
        <v>1653</v>
      </c>
      <c r="B2096" s="107" t="s">
        <v>197</v>
      </c>
      <c r="C2096" s="107" t="s">
        <v>274</v>
      </c>
      <c r="D2096" s="107">
        <v>12</v>
      </c>
      <c r="E2096" s="107" t="s">
        <v>375</v>
      </c>
      <c r="F2096" s="107" t="s">
        <v>265</v>
      </c>
      <c r="G2096" s="107">
        <v>76</v>
      </c>
      <c r="H2096" s="107">
        <v>10</v>
      </c>
      <c r="I2096" s="107">
        <v>0</v>
      </c>
      <c r="J2096" s="107">
        <f t="shared" ref="J2096:J2159" si="33">(G2096+H2096/20+I2096/320)/D2096</f>
        <v>6.375</v>
      </c>
      <c r="K2096" s="107">
        <v>3989</v>
      </c>
      <c r="L2096" s="107">
        <v>1784</v>
      </c>
      <c r="M2096" s="107">
        <v>147</v>
      </c>
      <c r="N2096" s="107"/>
    </row>
    <row r="2097" spans="1:13" x14ac:dyDescent="0.15">
      <c r="A2097" s="107">
        <v>1657</v>
      </c>
      <c r="B2097" s="107" t="s">
        <v>197</v>
      </c>
      <c r="C2097" s="107" t="s">
        <v>274</v>
      </c>
      <c r="D2097" s="107">
        <v>10</v>
      </c>
      <c r="E2097" s="107" t="s">
        <v>193</v>
      </c>
      <c r="F2097" s="107" t="s">
        <v>265</v>
      </c>
      <c r="G2097" s="107">
        <v>2</v>
      </c>
      <c r="H2097" s="107">
        <v>10</v>
      </c>
      <c r="I2097" s="107">
        <v>0</v>
      </c>
      <c r="J2097" s="107">
        <f t="shared" si="33"/>
        <v>0.25</v>
      </c>
      <c r="K2097" s="107">
        <v>3992</v>
      </c>
      <c r="L2097" s="107">
        <v>1789</v>
      </c>
      <c r="M2097" s="107">
        <v>228</v>
      </c>
    </row>
    <row r="2098" spans="1:13" x14ac:dyDescent="0.15">
      <c r="A2098" s="107">
        <v>1658</v>
      </c>
      <c r="B2098" s="107" t="s">
        <v>197</v>
      </c>
      <c r="C2098" s="107" t="s">
        <v>274</v>
      </c>
      <c r="D2098" s="107">
        <v>1000</v>
      </c>
      <c r="E2098" s="107" t="s">
        <v>193</v>
      </c>
      <c r="F2098" s="107" t="s">
        <v>265</v>
      </c>
      <c r="G2098" s="107">
        <v>144</v>
      </c>
      <c r="H2098" s="107">
        <v>0</v>
      </c>
      <c r="I2098" s="107">
        <v>0</v>
      </c>
      <c r="J2098" s="107">
        <f t="shared" si="33"/>
        <v>0.14399999999999999</v>
      </c>
      <c r="K2098" s="107">
        <v>3993</v>
      </c>
      <c r="L2098" s="107">
        <v>1791</v>
      </c>
      <c r="M2098" s="107">
        <v>269</v>
      </c>
    </row>
    <row r="2099" spans="1:13" x14ac:dyDescent="0.15">
      <c r="A2099" s="107">
        <v>1670</v>
      </c>
      <c r="B2099" s="107" t="s">
        <v>197</v>
      </c>
      <c r="C2099" s="107" t="s">
        <v>274</v>
      </c>
      <c r="D2099" s="107">
        <v>480</v>
      </c>
      <c r="E2099" s="107" t="s">
        <v>193</v>
      </c>
      <c r="F2099" s="107" t="s">
        <v>265</v>
      </c>
      <c r="G2099" s="107">
        <v>120</v>
      </c>
      <c r="H2099" s="107">
        <v>0</v>
      </c>
      <c r="I2099" s="107">
        <v>0</v>
      </c>
      <c r="J2099" s="107">
        <f t="shared" si="33"/>
        <v>0.25</v>
      </c>
      <c r="K2099" s="107">
        <v>4006</v>
      </c>
      <c r="L2099" s="107">
        <v>1808</v>
      </c>
      <c r="M2099" s="107">
        <v>635</v>
      </c>
    </row>
    <row r="2100" spans="1:13" x14ac:dyDescent="0.15">
      <c r="A2100" s="107">
        <v>1671</v>
      </c>
      <c r="B2100" s="107" t="s">
        <v>356</v>
      </c>
      <c r="C2100" s="107" t="s">
        <v>274</v>
      </c>
      <c r="D2100" s="107">
        <v>50</v>
      </c>
      <c r="E2100" s="107" t="s">
        <v>193</v>
      </c>
      <c r="F2100" s="107" t="s">
        <v>265</v>
      </c>
      <c r="G2100" s="107">
        <v>5</v>
      </c>
      <c r="H2100" s="107">
        <v>12</v>
      </c>
      <c r="I2100" s="107">
        <v>0</v>
      </c>
      <c r="J2100" s="107">
        <f t="shared" si="33"/>
        <v>0.11199999999999999</v>
      </c>
      <c r="K2100" s="107">
        <v>4008</v>
      </c>
      <c r="L2100" s="107">
        <v>1810</v>
      </c>
      <c r="M2100" s="107">
        <v>430</v>
      </c>
    </row>
    <row r="2101" spans="1:13" x14ac:dyDescent="0.15">
      <c r="A2101" s="107">
        <v>1681</v>
      </c>
      <c r="B2101" s="107" t="s">
        <v>253</v>
      </c>
      <c r="C2101" s="107" t="s">
        <v>271</v>
      </c>
      <c r="D2101" s="107">
        <v>20</v>
      </c>
      <c r="E2101" s="107" t="s">
        <v>193</v>
      </c>
      <c r="F2101" s="107" t="s">
        <v>265</v>
      </c>
      <c r="G2101" s="107">
        <v>2</v>
      </c>
      <c r="H2101" s="107">
        <v>2</v>
      </c>
      <c r="I2101" s="107">
        <v>3</v>
      </c>
      <c r="J2101" s="107">
        <f t="shared" si="33"/>
        <v>0.10546875</v>
      </c>
      <c r="K2101" s="107">
        <v>4017</v>
      </c>
      <c r="L2101" s="107">
        <v>1819</v>
      </c>
      <c r="M2101" s="107">
        <v>448</v>
      </c>
    </row>
    <row r="2102" spans="1:13" x14ac:dyDescent="0.15">
      <c r="A2102" s="107">
        <v>1683</v>
      </c>
      <c r="B2102" s="107" t="s">
        <v>197</v>
      </c>
      <c r="C2102" s="107" t="s">
        <v>271</v>
      </c>
      <c r="D2102" s="107">
        <v>34</v>
      </c>
      <c r="E2102" s="107" t="s">
        <v>193</v>
      </c>
      <c r="F2102" s="107" t="s">
        <v>265</v>
      </c>
      <c r="G2102" s="107">
        <v>2</v>
      </c>
      <c r="H2102" s="107">
        <v>5</v>
      </c>
      <c r="I2102" s="107">
        <v>2</v>
      </c>
      <c r="J2102" s="107">
        <f t="shared" si="33"/>
        <v>6.6360294117647059E-2</v>
      </c>
      <c r="K2102" s="107">
        <v>4019</v>
      </c>
      <c r="L2102" s="107">
        <v>1822</v>
      </c>
      <c r="M2102" s="107">
        <v>600</v>
      </c>
    </row>
    <row r="2103" spans="1:13" x14ac:dyDescent="0.15">
      <c r="A2103" s="107">
        <v>1684</v>
      </c>
      <c r="B2103" s="107" t="s">
        <v>197</v>
      </c>
      <c r="C2103" s="107" t="s">
        <v>271</v>
      </c>
      <c r="D2103" s="107">
        <v>4</v>
      </c>
      <c r="E2103" s="107" t="s">
        <v>193</v>
      </c>
      <c r="F2103" s="107" t="s">
        <v>265</v>
      </c>
      <c r="G2103" s="107">
        <v>0</v>
      </c>
      <c r="H2103" s="107">
        <v>15</v>
      </c>
      <c r="I2103" s="107">
        <v>0</v>
      </c>
      <c r="J2103" s="107">
        <f t="shared" si="33"/>
        <v>0.1875</v>
      </c>
      <c r="K2103" s="107">
        <v>4021</v>
      </c>
      <c r="L2103" s="107">
        <v>1825</v>
      </c>
      <c r="M2103" s="107">
        <v>668</v>
      </c>
    </row>
    <row r="2104" spans="1:13" x14ac:dyDescent="0.15">
      <c r="A2104" s="107">
        <v>1694</v>
      </c>
      <c r="B2104" s="107" t="s">
        <v>192</v>
      </c>
      <c r="C2104" s="107" t="s">
        <v>271</v>
      </c>
      <c r="D2104" s="107">
        <v>100</v>
      </c>
      <c r="E2104" s="107" t="s">
        <v>193</v>
      </c>
      <c r="F2104" s="107" t="s">
        <v>265</v>
      </c>
      <c r="G2104" s="107">
        <v>6</v>
      </c>
      <c r="H2104" s="107">
        <v>5</v>
      </c>
      <c r="I2104" s="107">
        <v>0</v>
      </c>
      <c r="J2104" s="107">
        <f t="shared" si="33"/>
        <v>6.25E-2</v>
      </c>
      <c r="K2104" s="107">
        <v>4035</v>
      </c>
      <c r="L2104" s="107">
        <v>1841</v>
      </c>
      <c r="M2104" s="107">
        <v>64</v>
      </c>
    </row>
    <row r="2105" spans="1:13" x14ac:dyDescent="0.15">
      <c r="A2105" s="107">
        <v>1695</v>
      </c>
      <c r="B2105" s="107" t="s">
        <v>260</v>
      </c>
      <c r="C2105" s="107" t="s">
        <v>271</v>
      </c>
      <c r="D2105" s="107">
        <v>100</v>
      </c>
      <c r="E2105" s="107" t="s">
        <v>193</v>
      </c>
      <c r="F2105" s="107" t="s">
        <v>265</v>
      </c>
      <c r="G2105" s="107">
        <v>6</v>
      </c>
      <c r="H2105" s="107">
        <v>5</v>
      </c>
      <c r="I2105" s="107">
        <v>0</v>
      </c>
      <c r="J2105" s="107">
        <f t="shared" si="33"/>
        <v>6.25E-2</v>
      </c>
      <c r="K2105" s="107">
        <v>4035</v>
      </c>
      <c r="L2105" s="107">
        <v>1841</v>
      </c>
      <c r="M2105" s="107">
        <v>67</v>
      </c>
    </row>
    <row r="2106" spans="1:13" x14ac:dyDescent="0.15">
      <c r="A2106" s="107">
        <v>1702</v>
      </c>
      <c r="B2106" s="107" t="s">
        <v>244</v>
      </c>
      <c r="C2106" s="107" t="s">
        <v>271</v>
      </c>
      <c r="D2106" s="107">
        <v>60</v>
      </c>
      <c r="E2106" s="107" t="s">
        <v>193</v>
      </c>
      <c r="F2106" s="107" t="s">
        <v>675</v>
      </c>
      <c r="G2106" s="107">
        <v>7</v>
      </c>
      <c r="H2106" s="107">
        <v>10</v>
      </c>
      <c r="I2106" s="107">
        <v>0</v>
      </c>
      <c r="J2106" s="107">
        <f t="shared" si="33"/>
        <v>0.125</v>
      </c>
      <c r="K2106" s="107">
        <v>4049</v>
      </c>
      <c r="L2106" s="107">
        <v>1856</v>
      </c>
      <c r="M2106" s="107">
        <v>529</v>
      </c>
    </row>
    <row r="2107" spans="1:13" x14ac:dyDescent="0.15">
      <c r="A2107" s="107">
        <v>1716</v>
      </c>
      <c r="B2107" s="107" t="s">
        <v>197</v>
      </c>
      <c r="C2107" s="107" t="s">
        <v>268</v>
      </c>
      <c r="D2107" s="25">
        <v>600</v>
      </c>
      <c r="E2107" s="107" t="s">
        <v>193</v>
      </c>
      <c r="F2107" s="107" t="s">
        <v>676</v>
      </c>
      <c r="G2107" s="107">
        <v>30</v>
      </c>
      <c r="H2107" s="107">
        <v>0</v>
      </c>
      <c r="I2107" s="107">
        <v>0</v>
      </c>
      <c r="J2107" s="107">
        <f t="shared" si="33"/>
        <v>0.05</v>
      </c>
      <c r="K2107" s="107">
        <v>5670</v>
      </c>
      <c r="L2107" s="107"/>
      <c r="M2107" s="107"/>
    </row>
    <row r="2108" spans="1:13" x14ac:dyDescent="0.15">
      <c r="A2108" s="107">
        <v>1717</v>
      </c>
      <c r="B2108" s="107" t="s">
        <v>192</v>
      </c>
      <c r="C2108" s="107" t="s">
        <v>268</v>
      </c>
      <c r="D2108" s="25">
        <v>235</v>
      </c>
      <c r="E2108" s="107" t="s">
        <v>193</v>
      </c>
      <c r="F2108" s="107" t="s">
        <v>676</v>
      </c>
      <c r="G2108" s="107">
        <v>11</v>
      </c>
      <c r="H2108" s="107">
        <v>15</v>
      </c>
      <c r="I2108" s="107">
        <v>0</v>
      </c>
      <c r="J2108" s="107">
        <f t="shared" si="33"/>
        <v>0.05</v>
      </c>
      <c r="K2108" s="107">
        <v>5683</v>
      </c>
      <c r="L2108" s="107"/>
      <c r="M2108" s="107"/>
    </row>
    <row r="2109" spans="1:13" x14ac:dyDescent="0.15">
      <c r="A2109" s="107">
        <v>1708</v>
      </c>
      <c r="B2109" s="107" t="s">
        <v>253</v>
      </c>
      <c r="C2109" s="107" t="s">
        <v>268</v>
      </c>
      <c r="D2109" s="25">
        <v>200</v>
      </c>
      <c r="E2109" s="107" t="s">
        <v>193</v>
      </c>
      <c r="F2109" s="107" t="s">
        <v>219</v>
      </c>
      <c r="G2109" s="107">
        <v>13</v>
      </c>
      <c r="H2109" s="107">
        <v>15</v>
      </c>
      <c r="I2109" s="107">
        <v>0</v>
      </c>
      <c r="J2109" s="107">
        <f t="shared" si="33"/>
        <v>6.8750000000000006E-2</v>
      </c>
      <c r="K2109" s="107">
        <v>5571</v>
      </c>
      <c r="L2109" s="107"/>
      <c r="M2109" s="107"/>
    </row>
    <row r="2110" spans="1:13" x14ac:dyDescent="0.15">
      <c r="A2110" s="107">
        <v>1717</v>
      </c>
      <c r="B2110" s="107" t="s">
        <v>192</v>
      </c>
      <c r="C2110" s="107" t="s">
        <v>268</v>
      </c>
      <c r="D2110" s="25">
        <v>50</v>
      </c>
      <c r="E2110" s="107" t="s">
        <v>193</v>
      </c>
      <c r="F2110" s="107" t="s">
        <v>219</v>
      </c>
      <c r="G2110" s="107">
        <v>3</v>
      </c>
      <c r="H2110" s="107">
        <v>12</v>
      </c>
      <c r="I2110" s="107">
        <v>0</v>
      </c>
      <c r="J2110" s="107">
        <f t="shared" si="33"/>
        <v>7.2000000000000008E-2</v>
      </c>
      <c r="K2110" s="107">
        <v>5683</v>
      </c>
      <c r="L2110" s="107"/>
      <c r="M2110" s="107"/>
    </row>
    <row r="2111" spans="1:13" x14ac:dyDescent="0.15">
      <c r="A2111" s="107">
        <v>1759</v>
      </c>
      <c r="B2111" s="107" t="s">
        <v>261</v>
      </c>
      <c r="C2111" s="107" t="s">
        <v>268</v>
      </c>
      <c r="D2111" s="25">
        <v>1500</v>
      </c>
      <c r="E2111" s="107" t="s">
        <v>193</v>
      </c>
      <c r="F2111" s="107" t="s">
        <v>219</v>
      </c>
      <c r="G2111" s="107">
        <v>131</v>
      </c>
      <c r="H2111" s="107">
        <v>5</v>
      </c>
      <c r="I2111" s="107">
        <v>0</v>
      </c>
      <c r="J2111" s="107">
        <f t="shared" si="33"/>
        <v>8.7499999999999994E-2</v>
      </c>
      <c r="K2111" s="107">
        <v>6370</v>
      </c>
      <c r="L2111" s="107"/>
      <c r="M2111" s="107"/>
    </row>
    <row r="2112" spans="1:13" x14ac:dyDescent="0.15">
      <c r="A2112" s="107">
        <v>1760</v>
      </c>
      <c r="B2112" s="107" t="s">
        <v>244</v>
      </c>
      <c r="C2112" s="107" t="s">
        <v>268</v>
      </c>
      <c r="D2112" s="25">
        <v>880</v>
      </c>
      <c r="E2112" s="107" t="s">
        <v>193</v>
      </c>
      <c r="F2112" s="107" t="s">
        <v>219</v>
      </c>
      <c r="G2112" s="107">
        <v>77</v>
      </c>
      <c r="H2112" s="107">
        <v>0</v>
      </c>
      <c r="I2112" s="107">
        <v>0</v>
      </c>
      <c r="J2112" s="107">
        <f t="shared" si="33"/>
        <v>8.7499999999999994E-2</v>
      </c>
      <c r="K2112" s="107">
        <v>6374</v>
      </c>
      <c r="L2112" s="107"/>
      <c r="M2112" s="107"/>
    </row>
    <row r="2113" spans="1:15" x14ac:dyDescent="0.15">
      <c r="A2113" s="107">
        <v>1786</v>
      </c>
      <c r="B2113" s="107" t="s">
        <v>261</v>
      </c>
      <c r="C2113" s="107" t="s">
        <v>268</v>
      </c>
      <c r="D2113" s="25">
        <v>480</v>
      </c>
      <c r="E2113" s="107" t="s">
        <v>193</v>
      </c>
      <c r="F2113" s="107" t="s">
        <v>219</v>
      </c>
      <c r="G2113" s="107">
        <v>54</v>
      </c>
      <c r="H2113" s="107">
        <v>0</v>
      </c>
      <c r="I2113" s="107">
        <v>0</v>
      </c>
      <c r="J2113" s="107">
        <f t="shared" si="33"/>
        <v>0.1125</v>
      </c>
      <c r="K2113" s="107">
        <v>6746</v>
      </c>
      <c r="L2113" s="107"/>
      <c r="M2113" s="107"/>
      <c r="N2113" s="107"/>
      <c r="O2113" s="107"/>
    </row>
    <row r="2114" spans="1:15" x14ac:dyDescent="0.15">
      <c r="A2114" s="107">
        <v>1789</v>
      </c>
      <c r="B2114" s="107" t="s">
        <v>226</v>
      </c>
      <c r="C2114" s="107" t="s">
        <v>268</v>
      </c>
      <c r="D2114" s="25">
        <v>6</v>
      </c>
      <c r="E2114" s="107" t="s">
        <v>193</v>
      </c>
      <c r="F2114" s="107" t="s">
        <v>219</v>
      </c>
      <c r="G2114" s="107">
        <v>0</v>
      </c>
      <c r="H2114" s="107">
        <v>16</v>
      </c>
      <c r="I2114" s="107">
        <v>0</v>
      </c>
      <c r="J2114" s="107">
        <f t="shared" si="33"/>
        <v>0.13333333333333333</v>
      </c>
      <c r="K2114" s="25">
        <v>6785</v>
      </c>
      <c r="L2114" s="107"/>
      <c r="M2114" s="107"/>
      <c r="N2114" s="107"/>
      <c r="O2114" s="107"/>
    </row>
    <row r="2115" spans="1:15" x14ac:dyDescent="0.15">
      <c r="A2115" s="107">
        <v>1793</v>
      </c>
      <c r="B2115" s="107" t="s">
        <v>247</v>
      </c>
      <c r="C2115" s="107" t="s">
        <v>270</v>
      </c>
      <c r="D2115" s="25">
        <v>526</v>
      </c>
      <c r="E2115" s="107" t="s">
        <v>193</v>
      </c>
      <c r="F2115" s="107" t="s">
        <v>219</v>
      </c>
      <c r="G2115" s="107">
        <v>40</v>
      </c>
      <c r="H2115" s="107">
        <v>12</v>
      </c>
      <c r="I2115" s="107">
        <v>8</v>
      </c>
      <c r="J2115" s="107">
        <f t="shared" si="33"/>
        <v>7.7233840304182511E-2</v>
      </c>
      <c r="K2115" s="107">
        <v>6826</v>
      </c>
      <c r="L2115" s="107"/>
      <c r="M2115" s="107"/>
      <c r="N2115" s="107"/>
      <c r="O2115" s="107"/>
    </row>
    <row r="2116" spans="1:15" x14ac:dyDescent="0.15">
      <c r="A2116" s="107">
        <v>1720</v>
      </c>
      <c r="B2116" s="107" t="s">
        <v>253</v>
      </c>
      <c r="C2116" s="107" t="s">
        <v>268</v>
      </c>
      <c r="D2116" s="25">
        <v>100</v>
      </c>
      <c r="E2116" s="107" t="s">
        <v>193</v>
      </c>
      <c r="F2116" s="107" t="s">
        <v>677</v>
      </c>
      <c r="G2116" s="107">
        <v>6</v>
      </c>
      <c r="H2116" s="107">
        <v>17</v>
      </c>
      <c r="I2116" s="107">
        <v>8</v>
      </c>
      <c r="J2116" s="107">
        <f t="shared" si="33"/>
        <v>6.8750000000000006E-2</v>
      </c>
      <c r="K2116" s="107">
        <v>5731</v>
      </c>
      <c r="L2116" s="107"/>
      <c r="M2116" s="107"/>
      <c r="N2116" s="107"/>
      <c r="O2116" s="107"/>
    </row>
    <row r="2117" spans="1:15" x14ac:dyDescent="0.15">
      <c r="A2117" s="107">
        <v>1716</v>
      </c>
      <c r="B2117" s="107" t="s">
        <v>197</v>
      </c>
      <c r="C2117" s="107" t="s">
        <v>268</v>
      </c>
      <c r="D2117" s="25">
        <v>340</v>
      </c>
      <c r="E2117" s="107" t="s">
        <v>193</v>
      </c>
      <c r="F2117" s="107" t="s">
        <v>678</v>
      </c>
      <c r="G2117" s="107">
        <v>26</v>
      </c>
      <c r="H2117" s="107">
        <v>2</v>
      </c>
      <c r="I2117" s="107">
        <v>8</v>
      </c>
      <c r="J2117" s="107">
        <f t="shared" si="33"/>
        <v>7.6838235294117652E-2</v>
      </c>
      <c r="K2117" s="107">
        <v>5670</v>
      </c>
      <c r="L2117" s="107"/>
      <c r="M2117" s="107"/>
      <c r="N2117" s="107"/>
      <c r="O2117" s="107"/>
    </row>
    <row r="2118" spans="1:15" x14ac:dyDescent="0.15">
      <c r="A2118" s="107">
        <v>1655</v>
      </c>
      <c r="B2118" s="107" t="s">
        <v>226</v>
      </c>
      <c r="C2118" s="107" t="s">
        <v>274</v>
      </c>
      <c r="D2118" s="107">
        <v>1</v>
      </c>
      <c r="E2118" s="107" t="s">
        <v>375</v>
      </c>
      <c r="F2118" s="107" t="s">
        <v>679</v>
      </c>
      <c r="G2118" s="107">
        <v>5</v>
      </c>
      <c r="H2118" s="107">
        <v>2</v>
      </c>
      <c r="I2118" s="107">
        <v>0</v>
      </c>
      <c r="J2118" s="107">
        <f t="shared" si="33"/>
        <v>5.0999999999999996</v>
      </c>
      <c r="K2118" s="107">
        <v>3990</v>
      </c>
      <c r="L2118" s="107">
        <v>1788</v>
      </c>
      <c r="M2118" s="107">
        <v>207</v>
      </c>
      <c r="N2118" s="107" t="s">
        <v>276</v>
      </c>
      <c r="O2118" s="107" t="s">
        <v>277</v>
      </c>
    </row>
    <row r="2119" spans="1:15" x14ac:dyDescent="0.15">
      <c r="A2119" s="107">
        <v>1720</v>
      </c>
      <c r="B2119" s="107" t="s">
        <v>253</v>
      </c>
      <c r="C2119" s="107" t="s">
        <v>268</v>
      </c>
      <c r="D2119" s="25">
        <v>1755</v>
      </c>
      <c r="E2119" s="107" t="s">
        <v>193</v>
      </c>
      <c r="F2119" s="107" t="s">
        <v>679</v>
      </c>
      <c r="G2119" s="107">
        <v>76</v>
      </c>
      <c r="H2119" s="107">
        <v>15</v>
      </c>
      <c r="I2119" s="107">
        <v>8</v>
      </c>
      <c r="J2119" s="107">
        <f t="shared" si="33"/>
        <v>4.374643874643875E-2</v>
      </c>
      <c r="K2119" s="107">
        <v>5731</v>
      </c>
      <c r="L2119" s="107"/>
      <c r="M2119" s="107"/>
      <c r="N2119" s="107"/>
      <c r="O2119" s="107"/>
    </row>
    <row r="2120" spans="1:15" x14ac:dyDescent="0.15">
      <c r="A2120" s="107">
        <v>1655</v>
      </c>
      <c r="B2120" s="107" t="s">
        <v>247</v>
      </c>
      <c r="C2120" s="107" t="s">
        <v>274</v>
      </c>
      <c r="D2120" s="107">
        <v>1</v>
      </c>
      <c r="E2120" s="107"/>
      <c r="F2120" s="107" t="s">
        <v>680</v>
      </c>
      <c r="G2120" s="107">
        <v>6</v>
      </c>
      <c r="H2120" s="107">
        <v>7</v>
      </c>
      <c r="I2120" s="107">
        <v>8</v>
      </c>
      <c r="J2120" s="107">
        <f t="shared" si="33"/>
        <v>6.375</v>
      </c>
      <c r="K2120" s="107">
        <v>3990</v>
      </c>
      <c r="L2120" s="107">
        <v>1788</v>
      </c>
      <c r="M2120" s="107">
        <v>207</v>
      </c>
      <c r="N2120" s="107" t="s">
        <v>302</v>
      </c>
      <c r="O2120" s="107" t="s">
        <v>277</v>
      </c>
    </row>
    <row r="2121" spans="1:15" x14ac:dyDescent="0.15">
      <c r="A2121" s="107">
        <v>1655</v>
      </c>
      <c r="B2121" s="107" t="s">
        <v>226</v>
      </c>
      <c r="C2121" s="107" t="s">
        <v>274</v>
      </c>
      <c r="D2121" s="107">
        <v>1</v>
      </c>
      <c r="E2121" s="107"/>
      <c r="F2121" s="107" t="s">
        <v>680</v>
      </c>
      <c r="G2121" s="107">
        <v>6</v>
      </c>
      <c r="H2121" s="107">
        <v>7</v>
      </c>
      <c r="I2121" s="107">
        <v>8</v>
      </c>
      <c r="J2121" s="107">
        <f t="shared" si="33"/>
        <v>6.375</v>
      </c>
      <c r="K2121" s="107">
        <v>3990</v>
      </c>
      <c r="L2121" s="107">
        <v>1788</v>
      </c>
      <c r="M2121" s="107">
        <v>208</v>
      </c>
      <c r="N2121" s="107" t="s">
        <v>302</v>
      </c>
      <c r="O2121" s="107" t="s">
        <v>277</v>
      </c>
    </row>
    <row r="2122" spans="1:15" x14ac:dyDescent="0.15">
      <c r="A2122" s="107">
        <v>1655</v>
      </c>
      <c r="B2122" s="107" t="s">
        <v>247</v>
      </c>
      <c r="C2122" s="107" t="s">
        <v>274</v>
      </c>
      <c r="D2122" s="107">
        <v>1</v>
      </c>
      <c r="E2122" s="107"/>
      <c r="F2122" s="107" t="s">
        <v>680</v>
      </c>
      <c r="G2122" s="107">
        <v>6</v>
      </c>
      <c r="H2122" s="107">
        <v>7</v>
      </c>
      <c r="I2122" s="107">
        <v>8</v>
      </c>
      <c r="J2122" s="107">
        <f t="shared" si="33"/>
        <v>6.375</v>
      </c>
      <c r="K2122" s="107">
        <v>3990</v>
      </c>
      <c r="L2122" s="107">
        <v>1788</v>
      </c>
      <c r="M2122" s="107">
        <v>226</v>
      </c>
      <c r="N2122" s="107" t="s">
        <v>287</v>
      </c>
      <c r="O2122" s="107" t="s">
        <v>410</v>
      </c>
    </row>
    <row r="2123" spans="1:15" x14ac:dyDescent="0.15">
      <c r="A2123" s="107">
        <v>1700</v>
      </c>
      <c r="B2123" s="107" t="s">
        <v>200</v>
      </c>
      <c r="C2123" s="107" t="s">
        <v>271</v>
      </c>
      <c r="D2123" s="107">
        <v>13</v>
      </c>
      <c r="E2123" s="107" t="s">
        <v>193</v>
      </c>
      <c r="F2123" s="107" t="s">
        <v>681</v>
      </c>
      <c r="G2123" s="107">
        <v>1</v>
      </c>
      <c r="H2123" s="107">
        <v>19</v>
      </c>
      <c r="I2123" s="107">
        <v>0</v>
      </c>
      <c r="J2123" s="107">
        <f t="shared" si="33"/>
        <v>0.15</v>
      </c>
      <c r="K2123" s="107">
        <v>4047</v>
      </c>
      <c r="L2123" s="107">
        <v>1855</v>
      </c>
      <c r="M2123" s="107">
        <v>525</v>
      </c>
      <c r="N2123" s="107" t="s">
        <v>272</v>
      </c>
      <c r="O2123" s="107"/>
    </row>
    <row r="2124" spans="1:15" x14ac:dyDescent="0.15">
      <c r="A2124" s="107">
        <v>1701</v>
      </c>
      <c r="B2124" s="107" t="s">
        <v>197</v>
      </c>
      <c r="C2124" s="107" t="s">
        <v>271</v>
      </c>
      <c r="D2124" s="107">
        <v>26.5</v>
      </c>
      <c r="E2124" s="107" t="s">
        <v>682</v>
      </c>
      <c r="F2124" s="107" t="s">
        <v>681</v>
      </c>
      <c r="G2124" s="107">
        <v>3</v>
      </c>
      <c r="H2124" s="107">
        <v>19</v>
      </c>
      <c r="I2124" s="107">
        <v>8</v>
      </c>
      <c r="J2124" s="107">
        <f t="shared" si="33"/>
        <v>0.15</v>
      </c>
      <c r="K2124" s="107">
        <v>4047</v>
      </c>
      <c r="L2124" s="107">
        <v>1855</v>
      </c>
      <c r="M2124" s="107">
        <v>554</v>
      </c>
      <c r="N2124" s="107" t="s">
        <v>294</v>
      </c>
      <c r="O2124" s="107"/>
    </row>
    <row r="2125" spans="1:15" x14ac:dyDescent="0.15">
      <c r="A2125" s="107">
        <v>1656</v>
      </c>
      <c r="B2125" s="107" t="s">
        <v>283</v>
      </c>
      <c r="C2125" s="107" t="s">
        <v>274</v>
      </c>
      <c r="D2125" s="107">
        <v>13</v>
      </c>
      <c r="E2125" s="107" t="s">
        <v>375</v>
      </c>
      <c r="F2125" s="107" t="s">
        <v>683</v>
      </c>
      <c r="G2125" s="107">
        <v>66</v>
      </c>
      <c r="H2125" s="107">
        <v>6</v>
      </c>
      <c r="I2125" s="107">
        <v>0</v>
      </c>
      <c r="J2125" s="107">
        <f t="shared" si="33"/>
        <v>5.0999999999999996</v>
      </c>
      <c r="K2125" s="107">
        <v>3991</v>
      </c>
      <c r="L2125" s="107">
        <v>1788</v>
      </c>
      <c r="M2125" s="107">
        <v>150</v>
      </c>
      <c r="N2125" s="107" t="s">
        <v>284</v>
      </c>
      <c r="O2125" s="107"/>
    </row>
    <row r="2126" spans="1:15" x14ac:dyDescent="0.15">
      <c r="A2126" s="107">
        <v>1674</v>
      </c>
      <c r="B2126" s="107" t="s">
        <v>196</v>
      </c>
      <c r="C2126" s="107" t="s">
        <v>274</v>
      </c>
      <c r="D2126" s="107">
        <v>1719</v>
      </c>
      <c r="E2126" s="107" t="s">
        <v>193</v>
      </c>
      <c r="F2126" s="107" t="s">
        <v>683</v>
      </c>
      <c r="G2126" s="107">
        <v>128</v>
      </c>
      <c r="H2126" s="107">
        <v>18</v>
      </c>
      <c r="I2126" s="107">
        <v>8</v>
      </c>
      <c r="J2126" s="107">
        <f t="shared" si="33"/>
        <v>7.5000000000000011E-2</v>
      </c>
      <c r="K2126" s="107">
        <v>4011</v>
      </c>
      <c r="L2126" s="107">
        <v>1814</v>
      </c>
      <c r="M2126" s="107">
        <v>601</v>
      </c>
      <c r="N2126" s="107" t="s">
        <v>294</v>
      </c>
      <c r="O2126" s="107"/>
    </row>
    <row r="2127" spans="1:15" x14ac:dyDescent="0.15">
      <c r="A2127" s="107">
        <v>1697</v>
      </c>
      <c r="B2127" s="107" t="s">
        <v>197</v>
      </c>
      <c r="C2127" s="107" t="s">
        <v>271</v>
      </c>
      <c r="D2127" s="107">
        <v>8</v>
      </c>
      <c r="E2127" s="107" t="s">
        <v>193</v>
      </c>
      <c r="F2127" s="107" t="s">
        <v>683</v>
      </c>
      <c r="G2127" s="107">
        <v>0</v>
      </c>
      <c r="H2127" s="107">
        <v>8</v>
      </c>
      <c r="I2127" s="107">
        <v>0</v>
      </c>
      <c r="J2127" s="107">
        <f t="shared" si="33"/>
        <v>0.05</v>
      </c>
      <c r="K2127" s="107">
        <v>4038</v>
      </c>
      <c r="L2127" s="107">
        <v>1846</v>
      </c>
      <c r="M2127" s="107">
        <v>717</v>
      </c>
      <c r="N2127" s="107" t="s">
        <v>273</v>
      </c>
      <c r="O2127" s="107"/>
    </row>
    <row r="2128" spans="1:15" x14ac:dyDescent="0.15">
      <c r="A2128" s="107">
        <v>1700</v>
      </c>
      <c r="B2128" s="107" t="s">
        <v>200</v>
      </c>
      <c r="C2128" s="107" t="s">
        <v>271</v>
      </c>
      <c r="D2128" s="107">
        <v>8</v>
      </c>
      <c r="E2128" s="107" t="s">
        <v>193</v>
      </c>
      <c r="F2128" s="107" t="s">
        <v>684</v>
      </c>
      <c r="G2128" s="107">
        <v>0</v>
      </c>
      <c r="H2128" s="107">
        <v>8</v>
      </c>
      <c r="I2128" s="107">
        <v>0</v>
      </c>
      <c r="J2128" s="107">
        <f t="shared" si="33"/>
        <v>0.05</v>
      </c>
      <c r="K2128" s="107">
        <v>4047</v>
      </c>
      <c r="L2128" s="107">
        <v>1855</v>
      </c>
      <c r="M2128" s="107">
        <v>525</v>
      </c>
      <c r="N2128" s="107" t="s">
        <v>272</v>
      </c>
      <c r="O2128" s="107"/>
    </row>
    <row r="2129" spans="1:15" x14ac:dyDescent="0.15">
      <c r="A2129" s="107">
        <v>1655</v>
      </c>
      <c r="B2129" s="107" t="s">
        <v>196</v>
      </c>
      <c r="C2129" s="107" t="s">
        <v>274</v>
      </c>
      <c r="D2129" s="107">
        <v>1</v>
      </c>
      <c r="E2129" s="107"/>
      <c r="F2129" s="107" t="s">
        <v>685</v>
      </c>
      <c r="G2129" s="107">
        <v>3</v>
      </c>
      <c r="H2129" s="107">
        <v>10</v>
      </c>
      <c r="I2129" s="107">
        <v>0</v>
      </c>
      <c r="J2129" s="107">
        <f t="shared" si="33"/>
        <v>3.5</v>
      </c>
      <c r="K2129" s="107">
        <v>3990</v>
      </c>
      <c r="L2129" s="107">
        <v>1788</v>
      </c>
      <c r="M2129" s="107">
        <v>206</v>
      </c>
      <c r="N2129" s="107" t="s">
        <v>406</v>
      </c>
      <c r="O2129" s="107" t="s">
        <v>277</v>
      </c>
    </row>
    <row r="2130" spans="1:15" x14ac:dyDescent="0.15">
      <c r="A2130" s="107">
        <v>1700</v>
      </c>
      <c r="B2130" s="107" t="s">
        <v>200</v>
      </c>
      <c r="C2130" s="107" t="s">
        <v>271</v>
      </c>
      <c r="D2130" s="107">
        <v>30</v>
      </c>
      <c r="E2130" s="107" t="s">
        <v>193</v>
      </c>
      <c r="F2130" s="107" t="s">
        <v>686</v>
      </c>
      <c r="G2130" s="107">
        <v>4</v>
      </c>
      <c r="H2130" s="107">
        <v>10</v>
      </c>
      <c r="I2130" s="107">
        <v>0</v>
      </c>
      <c r="J2130" s="107">
        <f t="shared" si="33"/>
        <v>0.15</v>
      </c>
      <c r="K2130" s="107">
        <v>4047</v>
      </c>
      <c r="L2130" s="107">
        <v>1855</v>
      </c>
      <c r="M2130" s="107">
        <v>530</v>
      </c>
      <c r="N2130" s="107" t="s">
        <v>272</v>
      </c>
      <c r="O2130" s="107"/>
    </row>
    <row r="2131" spans="1:15" x14ac:dyDescent="0.15">
      <c r="A2131" s="107">
        <v>1701</v>
      </c>
      <c r="B2131" s="107" t="s">
        <v>196</v>
      </c>
      <c r="C2131" s="107" t="s">
        <v>271</v>
      </c>
      <c r="D2131" s="107">
        <v>10</v>
      </c>
      <c r="E2131" s="107" t="s">
        <v>193</v>
      </c>
      <c r="F2131" s="107" t="s">
        <v>686</v>
      </c>
      <c r="G2131" s="107">
        <v>1</v>
      </c>
      <c r="H2131" s="107">
        <v>10</v>
      </c>
      <c r="I2131" s="107">
        <v>0</v>
      </c>
      <c r="J2131" s="107">
        <f t="shared" si="33"/>
        <v>0.15</v>
      </c>
      <c r="K2131" s="107">
        <v>4047</v>
      </c>
      <c r="L2131" s="107">
        <v>1855</v>
      </c>
      <c r="M2131" s="107">
        <v>564</v>
      </c>
      <c r="N2131" s="107" t="s">
        <v>273</v>
      </c>
      <c r="O2131" s="107"/>
    </row>
    <row r="2132" spans="1:15" x14ac:dyDescent="0.15">
      <c r="A2132" s="107">
        <v>1701</v>
      </c>
      <c r="B2132" s="107" t="s">
        <v>197</v>
      </c>
      <c r="C2132" s="107" t="s">
        <v>271</v>
      </c>
      <c r="D2132" s="107">
        <v>10</v>
      </c>
      <c r="E2132" s="107" t="s">
        <v>193</v>
      </c>
      <c r="F2132" s="107" t="s">
        <v>686</v>
      </c>
      <c r="G2132" s="107">
        <v>1</v>
      </c>
      <c r="H2132" s="107">
        <v>10</v>
      </c>
      <c r="I2132" s="107">
        <v>0</v>
      </c>
      <c r="J2132" s="107">
        <f t="shared" si="33"/>
        <v>0.15</v>
      </c>
      <c r="K2132" s="107">
        <v>4047</v>
      </c>
      <c r="L2132" s="107">
        <v>1855</v>
      </c>
      <c r="M2132" s="107">
        <v>558</v>
      </c>
      <c r="N2132" s="107" t="s">
        <v>273</v>
      </c>
      <c r="O2132" s="107"/>
    </row>
    <row r="2133" spans="1:15" x14ac:dyDescent="0.15">
      <c r="A2133" s="107">
        <v>1655</v>
      </c>
      <c r="B2133" s="107" t="s">
        <v>244</v>
      </c>
      <c r="C2133" s="107" t="s">
        <v>274</v>
      </c>
      <c r="D2133" s="107">
        <v>10</v>
      </c>
      <c r="E2133" s="107" t="s">
        <v>193</v>
      </c>
      <c r="F2133" s="107" t="s">
        <v>687</v>
      </c>
      <c r="G2133" s="107">
        <v>6</v>
      </c>
      <c r="H2133" s="107">
        <v>0</v>
      </c>
      <c r="I2133" s="107">
        <v>0</v>
      </c>
      <c r="J2133" s="107">
        <f t="shared" si="33"/>
        <v>0.6</v>
      </c>
      <c r="K2133" s="107">
        <v>3990</v>
      </c>
      <c r="L2133" s="107">
        <v>1788</v>
      </c>
      <c r="M2133" s="107">
        <v>203</v>
      </c>
      <c r="N2133" s="107" t="s">
        <v>421</v>
      </c>
      <c r="O2133" s="107"/>
    </row>
    <row r="2134" spans="1:15" x14ac:dyDescent="0.15">
      <c r="A2134" s="107">
        <v>1655</v>
      </c>
      <c r="B2134" s="107" t="s">
        <v>192</v>
      </c>
      <c r="C2134" s="107" t="s">
        <v>274</v>
      </c>
      <c r="D2134" s="107">
        <v>55</v>
      </c>
      <c r="E2134" s="107" t="s">
        <v>193</v>
      </c>
      <c r="F2134" s="107" t="s">
        <v>687</v>
      </c>
      <c r="G2134" s="107">
        <v>33</v>
      </c>
      <c r="H2134" s="107">
        <v>0</v>
      </c>
      <c r="I2134" s="107">
        <v>0</v>
      </c>
      <c r="J2134" s="107">
        <f t="shared" si="33"/>
        <v>0.6</v>
      </c>
      <c r="K2134" s="107">
        <v>3990</v>
      </c>
      <c r="L2134" s="107">
        <v>1788</v>
      </c>
      <c r="M2134" s="107">
        <v>203</v>
      </c>
      <c r="N2134" s="107" t="s">
        <v>688</v>
      </c>
      <c r="O2134" s="107"/>
    </row>
    <row r="2135" spans="1:15" x14ac:dyDescent="0.15">
      <c r="A2135" s="107">
        <v>1655</v>
      </c>
      <c r="B2135" s="107" t="s">
        <v>236</v>
      </c>
      <c r="C2135" s="107" t="s">
        <v>274</v>
      </c>
      <c r="D2135" s="107">
        <v>135</v>
      </c>
      <c r="E2135" s="107" t="s">
        <v>193</v>
      </c>
      <c r="F2135" s="107" t="s">
        <v>687</v>
      </c>
      <c r="G2135" s="107">
        <v>81</v>
      </c>
      <c r="H2135" s="107">
        <v>0</v>
      </c>
      <c r="I2135" s="107">
        <v>0</v>
      </c>
      <c r="J2135" s="107">
        <f t="shared" si="33"/>
        <v>0.6</v>
      </c>
      <c r="K2135" s="107">
        <v>3990</v>
      </c>
      <c r="L2135" s="107">
        <v>1788</v>
      </c>
      <c r="M2135" s="107">
        <v>203</v>
      </c>
      <c r="N2135" s="107" t="s">
        <v>689</v>
      </c>
      <c r="O2135" s="107"/>
    </row>
    <row r="2136" spans="1:15" x14ac:dyDescent="0.15">
      <c r="A2136" s="107">
        <v>1655</v>
      </c>
      <c r="B2136" s="107" t="s">
        <v>226</v>
      </c>
      <c r="C2136" s="107" t="s">
        <v>274</v>
      </c>
      <c r="D2136" s="107">
        <v>25</v>
      </c>
      <c r="E2136" s="107" t="s">
        <v>193</v>
      </c>
      <c r="F2136" s="107" t="s">
        <v>687</v>
      </c>
      <c r="G2136" s="107">
        <v>37</v>
      </c>
      <c r="H2136" s="107">
        <v>10</v>
      </c>
      <c r="I2136" s="107">
        <v>0</v>
      </c>
      <c r="J2136" s="107">
        <f t="shared" si="33"/>
        <v>1.5</v>
      </c>
      <c r="K2136" s="107">
        <v>3990</v>
      </c>
      <c r="L2136" s="107">
        <v>1788</v>
      </c>
      <c r="M2136" s="107">
        <v>208</v>
      </c>
      <c r="N2136" s="107" t="s">
        <v>276</v>
      </c>
      <c r="O2136" s="107" t="s">
        <v>277</v>
      </c>
    </row>
    <row r="2137" spans="1:15" x14ac:dyDescent="0.15">
      <c r="A2137" s="107">
        <v>1655</v>
      </c>
      <c r="B2137" s="107" t="s">
        <v>247</v>
      </c>
      <c r="C2137" s="107" t="s">
        <v>274</v>
      </c>
      <c r="D2137" s="107">
        <v>1</v>
      </c>
      <c r="E2137" s="107" t="s">
        <v>193</v>
      </c>
      <c r="F2137" s="107" t="s">
        <v>687</v>
      </c>
      <c r="G2137" s="107">
        <v>1</v>
      </c>
      <c r="H2137" s="107">
        <v>10</v>
      </c>
      <c r="I2137" s="107">
        <v>0</v>
      </c>
      <c r="J2137" s="107">
        <f t="shared" si="33"/>
        <v>1.5</v>
      </c>
      <c r="K2137" s="107">
        <v>3990</v>
      </c>
      <c r="L2137" s="107">
        <v>1788</v>
      </c>
      <c r="M2137" s="107">
        <v>226</v>
      </c>
      <c r="N2137" s="107" t="s">
        <v>287</v>
      </c>
      <c r="O2137" s="107" t="s">
        <v>410</v>
      </c>
    </row>
    <row r="2138" spans="1:15" x14ac:dyDescent="0.15">
      <c r="A2138" s="107">
        <v>1656</v>
      </c>
      <c r="B2138" s="107" t="s">
        <v>283</v>
      </c>
      <c r="C2138" s="107" t="s">
        <v>274</v>
      </c>
      <c r="D2138" s="107">
        <v>483.75</v>
      </c>
      <c r="E2138" s="107" t="s">
        <v>193</v>
      </c>
      <c r="F2138" s="107" t="s">
        <v>687</v>
      </c>
      <c r="G2138" s="107">
        <v>151</v>
      </c>
      <c r="H2138" s="107">
        <v>11</v>
      </c>
      <c r="I2138" s="107">
        <v>13</v>
      </c>
      <c r="J2138" s="107">
        <f t="shared" si="33"/>
        <v>0.31336563307493542</v>
      </c>
      <c r="K2138" s="107">
        <v>3991</v>
      </c>
      <c r="L2138" s="107">
        <v>1788</v>
      </c>
      <c r="M2138" s="107">
        <v>149</v>
      </c>
      <c r="N2138" s="107" t="s">
        <v>284</v>
      </c>
      <c r="O2138" s="107"/>
    </row>
    <row r="2139" spans="1:15" x14ac:dyDescent="0.15">
      <c r="A2139" s="107">
        <v>1656</v>
      </c>
      <c r="B2139" s="107" t="s">
        <v>283</v>
      </c>
      <c r="C2139" s="107" t="s">
        <v>274</v>
      </c>
      <c r="D2139" s="107">
        <v>58</v>
      </c>
      <c r="E2139" s="107" t="s">
        <v>690</v>
      </c>
      <c r="F2139" s="107" t="s">
        <v>691</v>
      </c>
      <c r="G2139" s="107">
        <v>50</v>
      </c>
      <c r="H2139" s="107">
        <v>8</v>
      </c>
      <c r="I2139" s="107">
        <v>0</v>
      </c>
      <c r="J2139" s="107">
        <f t="shared" si="33"/>
        <v>0.86896551724137927</v>
      </c>
      <c r="K2139" s="107">
        <v>3991</v>
      </c>
      <c r="L2139" s="107">
        <v>1788</v>
      </c>
      <c r="M2139" s="107">
        <v>149</v>
      </c>
      <c r="N2139" s="107" t="s">
        <v>284</v>
      </c>
      <c r="O2139" s="107"/>
    </row>
    <row r="2140" spans="1:15" x14ac:dyDescent="0.15">
      <c r="A2140" s="107">
        <v>1656</v>
      </c>
      <c r="B2140" s="107" t="s">
        <v>253</v>
      </c>
      <c r="C2140" s="107" t="s">
        <v>274</v>
      </c>
      <c r="D2140" s="107">
        <v>25</v>
      </c>
      <c r="E2140" s="107" t="s">
        <v>690</v>
      </c>
      <c r="F2140" s="107" t="s">
        <v>691</v>
      </c>
      <c r="G2140" s="107">
        <v>21</v>
      </c>
      <c r="H2140" s="107">
        <v>5</v>
      </c>
      <c r="I2140" s="107">
        <v>0</v>
      </c>
      <c r="J2140" s="107">
        <f t="shared" si="33"/>
        <v>0.85</v>
      </c>
      <c r="K2140" s="107">
        <v>3991</v>
      </c>
      <c r="L2140" s="107">
        <v>1788</v>
      </c>
      <c r="M2140" s="107">
        <v>151</v>
      </c>
      <c r="N2140" s="107" t="s">
        <v>383</v>
      </c>
      <c r="O2140" s="107"/>
    </row>
    <row r="2141" spans="1:15" x14ac:dyDescent="0.15">
      <c r="A2141" s="107">
        <v>1653</v>
      </c>
      <c r="B2141" s="107" t="s">
        <v>197</v>
      </c>
      <c r="C2141" s="107" t="s">
        <v>274</v>
      </c>
      <c r="D2141" s="107">
        <v>44</v>
      </c>
      <c r="E2141" s="107" t="s">
        <v>193</v>
      </c>
      <c r="F2141" s="107" t="s">
        <v>692</v>
      </c>
      <c r="G2141" s="107">
        <v>15</v>
      </c>
      <c r="H2141" s="107">
        <v>8</v>
      </c>
      <c r="I2141" s="107">
        <v>0</v>
      </c>
      <c r="J2141" s="107">
        <f t="shared" si="33"/>
        <v>0.35000000000000003</v>
      </c>
      <c r="K2141" s="107">
        <v>3989</v>
      </c>
      <c r="L2141" s="107">
        <v>1784</v>
      </c>
      <c r="M2141" s="107">
        <v>156</v>
      </c>
      <c r="N2141" s="107"/>
      <c r="O2141" s="107"/>
    </row>
    <row r="2142" spans="1:15" x14ac:dyDescent="0.15">
      <c r="A2142" s="107">
        <v>1655</v>
      </c>
      <c r="B2142" s="107" t="s">
        <v>197</v>
      </c>
      <c r="C2142" s="107" t="s">
        <v>274</v>
      </c>
      <c r="D2142" s="107">
        <v>1113.75</v>
      </c>
      <c r="E2142" s="107" t="s">
        <v>193</v>
      </c>
      <c r="F2142" s="107" t="s">
        <v>692</v>
      </c>
      <c r="G2142" s="107">
        <v>574</v>
      </c>
      <c r="H2142" s="107">
        <v>7</v>
      </c>
      <c r="I2142" s="107">
        <v>5</v>
      </c>
      <c r="J2142" s="107">
        <f t="shared" si="33"/>
        <v>0.51570426487093157</v>
      </c>
      <c r="K2142" s="107">
        <v>3990</v>
      </c>
      <c r="L2142" s="107">
        <v>1788</v>
      </c>
      <c r="M2142" s="107">
        <v>146</v>
      </c>
      <c r="N2142" s="107"/>
      <c r="O2142" s="107"/>
    </row>
    <row r="2143" spans="1:15" x14ac:dyDescent="0.15">
      <c r="A2143" s="107">
        <v>1656</v>
      </c>
      <c r="B2143" s="107" t="s">
        <v>253</v>
      </c>
      <c r="C2143" s="107" t="s">
        <v>274</v>
      </c>
      <c r="D2143" s="107">
        <v>512</v>
      </c>
      <c r="E2143" s="107" t="s">
        <v>193</v>
      </c>
      <c r="F2143" s="107" t="s">
        <v>692</v>
      </c>
      <c r="G2143" s="107">
        <v>230</v>
      </c>
      <c r="H2143" s="107">
        <v>8</v>
      </c>
      <c r="I2143" s="107">
        <v>0</v>
      </c>
      <c r="J2143" s="107">
        <f t="shared" si="33"/>
        <v>0.45</v>
      </c>
      <c r="K2143" s="107">
        <v>3991</v>
      </c>
      <c r="L2143" s="107">
        <v>1788</v>
      </c>
      <c r="M2143" s="107">
        <v>151</v>
      </c>
      <c r="N2143" s="107" t="s">
        <v>383</v>
      </c>
      <c r="O2143" s="107"/>
    </row>
    <row r="2144" spans="1:15" x14ac:dyDescent="0.15">
      <c r="A2144" s="107">
        <v>1656</v>
      </c>
      <c r="B2144" s="107" t="s">
        <v>197</v>
      </c>
      <c r="C2144" s="107" t="s">
        <v>274</v>
      </c>
      <c r="D2144" s="107">
        <v>483.75</v>
      </c>
      <c r="E2144" s="107" t="s">
        <v>193</v>
      </c>
      <c r="F2144" s="107" t="s">
        <v>692</v>
      </c>
      <c r="G2144" s="107">
        <v>151</v>
      </c>
      <c r="H2144" s="107">
        <v>11</v>
      </c>
      <c r="I2144" s="107">
        <v>13</v>
      </c>
      <c r="J2144" s="107">
        <f t="shared" si="33"/>
        <v>0.31336563307493542</v>
      </c>
      <c r="K2144" s="107">
        <v>3991</v>
      </c>
      <c r="L2144" s="107">
        <v>1788</v>
      </c>
      <c r="M2144" s="107">
        <v>149</v>
      </c>
      <c r="N2144" s="107"/>
      <c r="O2144" s="107"/>
    </row>
    <row r="2145" spans="1:14" x14ac:dyDescent="0.15">
      <c r="A2145" s="107">
        <v>1657</v>
      </c>
      <c r="B2145" s="107" t="s">
        <v>197</v>
      </c>
      <c r="C2145" s="107" t="s">
        <v>274</v>
      </c>
      <c r="D2145" s="107">
        <v>954.75</v>
      </c>
      <c r="E2145" s="107" t="s">
        <v>193</v>
      </c>
      <c r="F2145" s="107" t="s">
        <v>692</v>
      </c>
      <c r="G2145" s="107">
        <v>419</v>
      </c>
      <c r="H2145" s="107">
        <v>2</v>
      </c>
      <c r="I2145" s="107">
        <v>13</v>
      </c>
      <c r="J2145" s="107">
        <f t="shared" si="33"/>
        <v>0.43900562974600682</v>
      </c>
      <c r="K2145" s="107">
        <v>3992</v>
      </c>
      <c r="L2145" s="107">
        <v>1789</v>
      </c>
      <c r="M2145" s="107">
        <v>228</v>
      </c>
      <c r="N2145" s="107"/>
    </row>
    <row r="2146" spans="1:14" x14ac:dyDescent="0.15">
      <c r="A2146" s="107">
        <v>1658</v>
      </c>
      <c r="B2146" s="107" t="s">
        <v>197</v>
      </c>
      <c r="C2146" s="107" t="s">
        <v>274</v>
      </c>
      <c r="D2146" s="107">
        <v>987.75</v>
      </c>
      <c r="E2146" s="107" t="s">
        <v>193</v>
      </c>
      <c r="F2146" s="107" t="s">
        <v>692</v>
      </c>
      <c r="G2146" s="107">
        <v>345</v>
      </c>
      <c r="H2146" s="107">
        <v>14</v>
      </c>
      <c r="I2146" s="107">
        <v>13</v>
      </c>
      <c r="J2146" s="107">
        <f t="shared" si="33"/>
        <v>0.35002847380410018</v>
      </c>
      <c r="K2146" s="107">
        <v>3993</v>
      </c>
      <c r="L2146" s="107">
        <v>1791</v>
      </c>
      <c r="M2146" s="107">
        <v>269</v>
      </c>
      <c r="N2146" s="107"/>
    </row>
    <row r="2147" spans="1:14" x14ac:dyDescent="0.15">
      <c r="A2147" s="107">
        <v>1659</v>
      </c>
      <c r="B2147" s="107" t="s">
        <v>197</v>
      </c>
      <c r="C2147" s="107" t="s">
        <v>274</v>
      </c>
      <c r="D2147" s="107">
        <v>800.25</v>
      </c>
      <c r="E2147" s="107" t="s">
        <v>193</v>
      </c>
      <c r="F2147" s="107" t="s">
        <v>692</v>
      </c>
      <c r="G2147" s="107">
        <v>280</v>
      </c>
      <c r="H2147" s="107">
        <v>2</v>
      </c>
      <c r="I2147" s="107">
        <v>0</v>
      </c>
      <c r="J2147" s="107">
        <f t="shared" si="33"/>
        <v>0.35001562011871296</v>
      </c>
      <c r="K2147" s="107">
        <v>3994</v>
      </c>
      <c r="L2147" s="107">
        <v>1792</v>
      </c>
      <c r="M2147" s="107">
        <v>167</v>
      </c>
      <c r="N2147" s="107"/>
    </row>
    <row r="2148" spans="1:14" x14ac:dyDescent="0.15">
      <c r="A2148" s="107">
        <v>1660</v>
      </c>
      <c r="B2148" s="107" t="s">
        <v>197</v>
      </c>
      <c r="C2148" s="107" t="s">
        <v>274</v>
      </c>
      <c r="D2148" s="107">
        <v>1476.5</v>
      </c>
      <c r="E2148" s="107" t="s">
        <v>193</v>
      </c>
      <c r="F2148" s="107" t="s">
        <v>692</v>
      </c>
      <c r="G2148" s="107">
        <v>664</v>
      </c>
      <c r="H2148" s="107">
        <v>8</v>
      </c>
      <c r="I2148" s="107">
        <v>8</v>
      </c>
      <c r="J2148" s="107">
        <f t="shared" si="33"/>
        <v>0.44999999999999996</v>
      </c>
      <c r="K2148" s="107">
        <v>3995</v>
      </c>
      <c r="L2148" s="107">
        <v>1793</v>
      </c>
      <c r="M2148" s="107">
        <v>197</v>
      </c>
      <c r="N2148" s="107"/>
    </row>
    <row r="2149" spans="1:14" x14ac:dyDescent="0.15">
      <c r="A2149" s="107">
        <v>1661</v>
      </c>
      <c r="B2149" s="107" t="s">
        <v>197</v>
      </c>
      <c r="C2149" s="107" t="s">
        <v>274</v>
      </c>
      <c r="D2149" s="107">
        <v>310</v>
      </c>
      <c r="E2149" s="107" t="s">
        <v>193</v>
      </c>
      <c r="F2149" s="107" t="s">
        <v>692</v>
      </c>
      <c r="G2149" s="107">
        <v>132</v>
      </c>
      <c r="H2149" s="107">
        <v>0</v>
      </c>
      <c r="I2149" s="107">
        <v>0</v>
      </c>
      <c r="J2149" s="107">
        <f t="shared" si="33"/>
        <v>0.4258064516129032</v>
      </c>
      <c r="K2149" s="107">
        <v>3996</v>
      </c>
      <c r="L2149" s="107">
        <v>1794</v>
      </c>
      <c r="M2149" s="107" t="s">
        <v>290</v>
      </c>
      <c r="N2149" s="107"/>
    </row>
    <row r="2150" spans="1:14" x14ac:dyDescent="0.15">
      <c r="A2150" s="107">
        <v>1662</v>
      </c>
      <c r="B2150" s="107" t="s">
        <v>197</v>
      </c>
      <c r="C2150" s="107" t="s">
        <v>274</v>
      </c>
      <c r="D2150" s="107">
        <v>2664.25</v>
      </c>
      <c r="E2150" s="107" t="s">
        <v>193</v>
      </c>
      <c r="F2150" s="107" t="s">
        <v>692</v>
      </c>
      <c r="G2150" s="107">
        <v>1201</v>
      </c>
      <c r="H2150" s="107">
        <v>12</v>
      </c>
      <c r="I2150" s="107">
        <v>8</v>
      </c>
      <c r="J2150" s="107">
        <f t="shared" si="33"/>
        <v>0.45101811016233462</v>
      </c>
      <c r="K2150" s="107">
        <v>3997</v>
      </c>
      <c r="L2150" s="107">
        <v>1795</v>
      </c>
      <c r="M2150" s="107">
        <v>304</v>
      </c>
      <c r="N2150" s="107"/>
    </row>
    <row r="2151" spans="1:14" x14ac:dyDescent="0.15">
      <c r="A2151" s="107">
        <v>1663</v>
      </c>
      <c r="B2151" s="107" t="s">
        <v>197</v>
      </c>
      <c r="C2151" s="107" t="s">
        <v>274</v>
      </c>
      <c r="D2151" s="107">
        <v>5120.25</v>
      </c>
      <c r="E2151" s="107" t="s">
        <v>193</v>
      </c>
      <c r="F2151" s="107" t="s">
        <v>692</v>
      </c>
      <c r="G2151" s="107">
        <v>2432</v>
      </c>
      <c r="H2151" s="107">
        <v>2</v>
      </c>
      <c r="I2151" s="107">
        <v>8</v>
      </c>
      <c r="J2151" s="107">
        <f t="shared" si="33"/>
        <v>0.47500122064352329</v>
      </c>
      <c r="K2151" s="107">
        <v>3998</v>
      </c>
      <c r="L2151" s="107">
        <v>1797</v>
      </c>
      <c r="M2151" s="107" t="s">
        <v>290</v>
      </c>
      <c r="N2151" s="107"/>
    </row>
    <row r="2152" spans="1:14" x14ac:dyDescent="0.15">
      <c r="A2152" s="107">
        <v>1665</v>
      </c>
      <c r="B2152" s="107" t="s">
        <v>197</v>
      </c>
      <c r="C2152" s="107" t="s">
        <v>274</v>
      </c>
      <c r="D2152" s="107">
        <v>1871</v>
      </c>
      <c r="E2152" s="107" t="s">
        <v>193</v>
      </c>
      <c r="F2152" s="107" t="s">
        <v>692</v>
      </c>
      <c r="G2152" s="107">
        <v>935</v>
      </c>
      <c r="H2152" s="107">
        <v>10</v>
      </c>
      <c r="I2152" s="107">
        <v>0</v>
      </c>
      <c r="J2152" s="107">
        <f t="shared" si="33"/>
        <v>0.5</v>
      </c>
      <c r="K2152" s="107">
        <v>4000</v>
      </c>
      <c r="L2152" s="107">
        <v>1798</v>
      </c>
      <c r="M2152" s="107">
        <v>61</v>
      </c>
      <c r="N2152" s="107"/>
    </row>
    <row r="2153" spans="1:14" x14ac:dyDescent="0.15">
      <c r="A2153" s="107">
        <v>1666</v>
      </c>
      <c r="B2153" s="107" t="s">
        <v>197</v>
      </c>
      <c r="C2153" s="107" t="s">
        <v>274</v>
      </c>
      <c r="D2153" s="107">
        <v>212</v>
      </c>
      <c r="E2153" s="107" t="s">
        <v>193</v>
      </c>
      <c r="F2153" s="107" t="s">
        <v>692</v>
      </c>
      <c r="G2153" s="107">
        <v>106</v>
      </c>
      <c r="H2153" s="107">
        <v>0</v>
      </c>
      <c r="I2153" s="107">
        <v>0</v>
      </c>
      <c r="J2153" s="107">
        <f t="shared" si="33"/>
        <v>0.5</v>
      </c>
      <c r="K2153" s="107">
        <v>4001</v>
      </c>
      <c r="L2153" s="107">
        <v>1800</v>
      </c>
      <c r="M2153" s="107">
        <v>38</v>
      </c>
      <c r="N2153" s="107"/>
    </row>
    <row r="2154" spans="1:14" x14ac:dyDescent="0.15">
      <c r="A2154" s="107">
        <v>1667</v>
      </c>
      <c r="B2154" s="107" t="s">
        <v>197</v>
      </c>
      <c r="C2154" s="107" t="s">
        <v>274</v>
      </c>
      <c r="D2154" s="107">
        <v>5606</v>
      </c>
      <c r="E2154" s="107" t="s">
        <v>193</v>
      </c>
      <c r="F2154" s="107" t="s">
        <v>692</v>
      </c>
      <c r="G2154" s="107">
        <v>4630</v>
      </c>
      <c r="H2154" s="107">
        <v>0</v>
      </c>
      <c r="I2154" s="107">
        <v>0</v>
      </c>
      <c r="J2154" s="107">
        <f t="shared" si="33"/>
        <v>0.82590082054941139</v>
      </c>
      <c r="K2154" s="107">
        <v>4002</v>
      </c>
      <c r="L2154" s="107">
        <v>1802</v>
      </c>
      <c r="M2154" s="107">
        <v>760</v>
      </c>
      <c r="N2154" s="107"/>
    </row>
    <row r="2155" spans="1:14" x14ac:dyDescent="0.15">
      <c r="A2155" s="107">
        <v>1668</v>
      </c>
      <c r="B2155" s="107" t="s">
        <v>197</v>
      </c>
      <c r="C2155" s="107" t="s">
        <v>274</v>
      </c>
      <c r="D2155" s="107">
        <v>12081</v>
      </c>
      <c r="E2155" s="107" t="s">
        <v>193</v>
      </c>
      <c r="F2155" s="107" t="s">
        <v>692</v>
      </c>
      <c r="G2155" s="107">
        <v>14015</v>
      </c>
      <c r="H2155" s="107">
        <v>0</v>
      </c>
      <c r="I2155" s="107">
        <v>0</v>
      </c>
      <c r="J2155" s="107">
        <f t="shared" si="33"/>
        <v>1.1600860855889412</v>
      </c>
      <c r="K2155" s="107">
        <v>4003</v>
      </c>
      <c r="L2155" s="107">
        <v>1802</v>
      </c>
      <c r="M2155" s="107">
        <v>30</v>
      </c>
      <c r="N2155" s="107"/>
    </row>
    <row r="2156" spans="1:14" x14ac:dyDescent="0.15">
      <c r="A2156" s="107">
        <v>1669</v>
      </c>
      <c r="B2156" s="107" t="s">
        <v>197</v>
      </c>
      <c r="C2156" s="107" t="s">
        <v>274</v>
      </c>
      <c r="D2156" s="107">
        <v>14736</v>
      </c>
      <c r="E2156" s="107" t="s">
        <v>193</v>
      </c>
      <c r="F2156" s="107" t="s">
        <v>692</v>
      </c>
      <c r="G2156" s="107">
        <v>18820</v>
      </c>
      <c r="H2156" s="107">
        <v>0</v>
      </c>
      <c r="I2156" s="107">
        <v>0</v>
      </c>
      <c r="J2156" s="107">
        <f t="shared" si="33"/>
        <v>1.2771444082519001</v>
      </c>
      <c r="K2156" s="107">
        <v>4004</v>
      </c>
      <c r="L2156" s="107">
        <v>1805</v>
      </c>
      <c r="M2156" s="107">
        <v>558</v>
      </c>
      <c r="N2156" s="107"/>
    </row>
    <row r="2157" spans="1:14" x14ac:dyDescent="0.15">
      <c r="A2157" s="107">
        <v>1671</v>
      </c>
      <c r="B2157" s="107" t="s">
        <v>356</v>
      </c>
      <c r="C2157" s="107" t="s">
        <v>274</v>
      </c>
      <c r="D2157" s="107">
        <v>3</v>
      </c>
      <c r="E2157" s="107" t="s">
        <v>193</v>
      </c>
      <c r="F2157" s="107" t="s">
        <v>692</v>
      </c>
      <c r="G2157" s="107">
        <v>3</v>
      </c>
      <c r="H2157" s="107">
        <v>15</v>
      </c>
      <c r="I2157" s="107">
        <v>0</v>
      </c>
      <c r="J2157" s="107">
        <f t="shared" si="33"/>
        <v>1.25</v>
      </c>
      <c r="K2157" s="107">
        <v>4008</v>
      </c>
      <c r="L2157" s="107">
        <v>1810</v>
      </c>
      <c r="M2157" s="107">
        <v>433</v>
      </c>
      <c r="N2157" s="107"/>
    </row>
    <row r="2158" spans="1:14" x14ac:dyDescent="0.15">
      <c r="A2158" s="107">
        <v>1672</v>
      </c>
      <c r="B2158" s="107" t="s">
        <v>197</v>
      </c>
      <c r="C2158" s="107" t="s">
        <v>274</v>
      </c>
      <c r="D2158" s="107">
        <v>52</v>
      </c>
      <c r="E2158" s="107" t="s">
        <v>193</v>
      </c>
      <c r="F2158" s="107" t="s">
        <v>692</v>
      </c>
      <c r="G2158" s="107">
        <v>104</v>
      </c>
      <c r="H2158" s="107">
        <v>0</v>
      </c>
      <c r="I2158" s="107">
        <v>0</v>
      </c>
      <c r="J2158" s="107">
        <f t="shared" si="33"/>
        <v>2</v>
      </c>
      <c r="K2158" s="107">
        <v>4008</v>
      </c>
      <c r="L2158" s="107">
        <v>1810</v>
      </c>
      <c r="M2158" s="107">
        <v>525</v>
      </c>
      <c r="N2158" s="107"/>
    </row>
    <row r="2159" spans="1:14" x14ac:dyDescent="0.15">
      <c r="A2159" s="107">
        <v>1673</v>
      </c>
      <c r="B2159" s="107" t="s">
        <v>253</v>
      </c>
      <c r="C2159" s="107" t="s">
        <v>274</v>
      </c>
      <c r="D2159" s="107">
        <v>247</v>
      </c>
      <c r="E2159" s="107" t="s">
        <v>193</v>
      </c>
      <c r="F2159" s="107" t="s">
        <v>692</v>
      </c>
      <c r="G2159" s="107">
        <v>106</v>
      </c>
      <c r="H2159" s="107">
        <v>4</v>
      </c>
      <c r="I2159" s="107">
        <v>0</v>
      </c>
      <c r="J2159" s="107">
        <f t="shared" si="33"/>
        <v>0.42995951417004052</v>
      </c>
      <c r="K2159" s="107">
        <v>4010</v>
      </c>
      <c r="L2159" s="107">
        <v>1812</v>
      </c>
      <c r="M2159" s="107">
        <v>560</v>
      </c>
      <c r="N2159" s="107"/>
    </row>
    <row r="2160" spans="1:14" x14ac:dyDescent="0.15">
      <c r="A2160" s="107">
        <v>1674</v>
      </c>
      <c r="B2160" s="107" t="s">
        <v>197</v>
      </c>
      <c r="C2160" s="107" t="s">
        <v>274</v>
      </c>
      <c r="D2160" s="107">
        <v>2</v>
      </c>
      <c r="E2160" s="107" t="s">
        <v>193</v>
      </c>
      <c r="F2160" s="107" t="s">
        <v>692</v>
      </c>
      <c r="G2160" s="107">
        <v>2</v>
      </c>
      <c r="H2160" s="107">
        <v>10</v>
      </c>
      <c r="I2160" s="107">
        <v>0</v>
      </c>
      <c r="J2160" s="107">
        <f t="shared" ref="J2160:J2223" si="34">(G2160+H2160/20+I2160/320)/D2160</f>
        <v>1.25</v>
      </c>
      <c r="K2160" s="107">
        <v>4011</v>
      </c>
      <c r="L2160" s="107">
        <v>1814</v>
      </c>
      <c r="M2160" s="107">
        <v>597</v>
      </c>
      <c r="N2160" s="107" t="s">
        <v>294</v>
      </c>
    </row>
    <row r="2161" spans="1:15" x14ac:dyDescent="0.15">
      <c r="A2161" s="107">
        <v>1676</v>
      </c>
      <c r="B2161" s="107" t="s">
        <v>197</v>
      </c>
      <c r="C2161" s="107" t="s">
        <v>274</v>
      </c>
      <c r="D2161" s="107">
        <v>3</v>
      </c>
      <c r="E2161" s="107" t="s">
        <v>193</v>
      </c>
      <c r="F2161" s="107" t="s">
        <v>692</v>
      </c>
      <c r="G2161" s="107">
        <v>2</v>
      </c>
      <c r="H2161" s="107">
        <v>15</v>
      </c>
      <c r="I2161" s="107">
        <v>8</v>
      </c>
      <c r="J2161" s="107">
        <f t="shared" si="34"/>
        <v>0.92499999999999993</v>
      </c>
      <c r="K2161" s="107">
        <v>4012</v>
      </c>
      <c r="L2161" s="107">
        <v>1814</v>
      </c>
      <c r="M2161" s="107">
        <v>429</v>
      </c>
      <c r="N2161" s="107"/>
      <c r="O2161" s="107"/>
    </row>
    <row r="2162" spans="1:15" x14ac:dyDescent="0.15">
      <c r="A2162" s="107">
        <v>1677</v>
      </c>
      <c r="B2162" s="107" t="s">
        <v>197</v>
      </c>
      <c r="C2162" s="107" t="s">
        <v>274</v>
      </c>
      <c r="D2162" s="107">
        <v>6</v>
      </c>
      <c r="E2162" s="107" t="s">
        <v>193</v>
      </c>
      <c r="F2162" s="107" t="s">
        <v>692</v>
      </c>
      <c r="G2162" s="107">
        <v>5</v>
      </c>
      <c r="H2162" s="107">
        <v>11</v>
      </c>
      <c r="I2162" s="107">
        <v>0</v>
      </c>
      <c r="J2162" s="107">
        <f t="shared" si="34"/>
        <v>0.92499999999999993</v>
      </c>
      <c r="K2162" s="107">
        <v>4013</v>
      </c>
      <c r="L2162" s="107">
        <v>1816</v>
      </c>
      <c r="M2162" s="107">
        <v>770</v>
      </c>
      <c r="N2162" s="107"/>
      <c r="O2162" s="107"/>
    </row>
    <row r="2163" spans="1:15" x14ac:dyDescent="0.15">
      <c r="A2163" s="107">
        <v>1681</v>
      </c>
      <c r="B2163" s="107" t="s">
        <v>260</v>
      </c>
      <c r="C2163" s="107" t="s">
        <v>271</v>
      </c>
      <c r="D2163" s="107">
        <v>25.75</v>
      </c>
      <c r="E2163" s="107" t="s">
        <v>193</v>
      </c>
      <c r="F2163" s="107" t="s">
        <v>692</v>
      </c>
      <c r="G2163" s="107">
        <v>13</v>
      </c>
      <c r="H2163" s="107">
        <v>2</v>
      </c>
      <c r="I2163" s="107">
        <v>1</v>
      </c>
      <c r="J2163" s="107">
        <f t="shared" si="34"/>
        <v>0.50885922330097089</v>
      </c>
      <c r="K2163" s="107">
        <v>4017</v>
      </c>
      <c r="L2163" s="107">
        <v>1819</v>
      </c>
      <c r="M2163" s="107">
        <v>460</v>
      </c>
      <c r="N2163" s="107"/>
      <c r="O2163" s="107"/>
    </row>
    <row r="2164" spans="1:15" x14ac:dyDescent="0.15">
      <c r="A2164" s="107">
        <v>1682</v>
      </c>
      <c r="B2164" s="107" t="s">
        <v>197</v>
      </c>
      <c r="C2164" s="107" t="s">
        <v>271</v>
      </c>
      <c r="D2164" s="107">
        <v>3</v>
      </c>
      <c r="E2164" s="107" t="s">
        <v>193</v>
      </c>
      <c r="F2164" s="107" t="s">
        <v>692</v>
      </c>
      <c r="G2164" s="107">
        <v>2</v>
      </c>
      <c r="H2164" s="107">
        <v>16</v>
      </c>
      <c r="I2164" s="107">
        <v>0</v>
      </c>
      <c r="J2164" s="107">
        <f t="shared" si="34"/>
        <v>0.93333333333333324</v>
      </c>
      <c r="K2164" s="107">
        <v>4018</v>
      </c>
      <c r="L2164" s="107">
        <v>1820</v>
      </c>
      <c r="M2164" s="107">
        <v>761</v>
      </c>
      <c r="N2164" s="107" t="s">
        <v>273</v>
      </c>
      <c r="O2164" s="107"/>
    </row>
    <row r="2165" spans="1:15" x14ac:dyDescent="0.15">
      <c r="A2165" s="107">
        <v>1683</v>
      </c>
      <c r="B2165" s="107" t="s">
        <v>197</v>
      </c>
      <c r="C2165" s="107" t="s">
        <v>271</v>
      </c>
      <c r="D2165" s="107">
        <v>2.25</v>
      </c>
      <c r="E2165" s="107" t="s">
        <v>193</v>
      </c>
      <c r="F2165" s="107" t="s">
        <v>692</v>
      </c>
      <c r="G2165" s="107">
        <v>1</v>
      </c>
      <c r="H2165" s="107">
        <v>6</v>
      </c>
      <c r="I2165" s="107">
        <v>4</v>
      </c>
      <c r="J2165" s="107">
        <f t="shared" si="34"/>
        <v>0.58333333333333337</v>
      </c>
      <c r="K2165" s="107">
        <v>4019</v>
      </c>
      <c r="L2165" s="107">
        <v>1822</v>
      </c>
      <c r="M2165" s="107">
        <v>600</v>
      </c>
      <c r="N2165" s="107"/>
      <c r="O2165" s="107"/>
    </row>
    <row r="2166" spans="1:15" x14ac:dyDescent="0.15">
      <c r="A2166" s="107">
        <v>1684</v>
      </c>
      <c r="B2166" s="107" t="s">
        <v>261</v>
      </c>
      <c r="C2166" s="107" t="s">
        <v>271</v>
      </c>
      <c r="D2166" s="107">
        <v>55.25</v>
      </c>
      <c r="E2166" s="107" t="s">
        <v>193</v>
      </c>
      <c r="F2166" s="107" t="s">
        <v>692</v>
      </c>
      <c r="G2166" s="107">
        <v>26</v>
      </c>
      <c r="H2166" s="107">
        <v>4</v>
      </c>
      <c r="I2166" s="107">
        <v>414</v>
      </c>
      <c r="J2166" s="107">
        <f t="shared" si="34"/>
        <v>0.49762443438914022</v>
      </c>
      <c r="K2166" s="107">
        <v>4021</v>
      </c>
      <c r="L2166" s="107">
        <v>1825</v>
      </c>
      <c r="M2166" s="107">
        <v>685</v>
      </c>
      <c r="N2166" s="107"/>
      <c r="O2166" s="107"/>
    </row>
    <row r="2167" spans="1:15" x14ac:dyDescent="0.15">
      <c r="A2167" s="107">
        <v>1686</v>
      </c>
      <c r="B2167" s="107" t="s">
        <v>244</v>
      </c>
      <c r="C2167" s="107" t="s">
        <v>295</v>
      </c>
      <c r="D2167" s="107">
        <v>8597</v>
      </c>
      <c r="E2167" s="107" t="s">
        <v>193</v>
      </c>
      <c r="F2167" s="107" t="s">
        <v>692</v>
      </c>
      <c r="G2167" s="107">
        <v>3408</v>
      </c>
      <c r="H2167" s="107">
        <v>15</v>
      </c>
      <c r="I2167" s="107">
        <v>11</v>
      </c>
      <c r="J2167" s="107">
        <f t="shared" si="34"/>
        <v>0.39650859311387693</v>
      </c>
      <c r="K2167" s="107">
        <v>4023</v>
      </c>
      <c r="L2167" s="107">
        <v>1829</v>
      </c>
      <c r="M2167" s="107">
        <v>1102</v>
      </c>
      <c r="N2167" s="107"/>
      <c r="O2167" s="107"/>
    </row>
    <row r="2168" spans="1:15" x14ac:dyDescent="0.15">
      <c r="A2168" s="107">
        <v>1689</v>
      </c>
      <c r="B2168" s="107" t="s">
        <v>197</v>
      </c>
      <c r="C2168" s="107" t="s">
        <v>271</v>
      </c>
      <c r="D2168" s="107">
        <v>6</v>
      </c>
      <c r="E2168" s="107" t="s">
        <v>193</v>
      </c>
      <c r="F2168" s="107" t="s">
        <v>692</v>
      </c>
      <c r="G2168" s="107">
        <v>3</v>
      </c>
      <c r="H2168" s="107">
        <v>0</v>
      </c>
      <c r="I2168" s="107">
        <v>0</v>
      </c>
      <c r="J2168" s="107">
        <f t="shared" si="34"/>
        <v>0.5</v>
      </c>
      <c r="K2168" s="107">
        <v>4027</v>
      </c>
      <c r="L2168" s="107">
        <v>1832</v>
      </c>
      <c r="M2168" s="107">
        <v>483</v>
      </c>
      <c r="N2168" s="107"/>
      <c r="O2168" s="107"/>
    </row>
    <row r="2169" spans="1:15" x14ac:dyDescent="0.15">
      <c r="A2169" s="107">
        <v>1697</v>
      </c>
      <c r="B2169" s="107" t="s">
        <v>197</v>
      </c>
      <c r="C2169" s="107" t="s">
        <v>271</v>
      </c>
      <c r="D2169" s="107">
        <v>41.5</v>
      </c>
      <c r="E2169" s="107" t="s">
        <v>193</v>
      </c>
      <c r="F2169" s="107" t="s">
        <v>692</v>
      </c>
      <c r="G2169" s="107">
        <v>31</v>
      </c>
      <c r="H2169" s="107">
        <v>2</v>
      </c>
      <c r="I2169" s="107">
        <v>8</v>
      </c>
      <c r="J2169" s="107">
        <f t="shared" si="34"/>
        <v>0.75</v>
      </c>
      <c r="K2169" s="107">
        <v>4038</v>
      </c>
      <c r="L2169" s="107">
        <v>1846</v>
      </c>
      <c r="M2169" s="107">
        <v>717</v>
      </c>
      <c r="N2169" s="107" t="s">
        <v>273</v>
      </c>
      <c r="O2169" s="107"/>
    </row>
    <row r="2170" spans="1:15" x14ac:dyDescent="0.15">
      <c r="A2170" s="107">
        <v>1698</v>
      </c>
      <c r="B2170" s="107" t="s">
        <v>200</v>
      </c>
      <c r="C2170" s="107" t="s">
        <v>271</v>
      </c>
      <c r="D2170" s="107">
        <v>4</v>
      </c>
      <c r="E2170" s="107" t="s">
        <v>193</v>
      </c>
      <c r="F2170" s="107" t="s">
        <v>692</v>
      </c>
      <c r="G2170" s="107">
        <v>3</v>
      </c>
      <c r="H2170" s="107">
        <v>0</v>
      </c>
      <c r="I2170" s="107">
        <v>0</v>
      </c>
      <c r="J2170" s="107">
        <f t="shared" si="34"/>
        <v>0.75</v>
      </c>
      <c r="K2170" s="107">
        <v>4043</v>
      </c>
      <c r="L2170" s="107">
        <v>1851</v>
      </c>
      <c r="M2170" s="107">
        <v>830</v>
      </c>
      <c r="N2170" s="107"/>
      <c r="O2170" s="107"/>
    </row>
    <row r="2171" spans="1:15" x14ac:dyDescent="0.15">
      <c r="A2171" s="107">
        <v>1699</v>
      </c>
      <c r="B2171" s="107" t="s">
        <v>197</v>
      </c>
      <c r="C2171" s="107" t="s">
        <v>271</v>
      </c>
      <c r="D2171" s="107">
        <v>14</v>
      </c>
      <c r="E2171" s="107" t="s">
        <v>193</v>
      </c>
      <c r="F2171" s="107" t="s">
        <v>692</v>
      </c>
      <c r="G2171" s="107">
        <v>10</v>
      </c>
      <c r="H2171" s="107">
        <v>10</v>
      </c>
      <c r="I2171" s="107">
        <v>0</v>
      </c>
      <c r="J2171" s="107">
        <f t="shared" si="34"/>
        <v>0.75</v>
      </c>
      <c r="K2171" s="107">
        <v>4043</v>
      </c>
      <c r="L2171" s="107">
        <v>1851</v>
      </c>
      <c r="M2171" s="107">
        <v>856</v>
      </c>
      <c r="N2171" s="107"/>
      <c r="O2171" s="107"/>
    </row>
    <row r="2172" spans="1:15" x14ac:dyDescent="0.15">
      <c r="A2172" s="107">
        <v>1700</v>
      </c>
      <c r="B2172" s="107" t="s">
        <v>200</v>
      </c>
      <c r="C2172" s="107" t="s">
        <v>271</v>
      </c>
      <c r="D2172" s="107">
        <v>4</v>
      </c>
      <c r="E2172" s="107" t="s">
        <v>193</v>
      </c>
      <c r="F2172" s="107" t="s">
        <v>692</v>
      </c>
      <c r="G2172" s="107">
        <v>3</v>
      </c>
      <c r="H2172" s="107">
        <v>0</v>
      </c>
      <c r="I2172" s="107">
        <v>0</v>
      </c>
      <c r="J2172" s="107">
        <f t="shared" si="34"/>
        <v>0.75</v>
      </c>
      <c r="K2172" s="107">
        <v>4047</v>
      </c>
      <c r="L2172" s="107">
        <v>1855</v>
      </c>
      <c r="M2172" s="107">
        <v>525</v>
      </c>
      <c r="N2172" s="107" t="s">
        <v>272</v>
      </c>
      <c r="O2172" s="107"/>
    </row>
    <row r="2173" spans="1:15" x14ac:dyDescent="0.15">
      <c r="A2173" s="107">
        <v>1701</v>
      </c>
      <c r="B2173" s="107" t="s">
        <v>197</v>
      </c>
      <c r="C2173" s="107" t="s">
        <v>271</v>
      </c>
      <c r="D2173" s="107">
        <v>4</v>
      </c>
      <c r="E2173" s="107" t="s">
        <v>193</v>
      </c>
      <c r="F2173" s="107" t="s">
        <v>692</v>
      </c>
      <c r="G2173" s="107">
        <v>3</v>
      </c>
      <c r="H2173" s="107">
        <v>0</v>
      </c>
      <c r="I2173" s="107">
        <v>0</v>
      </c>
      <c r="J2173" s="107">
        <f t="shared" si="34"/>
        <v>0.75</v>
      </c>
      <c r="K2173" s="107">
        <v>4047</v>
      </c>
      <c r="L2173" s="107">
        <v>1855</v>
      </c>
      <c r="M2173" s="107">
        <v>556</v>
      </c>
      <c r="N2173" s="107" t="s">
        <v>294</v>
      </c>
      <c r="O2173" s="107"/>
    </row>
    <row r="2174" spans="1:15" x14ac:dyDescent="0.15">
      <c r="A2174" s="107">
        <v>1701</v>
      </c>
      <c r="B2174" s="107" t="s">
        <v>197</v>
      </c>
      <c r="C2174" s="107" t="s">
        <v>271</v>
      </c>
      <c r="D2174" s="107">
        <v>20</v>
      </c>
      <c r="E2174" s="107" t="s">
        <v>193</v>
      </c>
      <c r="F2174" s="107" t="s">
        <v>692</v>
      </c>
      <c r="G2174" s="107">
        <v>15</v>
      </c>
      <c r="H2174" s="107">
        <v>0</v>
      </c>
      <c r="I2174" s="107">
        <v>0</v>
      </c>
      <c r="J2174" s="107">
        <f t="shared" si="34"/>
        <v>0.75</v>
      </c>
      <c r="K2174" s="107">
        <v>4047</v>
      </c>
      <c r="L2174" s="107">
        <v>1855</v>
      </c>
      <c r="M2174" s="107">
        <v>557</v>
      </c>
      <c r="N2174" s="107" t="s">
        <v>273</v>
      </c>
      <c r="O2174" s="107"/>
    </row>
    <row r="2175" spans="1:15" x14ac:dyDescent="0.15">
      <c r="A2175" s="107">
        <v>1700</v>
      </c>
      <c r="B2175" s="107" t="s">
        <v>192</v>
      </c>
      <c r="C2175" s="107" t="s">
        <v>271</v>
      </c>
      <c r="D2175" s="107">
        <v>1</v>
      </c>
      <c r="E2175" s="107" t="s">
        <v>414</v>
      </c>
      <c r="F2175" s="107" t="s">
        <v>693</v>
      </c>
      <c r="G2175" s="107">
        <v>6</v>
      </c>
      <c r="H2175" s="107">
        <v>0</v>
      </c>
      <c r="I2175" s="107">
        <v>0</v>
      </c>
      <c r="J2175" s="107">
        <f t="shared" si="34"/>
        <v>6</v>
      </c>
      <c r="K2175" s="107">
        <v>4047</v>
      </c>
      <c r="L2175" s="107">
        <v>1855</v>
      </c>
      <c r="M2175" s="107">
        <v>538</v>
      </c>
      <c r="N2175" s="107" t="s">
        <v>272</v>
      </c>
      <c r="O2175" s="107"/>
    </row>
    <row r="2176" spans="1:15" x14ac:dyDescent="0.15">
      <c r="A2176" s="107">
        <v>1655</v>
      </c>
      <c r="B2176" s="107" t="s">
        <v>196</v>
      </c>
      <c r="C2176" s="107" t="s">
        <v>274</v>
      </c>
      <c r="D2176" s="107">
        <v>2</v>
      </c>
      <c r="E2176" s="107" t="s">
        <v>204</v>
      </c>
      <c r="F2176" s="107" t="s">
        <v>694</v>
      </c>
      <c r="G2176" s="107">
        <v>7</v>
      </c>
      <c r="H2176" s="107">
        <v>4</v>
      </c>
      <c r="I2176" s="107">
        <v>0</v>
      </c>
      <c r="J2176" s="107">
        <f t="shared" si="34"/>
        <v>3.6</v>
      </c>
      <c r="K2176" s="107">
        <v>3990</v>
      </c>
      <c r="L2176" s="107">
        <v>1788</v>
      </c>
      <c r="M2176" s="107">
        <v>205</v>
      </c>
      <c r="N2176" s="107" t="s">
        <v>406</v>
      </c>
      <c r="O2176" s="107" t="s">
        <v>277</v>
      </c>
    </row>
    <row r="2177" spans="1:15" x14ac:dyDescent="0.15">
      <c r="A2177" s="107">
        <v>1655</v>
      </c>
      <c r="B2177" s="107" t="s">
        <v>196</v>
      </c>
      <c r="C2177" s="107" t="s">
        <v>274</v>
      </c>
      <c r="D2177" s="107">
        <v>1</v>
      </c>
      <c r="E2177" s="107" t="s">
        <v>204</v>
      </c>
      <c r="F2177" s="107" t="s">
        <v>694</v>
      </c>
      <c r="G2177" s="107">
        <v>3</v>
      </c>
      <c r="H2177" s="107">
        <v>12</v>
      </c>
      <c r="I2177" s="107">
        <v>0</v>
      </c>
      <c r="J2177" s="107">
        <f t="shared" si="34"/>
        <v>3.6</v>
      </c>
      <c r="K2177" s="107">
        <v>3990</v>
      </c>
      <c r="L2177" s="107">
        <v>1788</v>
      </c>
      <c r="M2177" s="107">
        <v>205</v>
      </c>
      <c r="N2177" s="107" t="s">
        <v>406</v>
      </c>
      <c r="O2177" s="107" t="s">
        <v>277</v>
      </c>
    </row>
    <row r="2178" spans="1:15" x14ac:dyDescent="0.15">
      <c r="A2178" s="107">
        <v>1655</v>
      </c>
      <c r="B2178" s="107" t="s">
        <v>196</v>
      </c>
      <c r="C2178" s="107" t="s">
        <v>274</v>
      </c>
      <c r="D2178" s="107">
        <v>1</v>
      </c>
      <c r="E2178" s="107" t="s">
        <v>204</v>
      </c>
      <c r="F2178" s="107" t="s">
        <v>694</v>
      </c>
      <c r="G2178" s="107">
        <v>3</v>
      </c>
      <c r="H2178" s="107">
        <v>12</v>
      </c>
      <c r="I2178" s="107">
        <v>0</v>
      </c>
      <c r="J2178" s="107">
        <f t="shared" si="34"/>
        <v>3.6</v>
      </c>
      <c r="K2178" s="107">
        <v>3990</v>
      </c>
      <c r="L2178" s="107">
        <v>1788</v>
      </c>
      <c r="M2178" s="107">
        <v>205</v>
      </c>
      <c r="N2178" s="107" t="s">
        <v>406</v>
      </c>
      <c r="O2178" s="107" t="s">
        <v>277</v>
      </c>
    </row>
    <row r="2179" spans="1:15" x14ac:dyDescent="0.15">
      <c r="A2179" s="107">
        <v>1655</v>
      </c>
      <c r="B2179" s="107" t="s">
        <v>196</v>
      </c>
      <c r="C2179" s="107" t="s">
        <v>274</v>
      </c>
      <c r="D2179" s="107">
        <v>2</v>
      </c>
      <c r="E2179" s="107" t="s">
        <v>204</v>
      </c>
      <c r="F2179" s="107" t="s">
        <v>694</v>
      </c>
      <c r="G2179" s="107">
        <v>7</v>
      </c>
      <c r="H2179" s="107">
        <v>4</v>
      </c>
      <c r="I2179" s="107">
        <v>0</v>
      </c>
      <c r="J2179" s="107">
        <f t="shared" si="34"/>
        <v>3.6</v>
      </c>
      <c r="K2179" s="107">
        <v>3990</v>
      </c>
      <c r="L2179" s="107">
        <v>1788</v>
      </c>
      <c r="M2179" s="107">
        <v>205</v>
      </c>
      <c r="N2179" s="107" t="s">
        <v>406</v>
      </c>
      <c r="O2179" s="107" t="s">
        <v>277</v>
      </c>
    </row>
    <row r="2180" spans="1:15" x14ac:dyDescent="0.15">
      <c r="A2180" s="107">
        <v>1655</v>
      </c>
      <c r="B2180" s="107" t="s">
        <v>196</v>
      </c>
      <c r="C2180" s="107" t="s">
        <v>274</v>
      </c>
      <c r="D2180" s="107">
        <v>3</v>
      </c>
      <c r="E2180" s="107" t="s">
        <v>204</v>
      </c>
      <c r="F2180" s="107" t="s">
        <v>694</v>
      </c>
      <c r="G2180" s="107">
        <v>10</v>
      </c>
      <c r="H2180" s="107">
        <v>16</v>
      </c>
      <c r="I2180" s="107">
        <v>0</v>
      </c>
      <c r="J2180" s="107">
        <f t="shared" si="34"/>
        <v>3.6</v>
      </c>
      <c r="K2180" s="107">
        <v>3990</v>
      </c>
      <c r="L2180" s="107">
        <v>1788</v>
      </c>
      <c r="M2180" s="107">
        <v>206</v>
      </c>
      <c r="N2180" s="107" t="s">
        <v>406</v>
      </c>
      <c r="O2180" s="107" t="s">
        <v>277</v>
      </c>
    </row>
    <row r="2181" spans="1:15" x14ac:dyDescent="0.15">
      <c r="A2181" s="107">
        <v>1655</v>
      </c>
      <c r="B2181" s="107" t="s">
        <v>196</v>
      </c>
      <c r="C2181" s="107" t="s">
        <v>274</v>
      </c>
      <c r="D2181" s="107">
        <v>2</v>
      </c>
      <c r="E2181" s="107" t="s">
        <v>204</v>
      </c>
      <c r="F2181" s="107" t="s">
        <v>694</v>
      </c>
      <c r="G2181" s="107">
        <v>7</v>
      </c>
      <c r="H2181" s="107">
        <v>4</v>
      </c>
      <c r="I2181" s="107">
        <v>0</v>
      </c>
      <c r="J2181" s="107">
        <f t="shared" si="34"/>
        <v>3.6</v>
      </c>
      <c r="K2181" s="107">
        <v>3990</v>
      </c>
      <c r="L2181" s="107">
        <v>1788</v>
      </c>
      <c r="M2181" s="107">
        <v>206</v>
      </c>
      <c r="N2181" s="107" t="s">
        <v>406</v>
      </c>
      <c r="O2181" s="107" t="s">
        <v>277</v>
      </c>
    </row>
    <row r="2182" spans="1:15" x14ac:dyDescent="0.15">
      <c r="A2182" s="107">
        <v>1655</v>
      </c>
      <c r="B2182" s="107" t="s">
        <v>197</v>
      </c>
      <c r="C2182" s="107" t="s">
        <v>274</v>
      </c>
      <c r="D2182" s="107">
        <v>2</v>
      </c>
      <c r="E2182" s="107" t="s">
        <v>204</v>
      </c>
      <c r="F2182" s="107" t="s">
        <v>694</v>
      </c>
      <c r="G2182" s="107">
        <v>7</v>
      </c>
      <c r="H2182" s="107">
        <v>4</v>
      </c>
      <c r="I2182" s="107">
        <v>0</v>
      </c>
      <c r="J2182" s="107">
        <f t="shared" si="34"/>
        <v>3.6</v>
      </c>
      <c r="K2182" s="107">
        <v>3990</v>
      </c>
      <c r="L2182" s="107">
        <v>1788</v>
      </c>
      <c r="M2182" s="107">
        <v>211</v>
      </c>
      <c r="N2182" s="107" t="s">
        <v>497</v>
      </c>
      <c r="O2182" s="107" t="s">
        <v>498</v>
      </c>
    </row>
    <row r="2183" spans="1:15" x14ac:dyDescent="0.15">
      <c r="A2183" s="107">
        <v>1655</v>
      </c>
      <c r="B2183" s="107" t="s">
        <v>247</v>
      </c>
      <c r="C2183" s="107" t="s">
        <v>274</v>
      </c>
      <c r="D2183" s="107">
        <v>1</v>
      </c>
      <c r="E2183" s="107"/>
      <c r="F2183" s="107" t="s">
        <v>694</v>
      </c>
      <c r="G2183" s="107">
        <v>3</v>
      </c>
      <c r="H2183" s="107">
        <v>12</v>
      </c>
      <c r="I2183" s="107">
        <v>0</v>
      </c>
      <c r="J2183" s="107">
        <f t="shared" si="34"/>
        <v>3.6</v>
      </c>
      <c r="K2183" s="107">
        <v>3990</v>
      </c>
      <c r="L2183" s="107">
        <v>1788</v>
      </c>
      <c r="M2183" s="107">
        <v>226</v>
      </c>
      <c r="N2183" s="107" t="s">
        <v>287</v>
      </c>
      <c r="O2183" s="107" t="s">
        <v>410</v>
      </c>
    </row>
    <row r="2184" spans="1:15" x14ac:dyDescent="0.15">
      <c r="A2184" s="107">
        <v>1656</v>
      </c>
      <c r="B2184" s="107" t="s">
        <v>283</v>
      </c>
      <c r="C2184" s="107" t="s">
        <v>274</v>
      </c>
      <c r="D2184" s="107">
        <v>10</v>
      </c>
      <c r="E2184" s="107" t="s">
        <v>204</v>
      </c>
      <c r="F2184" s="107" t="s">
        <v>694</v>
      </c>
      <c r="G2184" s="107">
        <v>22</v>
      </c>
      <c r="H2184" s="107">
        <v>3</v>
      </c>
      <c r="I2184" s="107">
        <v>9</v>
      </c>
      <c r="J2184" s="107">
        <f t="shared" si="34"/>
        <v>2.2178125</v>
      </c>
      <c r="K2184" s="107">
        <v>3991</v>
      </c>
      <c r="L2184" s="107">
        <v>1788</v>
      </c>
      <c r="M2184" s="107">
        <v>149</v>
      </c>
      <c r="N2184" s="107" t="s">
        <v>284</v>
      </c>
      <c r="O2184" s="107"/>
    </row>
    <row r="2185" spans="1:15" x14ac:dyDescent="0.15">
      <c r="A2185" s="107">
        <v>1676</v>
      </c>
      <c r="B2185" s="107" t="s">
        <v>196</v>
      </c>
      <c r="C2185" s="107" t="s">
        <v>274</v>
      </c>
      <c r="D2185" s="107">
        <v>6</v>
      </c>
      <c r="E2185" s="107" t="s">
        <v>204</v>
      </c>
      <c r="F2185" s="107" t="s">
        <v>694</v>
      </c>
      <c r="G2185" s="107">
        <v>14</v>
      </c>
      <c r="H2185" s="107">
        <v>8</v>
      </c>
      <c r="I2185" s="107">
        <v>0</v>
      </c>
      <c r="J2185" s="107">
        <f t="shared" si="34"/>
        <v>2.4</v>
      </c>
      <c r="K2185" s="107">
        <v>4012</v>
      </c>
      <c r="L2185" s="107">
        <v>1814</v>
      </c>
      <c r="M2185" s="107">
        <v>445</v>
      </c>
      <c r="N2185" s="107"/>
      <c r="O2185" s="107"/>
    </row>
    <row r="2186" spans="1:15" x14ac:dyDescent="0.15">
      <c r="A2186" s="107">
        <v>1655</v>
      </c>
      <c r="B2186" s="107" t="s">
        <v>197</v>
      </c>
      <c r="C2186" s="107" t="s">
        <v>274</v>
      </c>
      <c r="D2186" s="107">
        <v>2</v>
      </c>
      <c r="E2186" s="107" t="s">
        <v>695</v>
      </c>
      <c r="F2186" s="107" t="s">
        <v>189</v>
      </c>
      <c r="G2186" s="107">
        <v>28</v>
      </c>
      <c r="H2186" s="107">
        <v>0</v>
      </c>
      <c r="I2186" s="107">
        <v>0</v>
      </c>
      <c r="J2186" s="107">
        <f t="shared" si="34"/>
        <v>14</v>
      </c>
      <c r="K2186" s="107">
        <v>3990</v>
      </c>
      <c r="L2186" s="107">
        <v>1788</v>
      </c>
      <c r="M2186" s="107">
        <v>149</v>
      </c>
      <c r="N2186" s="107" t="s">
        <v>339</v>
      </c>
      <c r="O2186" s="107"/>
    </row>
    <row r="2187" spans="1:15" x14ac:dyDescent="0.15">
      <c r="A2187" s="107">
        <v>1658</v>
      </c>
      <c r="B2187" s="107" t="s">
        <v>197</v>
      </c>
      <c r="C2187" s="107" t="s">
        <v>274</v>
      </c>
      <c r="D2187" s="107">
        <v>16.25</v>
      </c>
      <c r="E2187" s="107" t="s">
        <v>188</v>
      </c>
      <c r="F2187" s="107" t="s">
        <v>189</v>
      </c>
      <c r="G2187" s="107">
        <v>140</v>
      </c>
      <c r="H2187" s="107">
        <v>0</v>
      </c>
      <c r="I2187" s="107">
        <v>0</v>
      </c>
      <c r="J2187" s="107">
        <f t="shared" si="34"/>
        <v>8.615384615384615</v>
      </c>
      <c r="K2187" s="107">
        <v>3993</v>
      </c>
      <c r="L2187" s="107">
        <v>1791</v>
      </c>
      <c r="M2187" s="107">
        <v>278</v>
      </c>
      <c r="N2187" s="107"/>
      <c r="O2187" s="107"/>
    </row>
    <row r="2188" spans="1:15" x14ac:dyDescent="0.15">
      <c r="A2188" s="107">
        <v>1660</v>
      </c>
      <c r="B2188" s="107" t="s">
        <v>197</v>
      </c>
      <c r="C2188" s="107" t="s">
        <v>274</v>
      </c>
      <c r="D2188" s="107">
        <v>294.4375</v>
      </c>
      <c r="E2188" s="107" t="s">
        <v>188</v>
      </c>
      <c r="F2188" s="107" t="s">
        <v>189</v>
      </c>
      <c r="G2188" s="107">
        <v>2060</v>
      </c>
      <c r="H2188" s="107">
        <v>5</v>
      </c>
      <c r="I2188" s="107">
        <v>0</v>
      </c>
      <c r="J2188" s="107">
        <f t="shared" si="34"/>
        <v>6.9972405009552112</v>
      </c>
      <c r="K2188" s="107">
        <v>3995</v>
      </c>
      <c r="L2188" s="107">
        <v>1793</v>
      </c>
      <c r="M2188" s="107">
        <v>198</v>
      </c>
      <c r="N2188" s="107"/>
      <c r="O2188" s="107"/>
    </row>
    <row r="2189" spans="1:15" x14ac:dyDescent="0.15">
      <c r="A2189" s="107">
        <v>1661</v>
      </c>
      <c r="B2189" s="107" t="s">
        <v>197</v>
      </c>
      <c r="C2189" s="107" t="s">
        <v>274</v>
      </c>
      <c r="D2189" s="107">
        <v>158.75</v>
      </c>
      <c r="E2189" s="107" t="s">
        <v>188</v>
      </c>
      <c r="F2189" s="107" t="s">
        <v>189</v>
      </c>
      <c r="G2189" s="107">
        <v>1016</v>
      </c>
      <c r="H2189" s="107">
        <v>0</v>
      </c>
      <c r="I2189" s="107">
        <v>0</v>
      </c>
      <c r="J2189" s="107">
        <f t="shared" si="34"/>
        <v>6.4</v>
      </c>
      <c r="K2189" s="107">
        <v>3996</v>
      </c>
      <c r="L2189" s="107">
        <v>1794</v>
      </c>
      <c r="M2189" s="107" t="s">
        <v>290</v>
      </c>
      <c r="N2189" s="107"/>
      <c r="O2189" s="107"/>
    </row>
    <row r="2190" spans="1:15" x14ac:dyDescent="0.15">
      <c r="A2190" s="107">
        <v>1662</v>
      </c>
      <c r="B2190" s="107" t="s">
        <v>197</v>
      </c>
      <c r="C2190" s="107" t="s">
        <v>274</v>
      </c>
      <c r="D2190" s="107">
        <v>185.625</v>
      </c>
      <c r="E2190" s="107" t="s">
        <v>188</v>
      </c>
      <c r="F2190" s="107" t="s">
        <v>189</v>
      </c>
      <c r="G2190" s="107">
        <v>1188</v>
      </c>
      <c r="H2190" s="107">
        <v>0</v>
      </c>
      <c r="I2190" s="107">
        <v>0</v>
      </c>
      <c r="J2190" s="107">
        <f t="shared" si="34"/>
        <v>6.4</v>
      </c>
      <c r="K2190" s="107">
        <v>3997</v>
      </c>
      <c r="L2190" s="107">
        <v>1795</v>
      </c>
      <c r="M2190" s="107">
        <v>303</v>
      </c>
      <c r="N2190" s="107"/>
      <c r="O2190" s="107"/>
    </row>
    <row r="2191" spans="1:15" x14ac:dyDescent="0.15">
      <c r="A2191" s="107">
        <v>1663</v>
      </c>
      <c r="B2191" s="107" t="s">
        <v>197</v>
      </c>
      <c r="C2191" s="107" t="s">
        <v>274</v>
      </c>
      <c r="D2191" s="107">
        <v>104.25</v>
      </c>
      <c r="E2191" s="107" t="s">
        <v>188</v>
      </c>
      <c r="F2191" s="107" t="s">
        <v>189</v>
      </c>
      <c r="G2191" s="107">
        <v>668</v>
      </c>
      <c r="H2191" s="107">
        <v>16</v>
      </c>
      <c r="I2191" s="107">
        <v>0</v>
      </c>
      <c r="J2191" s="107">
        <f t="shared" si="34"/>
        <v>6.4153477218225419</v>
      </c>
      <c r="K2191" s="107">
        <v>3998</v>
      </c>
      <c r="L2191" s="107">
        <v>1797</v>
      </c>
      <c r="M2191" s="107" t="s">
        <v>290</v>
      </c>
      <c r="N2191" s="107"/>
      <c r="O2191" s="107"/>
    </row>
    <row r="2192" spans="1:15" x14ac:dyDescent="0.15">
      <c r="A2192" s="107">
        <v>1665</v>
      </c>
      <c r="B2192" s="107" t="s">
        <v>197</v>
      </c>
      <c r="C2192" s="107" t="s">
        <v>274</v>
      </c>
      <c r="D2192" s="107">
        <v>53</v>
      </c>
      <c r="E2192" s="107" t="s">
        <v>188</v>
      </c>
      <c r="F2192" s="107" t="s">
        <v>189</v>
      </c>
      <c r="G2192" s="107">
        <v>371</v>
      </c>
      <c r="H2192" s="107">
        <v>0</v>
      </c>
      <c r="I2192" s="107">
        <v>0</v>
      </c>
      <c r="J2192" s="107">
        <f t="shared" si="34"/>
        <v>7</v>
      </c>
      <c r="K2192" s="107">
        <v>4000</v>
      </c>
      <c r="L2192" s="107">
        <v>1798</v>
      </c>
      <c r="M2192" s="107">
        <v>61</v>
      </c>
      <c r="N2192" s="107"/>
      <c r="O2192" s="107"/>
    </row>
    <row r="2193" spans="1:14" x14ac:dyDescent="0.15">
      <c r="A2193" s="107">
        <v>1666</v>
      </c>
      <c r="B2193" s="107" t="s">
        <v>197</v>
      </c>
      <c r="C2193" s="107" t="s">
        <v>274</v>
      </c>
      <c r="D2193" s="107">
        <v>35.200000000000003</v>
      </c>
      <c r="E2193" s="107" t="s">
        <v>188</v>
      </c>
      <c r="F2193" s="107" t="s">
        <v>189</v>
      </c>
      <c r="G2193" s="107">
        <v>246</v>
      </c>
      <c r="H2193" s="107">
        <v>6</v>
      </c>
      <c r="I2193" s="107">
        <v>4</v>
      </c>
      <c r="J2193" s="107">
        <f t="shared" si="34"/>
        <v>6.9975142045454541</v>
      </c>
      <c r="K2193" s="107">
        <v>4001</v>
      </c>
      <c r="L2193" s="107">
        <v>1800</v>
      </c>
      <c r="M2193" s="107">
        <v>38</v>
      </c>
      <c r="N2193" s="107"/>
    </row>
    <row r="2194" spans="1:14" x14ac:dyDescent="0.15">
      <c r="A2194" s="107">
        <v>1667</v>
      </c>
      <c r="B2194" s="107" t="s">
        <v>197</v>
      </c>
      <c r="C2194" s="107" t="s">
        <v>274</v>
      </c>
      <c r="D2194" s="107">
        <v>21.5625</v>
      </c>
      <c r="E2194" s="107" t="s">
        <v>188</v>
      </c>
      <c r="F2194" s="107" t="s">
        <v>189</v>
      </c>
      <c r="G2194" s="107">
        <v>150</v>
      </c>
      <c r="H2194" s="107">
        <v>18</v>
      </c>
      <c r="I2194" s="107">
        <v>12</v>
      </c>
      <c r="J2194" s="107">
        <f t="shared" si="34"/>
        <v>7</v>
      </c>
      <c r="K2194" s="107">
        <v>4002</v>
      </c>
      <c r="L2194" s="107">
        <v>1802</v>
      </c>
      <c r="M2194" s="107">
        <v>760</v>
      </c>
      <c r="N2194" s="107"/>
    </row>
    <row r="2195" spans="1:14" x14ac:dyDescent="0.15">
      <c r="A2195" s="107">
        <v>1668</v>
      </c>
      <c r="B2195" s="107" t="s">
        <v>197</v>
      </c>
      <c r="C2195" s="107" t="s">
        <v>274</v>
      </c>
      <c r="D2195" s="107">
        <v>39</v>
      </c>
      <c r="E2195" s="107" t="s">
        <v>344</v>
      </c>
      <c r="F2195" s="107" t="s">
        <v>189</v>
      </c>
      <c r="G2195" s="107">
        <v>78</v>
      </c>
      <c r="H2195" s="107">
        <v>0</v>
      </c>
      <c r="I2195" s="107">
        <v>0</v>
      </c>
      <c r="J2195" s="107">
        <f t="shared" si="34"/>
        <v>2</v>
      </c>
      <c r="K2195" s="107">
        <v>4003</v>
      </c>
      <c r="L2195" s="107">
        <v>1802</v>
      </c>
      <c r="M2195" s="107">
        <v>42</v>
      </c>
      <c r="N2195" s="107"/>
    </row>
    <row r="2196" spans="1:14" x14ac:dyDescent="0.15">
      <c r="A2196" s="107">
        <v>1669</v>
      </c>
      <c r="B2196" s="107" t="s">
        <v>196</v>
      </c>
      <c r="C2196" s="107" t="s">
        <v>274</v>
      </c>
      <c r="D2196" s="107">
        <v>18.5</v>
      </c>
      <c r="E2196" s="107" t="s">
        <v>344</v>
      </c>
      <c r="F2196" s="107" t="s">
        <v>189</v>
      </c>
      <c r="G2196" s="107">
        <v>46</v>
      </c>
      <c r="H2196" s="107">
        <v>5</v>
      </c>
      <c r="I2196" s="107">
        <v>0</v>
      </c>
      <c r="J2196" s="107">
        <f t="shared" si="34"/>
        <v>2.5</v>
      </c>
      <c r="K2196" s="107">
        <v>4004</v>
      </c>
      <c r="L2196" s="107">
        <v>1805</v>
      </c>
      <c r="M2196" s="107">
        <v>570</v>
      </c>
      <c r="N2196" s="107"/>
    </row>
    <row r="2197" spans="1:14" x14ac:dyDescent="0.15">
      <c r="A2197" s="107">
        <v>1670</v>
      </c>
      <c r="B2197" s="107" t="s">
        <v>197</v>
      </c>
      <c r="C2197" s="107" t="s">
        <v>274</v>
      </c>
      <c r="D2197" s="107">
        <v>4</v>
      </c>
      <c r="E2197" s="107" t="s">
        <v>336</v>
      </c>
      <c r="F2197" s="107" t="s">
        <v>189</v>
      </c>
      <c r="G2197" s="107">
        <v>48</v>
      </c>
      <c r="H2197" s="107">
        <v>0</v>
      </c>
      <c r="I2197" s="107">
        <v>0</v>
      </c>
      <c r="J2197" s="107">
        <f t="shared" si="34"/>
        <v>12</v>
      </c>
      <c r="K2197" s="107">
        <v>4006</v>
      </c>
      <c r="L2197" s="107">
        <v>1808</v>
      </c>
      <c r="M2197" s="107">
        <v>635</v>
      </c>
      <c r="N2197" s="107"/>
    </row>
    <row r="2198" spans="1:14" x14ac:dyDescent="0.15">
      <c r="A2198" s="107">
        <v>1671</v>
      </c>
      <c r="B2198" s="107" t="s">
        <v>356</v>
      </c>
      <c r="C2198" s="107" t="s">
        <v>274</v>
      </c>
      <c r="D2198" s="107">
        <v>1</v>
      </c>
      <c r="E2198" s="107" t="s">
        <v>188</v>
      </c>
      <c r="F2198" s="107" t="s">
        <v>189</v>
      </c>
      <c r="G2198" s="107">
        <v>10</v>
      </c>
      <c r="H2198" s="107">
        <v>0</v>
      </c>
      <c r="I2198" s="107">
        <v>0</v>
      </c>
      <c r="J2198" s="107">
        <f t="shared" si="34"/>
        <v>10</v>
      </c>
      <c r="K2198" s="107">
        <v>4008</v>
      </c>
      <c r="L2198" s="107">
        <v>1810</v>
      </c>
      <c r="M2198" s="107">
        <v>433</v>
      </c>
      <c r="N2198" s="107"/>
    </row>
    <row r="2199" spans="1:14" x14ac:dyDescent="0.15">
      <c r="A2199" s="107">
        <v>1672</v>
      </c>
      <c r="B2199" s="107" t="s">
        <v>196</v>
      </c>
      <c r="C2199" s="107" t="s">
        <v>274</v>
      </c>
      <c r="D2199" s="107">
        <v>2</v>
      </c>
      <c r="E2199" s="107" t="s">
        <v>188</v>
      </c>
      <c r="F2199" s="107" t="s">
        <v>189</v>
      </c>
      <c r="G2199" s="107">
        <v>20</v>
      </c>
      <c r="H2199" s="107">
        <v>0</v>
      </c>
      <c r="I2199" s="107">
        <v>0</v>
      </c>
      <c r="J2199" s="107">
        <f t="shared" si="34"/>
        <v>10</v>
      </c>
      <c r="K2199" s="107">
        <v>4008</v>
      </c>
      <c r="L2199" s="107">
        <v>1810</v>
      </c>
      <c r="M2199" s="107">
        <v>511</v>
      </c>
      <c r="N2199" s="107"/>
    </row>
    <row r="2200" spans="1:14" x14ac:dyDescent="0.15">
      <c r="A2200" s="107">
        <v>1673</v>
      </c>
      <c r="B2200" s="107" t="s">
        <v>197</v>
      </c>
      <c r="C2200" s="107" t="s">
        <v>274</v>
      </c>
      <c r="D2200" s="107">
        <v>1.75</v>
      </c>
      <c r="E2200" s="107" t="s">
        <v>188</v>
      </c>
      <c r="F2200" s="107" t="s">
        <v>189</v>
      </c>
      <c r="G2200" s="107">
        <v>17</v>
      </c>
      <c r="H2200" s="107">
        <v>10</v>
      </c>
      <c r="I2200" s="107">
        <v>0</v>
      </c>
      <c r="J2200" s="107">
        <f t="shared" si="34"/>
        <v>10</v>
      </c>
      <c r="K2200" s="107">
        <v>4010</v>
      </c>
      <c r="L2200" s="107">
        <v>1812</v>
      </c>
      <c r="M2200" s="107">
        <v>548</v>
      </c>
      <c r="N2200" s="107"/>
    </row>
    <row r="2201" spans="1:14" x14ac:dyDescent="0.15">
      <c r="A2201" s="107">
        <v>1674</v>
      </c>
      <c r="B2201" s="107" t="s">
        <v>197</v>
      </c>
      <c r="C2201" s="107" t="s">
        <v>274</v>
      </c>
      <c r="D2201" s="107">
        <v>2</v>
      </c>
      <c r="E2201" s="107" t="s">
        <v>188</v>
      </c>
      <c r="F2201" s="107" t="s">
        <v>189</v>
      </c>
      <c r="G2201" s="107">
        <v>20</v>
      </c>
      <c r="H2201" s="107">
        <v>0</v>
      </c>
      <c r="I2201" s="107">
        <v>0</v>
      </c>
      <c r="J2201" s="107">
        <f t="shared" si="34"/>
        <v>10</v>
      </c>
      <c r="K2201" s="107">
        <v>4011</v>
      </c>
      <c r="L2201" s="107">
        <v>1814</v>
      </c>
      <c r="M2201" s="107">
        <v>595</v>
      </c>
      <c r="N2201" s="107" t="s">
        <v>294</v>
      </c>
    </row>
    <row r="2202" spans="1:14" x14ac:dyDescent="0.15">
      <c r="A2202" s="107">
        <v>1674</v>
      </c>
      <c r="B2202" s="107" t="s">
        <v>196</v>
      </c>
      <c r="C2202" s="107" t="s">
        <v>274</v>
      </c>
      <c r="D2202" s="107">
        <v>0.5</v>
      </c>
      <c r="E2202" s="107" t="s">
        <v>188</v>
      </c>
      <c r="F2202" s="107" t="s">
        <v>189</v>
      </c>
      <c r="G2202" s="107">
        <v>5</v>
      </c>
      <c r="H2202" s="107">
        <v>0</v>
      </c>
      <c r="I2202" s="107">
        <v>0</v>
      </c>
      <c r="J2202" s="107">
        <f t="shared" si="34"/>
        <v>10</v>
      </c>
      <c r="K2202" s="107">
        <v>4011</v>
      </c>
      <c r="L2202" s="107">
        <v>1814</v>
      </c>
      <c r="M2202" s="107">
        <v>601</v>
      </c>
      <c r="N2202" s="107" t="s">
        <v>294</v>
      </c>
    </row>
    <row r="2203" spans="1:14" x14ac:dyDescent="0.15">
      <c r="A2203" s="107">
        <v>1676</v>
      </c>
      <c r="B2203" s="107" t="s">
        <v>197</v>
      </c>
      <c r="C2203" s="107" t="s">
        <v>274</v>
      </c>
      <c r="D2203" s="107">
        <v>3</v>
      </c>
      <c r="E2203" s="107" t="s">
        <v>188</v>
      </c>
      <c r="F2203" s="107" t="s">
        <v>189</v>
      </c>
      <c r="G2203" s="107">
        <v>24</v>
      </c>
      <c r="H2203" s="107">
        <v>0</v>
      </c>
      <c r="I2203" s="107">
        <v>0</v>
      </c>
      <c r="J2203" s="107">
        <f t="shared" si="34"/>
        <v>8</v>
      </c>
      <c r="K2203" s="107">
        <v>4012</v>
      </c>
      <c r="L2203" s="107">
        <v>1814</v>
      </c>
      <c r="M2203" s="107">
        <v>427</v>
      </c>
      <c r="N2203" s="107"/>
    </row>
    <row r="2204" spans="1:14" x14ac:dyDescent="0.15">
      <c r="A2204" s="107">
        <v>1677</v>
      </c>
      <c r="B2204" s="107" t="s">
        <v>197</v>
      </c>
      <c r="C2204" s="107" t="s">
        <v>274</v>
      </c>
      <c r="D2204" s="107">
        <v>1</v>
      </c>
      <c r="E2204" s="107" t="s">
        <v>188</v>
      </c>
      <c r="F2204" s="107" t="s">
        <v>189</v>
      </c>
      <c r="G2204" s="107">
        <v>8</v>
      </c>
      <c r="H2204" s="107">
        <v>0</v>
      </c>
      <c r="I2204" s="107">
        <v>0</v>
      </c>
      <c r="J2204" s="107">
        <f t="shared" si="34"/>
        <v>8</v>
      </c>
      <c r="K2204" s="107">
        <v>4013</v>
      </c>
      <c r="L2204" s="107">
        <v>1816</v>
      </c>
      <c r="M2204" s="107">
        <v>759</v>
      </c>
      <c r="N2204" s="107"/>
    </row>
    <row r="2205" spans="1:14" x14ac:dyDescent="0.15">
      <c r="A2205" s="107">
        <v>1681</v>
      </c>
      <c r="B2205" s="107" t="s">
        <v>197</v>
      </c>
      <c r="C2205" s="107" t="s">
        <v>271</v>
      </c>
      <c r="D2205" s="107">
        <v>0.25</v>
      </c>
      <c r="E2205" s="107" t="s">
        <v>188</v>
      </c>
      <c r="F2205" s="107" t="s">
        <v>189</v>
      </c>
      <c r="G2205" s="107">
        <v>3</v>
      </c>
      <c r="H2205" s="107">
        <v>0</v>
      </c>
      <c r="I2205" s="107">
        <v>0</v>
      </c>
      <c r="J2205" s="107">
        <f t="shared" si="34"/>
        <v>12</v>
      </c>
      <c r="K2205" s="107">
        <v>4017</v>
      </c>
      <c r="L2205" s="107">
        <v>1819</v>
      </c>
      <c r="M2205" s="107">
        <v>426</v>
      </c>
      <c r="N2205" s="107"/>
    </row>
    <row r="2206" spans="1:14" x14ac:dyDescent="0.15">
      <c r="A2206" s="107">
        <v>1682</v>
      </c>
      <c r="B2206" s="107" t="s">
        <v>197</v>
      </c>
      <c r="C2206" s="107" t="s">
        <v>271</v>
      </c>
      <c r="D2206" s="107">
        <v>52.625</v>
      </c>
      <c r="E2206" s="107" t="s">
        <v>188</v>
      </c>
      <c r="F2206" s="107" t="s">
        <v>189</v>
      </c>
      <c r="G2206" s="107">
        <v>578</v>
      </c>
      <c r="H2206" s="107">
        <v>17</v>
      </c>
      <c r="I2206" s="107">
        <v>8</v>
      </c>
      <c r="J2206" s="107">
        <f t="shared" si="34"/>
        <v>11</v>
      </c>
      <c r="K2206" s="107">
        <v>4018</v>
      </c>
      <c r="L2206" s="107">
        <v>1820</v>
      </c>
      <c r="M2206" s="107">
        <v>754</v>
      </c>
      <c r="N2206" s="107" t="s">
        <v>294</v>
      </c>
    </row>
    <row r="2207" spans="1:14" x14ac:dyDescent="0.15">
      <c r="A2207" s="107">
        <v>1682</v>
      </c>
      <c r="B2207" s="107" t="s">
        <v>196</v>
      </c>
      <c r="C2207" s="107" t="s">
        <v>271</v>
      </c>
      <c r="D2207" s="107">
        <v>53.25</v>
      </c>
      <c r="E2207" s="107" t="s">
        <v>188</v>
      </c>
      <c r="F2207" s="107" t="s">
        <v>189</v>
      </c>
      <c r="G2207" s="107">
        <v>585</v>
      </c>
      <c r="H2207" s="107">
        <v>15</v>
      </c>
      <c r="I2207" s="107">
        <v>0</v>
      </c>
      <c r="J2207" s="107">
        <f t="shared" si="34"/>
        <v>11</v>
      </c>
      <c r="K2207" s="107">
        <v>4018</v>
      </c>
      <c r="L2207" s="107">
        <v>1820</v>
      </c>
      <c r="M2207" s="107">
        <v>764</v>
      </c>
      <c r="N2207" s="107" t="s">
        <v>273</v>
      </c>
    </row>
    <row r="2208" spans="1:14" x14ac:dyDescent="0.15">
      <c r="A2208" s="107">
        <v>1682</v>
      </c>
      <c r="B2208" s="107" t="s">
        <v>247</v>
      </c>
      <c r="C2208" s="107" t="s">
        <v>271</v>
      </c>
      <c r="D2208" s="107">
        <v>2</v>
      </c>
      <c r="E2208" s="107" t="s">
        <v>188</v>
      </c>
      <c r="F2208" s="107" t="s">
        <v>189</v>
      </c>
      <c r="G2208" s="107">
        <v>20</v>
      </c>
      <c r="H2208" s="107">
        <v>0</v>
      </c>
      <c r="I2208" s="107">
        <v>0</v>
      </c>
      <c r="J2208" s="107">
        <f t="shared" si="34"/>
        <v>10</v>
      </c>
      <c r="K2208" s="107">
        <v>4018</v>
      </c>
      <c r="L2208" s="107">
        <v>1820</v>
      </c>
      <c r="M2208" s="107">
        <v>807</v>
      </c>
      <c r="N2208" s="107" t="s">
        <v>273</v>
      </c>
    </row>
    <row r="2209" spans="1:14" x14ac:dyDescent="0.15">
      <c r="A2209" s="107">
        <v>1682</v>
      </c>
      <c r="B2209" s="107" t="s">
        <v>226</v>
      </c>
      <c r="C2209" s="107" t="s">
        <v>271</v>
      </c>
      <c r="D2209" s="107">
        <v>0.5</v>
      </c>
      <c r="E2209" s="107" t="s">
        <v>188</v>
      </c>
      <c r="F2209" s="107" t="s">
        <v>189</v>
      </c>
      <c r="G2209" s="107">
        <v>5</v>
      </c>
      <c r="H2209" s="107">
        <v>10</v>
      </c>
      <c r="I2209" s="107">
        <v>0</v>
      </c>
      <c r="J2209" s="107">
        <f t="shared" si="34"/>
        <v>11</v>
      </c>
      <c r="K2209" s="107">
        <v>4018</v>
      </c>
      <c r="L2209" s="107">
        <v>1820</v>
      </c>
      <c r="M2209" s="107">
        <v>810</v>
      </c>
      <c r="N2209" s="107" t="s">
        <v>273</v>
      </c>
    </row>
    <row r="2210" spans="1:14" x14ac:dyDescent="0.15">
      <c r="A2210" s="107">
        <v>1683</v>
      </c>
      <c r="B2210" s="107" t="s">
        <v>197</v>
      </c>
      <c r="C2210" s="107" t="s">
        <v>271</v>
      </c>
      <c r="D2210" s="107">
        <v>0.5</v>
      </c>
      <c r="E2210" s="107" t="s">
        <v>188</v>
      </c>
      <c r="F2210" s="107" t="s">
        <v>189</v>
      </c>
      <c r="G2210" s="107">
        <v>6</v>
      </c>
      <c r="H2210" s="107">
        <v>0</v>
      </c>
      <c r="I2210" s="107">
        <v>0</v>
      </c>
      <c r="J2210" s="107">
        <f t="shared" si="34"/>
        <v>12</v>
      </c>
      <c r="K2210" s="107">
        <v>4019</v>
      </c>
      <c r="L2210" s="107">
        <v>1822</v>
      </c>
      <c r="M2210" s="107">
        <v>600</v>
      </c>
      <c r="N2210" s="107"/>
    </row>
    <row r="2211" spans="1:14" x14ac:dyDescent="0.15">
      <c r="A2211" s="107">
        <v>1684</v>
      </c>
      <c r="B2211" s="107" t="s">
        <v>197</v>
      </c>
      <c r="C2211" s="107" t="s">
        <v>271</v>
      </c>
      <c r="D2211" s="107">
        <v>0.5</v>
      </c>
      <c r="E2211" s="107" t="s">
        <v>188</v>
      </c>
      <c r="F2211" s="107" t="s">
        <v>189</v>
      </c>
      <c r="G2211" s="107">
        <v>5</v>
      </c>
      <c r="H2211" s="107">
        <v>10</v>
      </c>
      <c r="I2211" s="107">
        <v>0</v>
      </c>
      <c r="J2211" s="107">
        <f t="shared" si="34"/>
        <v>11</v>
      </c>
      <c r="K2211" s="107">
        <v>4021</v>
      </c>
      <c r="L2211" s="107">
        <v>1825</v>
      </c>
      <c r="M2211" s="107">
        <v>666</v>
      </c>
      <c r="N2211" s="107"/>
    </row>
    <row r="2212" spans="1:14" x14ac:dyDescent="0.15">
      <c r="A2212" s="107">
        <v>1685</v>
      </c>
      <c r="B2212" s="107" t="s">
        <v>253</v>
      </c>
      <c r="C2212" s="107" t="s">
        <v>271</v>
      </c>
      <c r="D2212" s="107">
        <v>2</v>
      </c>
      <c r="E2212" s="107" t="s">
        <v>188</v>
      </c>
      <c r="F2212" s="107" t="s">
        <v>189</v>
      </c>
      <c r="G2212" s="107">
        <v>20</v>
      </c>
      <c r="H2212" s="107">
        <v>0</v>
      </c>
      <c r="I2212" s="107">
        <v>0</v>
      </c>
      <c r="J2212" s="107">
        <f t="shared" si="34"/>
        <v>10</v>
      </c>
      <c r="K2212" s="107">
        <v>4022</v>
      </c>
      <c r="L2212" s="107">
        <v>1827</v>
      </c>
      <c r="M2212" s="107">
        <v>603</v>
      </c>
      <c r="N2212" s="107"/>
    </row>
    <row r="2213" spans="1:14" x14ac:dyDescent="0.15">
      <c r="A2213" s="107">
        <v>1686</v>
      </c>
      <c r="B2213" s="107" t="s">
        <v>197</v>
      </c>
      <c r="C2213" s="107" t="s">
        <v>271</v>
      </c>
      <c r="D2213" s="107">
        <v>4</v>
      </c>
      <c r="E2213" s="107" t="s">
        <v>188</v>
      </c>
      <c r="F2213" s="107" t="s">
        <v>189</v>
      </c>
      <c r="G2213" s="107">
        <v>40</v>
      </c>
      <c r="H2213" s="107">
        <v>0</v>
      </c>
      <c r="I2213" s="107">
        <v>0</v>
      </c>
      <c r="J2213" s="107">
        <f t="shared" si="34"/>
        <v>10</v>
      </c>
      <c r="K2213" s="107">
        <v>4023</v>
      </c>
      <c r="L2213" s="107">
        <v>1829</v>
      </c>
      <c r="M2213" s="107">
        <v>706</v>
      </c>
      <c r="N2213" s="107"/>
    </row>
    <row r="2214" spans="1:14" x14ac:dyDescent="0.15">
      <c r="A2214" s="107">
        <v>1686</v>
      </c>
      <c r="B2214" s="107" t="s">
        <v>247</v>
      </c>
      <c r="C2214" s="107" t="s">
        <v>295</v>
      </c>
      <c r="D2214" s="107">
        <v>0.5</v>
      </c>
      <c r="E2214" s="107" t="s">
        <v>188</v>
      </c>
      <c r="F2214" s="107" t="s">
        <v>189</v>
      </c>
      <c r="G2214" s="107">
        <v>5</v>
      </c>
      <c r="H2214" s="107">
        <v>10</v>
      </c>
      <c r="I2214" s="107">
        <v>0</v>
      </c>
      <c r="J2214" s="107">
        <f t="shared" si="34"/>
        <v>11</v>
      </c>
      <c r="K2214" s="107">
        <v>4023</v>
      </c>
      <c r="L2214" s="107">
        <v>1829</v>
      </c>
      <c r="M2214" s="107">
        <v>830</v>
      </c>
      <c r="N2214" s="107"/>
    </row>
    <row r="2215" spans="1:14" x14ac:dyDescent="0.15">
      <c r="A2215" s="107">
        <v>1688</v>
      </c>
      <c r="B2215" s="107" t="s">
        <v>260</v>
      </c>
      <c r="C2215" s="107" t="s">
        <v>271</v>
      </c>
      <c r="D2215" s="107">
        <v>2</v>
      </c>
      <c r="E2215" s="107" t="s">
        <v>188</v>
      </c>
      <c r="F2215" s="107" t="s">
        <v>189</v>
      </c>
      <c r="G2215" s="107">
        <v>20</v>
      </c>
      <c r="H2215" s="107">
        <v>0</v>
      </c>
      <c r="I2215" s="107">
        <v>0</v>
      </c>
      <c r="J2215" s="107">
        <f t="shared" si="34"/>
        <v>10</v>
      </c>
      <c r="K2215" s="107">
        <v>4025</v>
      </c>
      <c r="L2215" s="107">
        <v>1831</v>
      </c>
      <c r="M2215" s="107">
        <v>573</v>
      </c>
      <c r="N2215" s="107"/>
    </row>
    <row r="2216" spans="1:14" x14ac:dyDescent="0.15">
      <c r="A2216" s="107">
        <v>1689</v>
      </c>
      <c r="B2216" s="107" t="s">
        <v>197</v>
      </c>
      <c r="C2216" s="107" t="s">
        <v>271</v>
      </c>
      <c r="D2216" s="107">
        <v>127</v>
      </c>
      <c r="E2216" s="107" t="s">
        <v>188</v>
      </c>
      <c r="F2216" s="107" t="s">
        <v>189</v>
      </c>
      <c r="G2216" s="107">
        <v>1524</v>
      </c>
      <c r="H2216" s="107">
        <v>0</v>
      </c>
      <c r="I2216" s="107">
        <v>0</v>
      </c>
      <c r="J2216" s="107">
        <f t="shared" si="34"/>
        <v>12</v>
      </c>
      <c r="K2216" s="107">
        <v>4027</v>
      </c>
      <c r="L2216" s="107">
        <v>1832</v>
      </c>
      <c r="M2216" s="107">
        <v>484</v>
      </c>
      <c r="N2216" s="107"/>
    </row>
    <row r="2217" spans="1:14" x14ac:dyDescent="0.15">
      <c r="A2217" s="107">
        <v>1690</v>
      </c>
      <c r="B2217" s="107" t="s">
        <v>192</v>
      </c>
      <c r="C2217" s="107" t="s">
        <v>271</v>
      </c>
      <c r="D2217" s="107">
        <v>3</v>
      </c>
      <c r="E2217" s="107" t="s">
        <v>188</v>
      </c>
      <c r="F2217" s="107" t="s">
        <v>189</v>
      </c>
      <c r="G2217" s="107">
        <v>24</v>
      </c>
      <c r="H2217" s="107">
        <v>0</v>
      </c>
      <c r="I2217" s="107">
        <v>0</v>
      </c>
      <c r="J2217" s="107">
        <f t="shared" si="34"/>
        <v>8</v>
      </c>
      <c r="K2217" s="107">
        <v>4028</v>
      </c>
      <c r="L2217" s="107">
        <v>1834</v>
      </c>
      <c r="M2217" s="107">
        <v>396</v>
      </c>
      <c r="N2217" s="107"/>
    </row>
    <row r="2218" spans="1:14" x14ac:dyDescent="0.15">
      <c r="A2218" s="107">
        <v>1691</v>
      </c>
      <c r="B2218" s="107" t="s">
        <v>244</v>
      </c>
      <c r="C2218" s="107" t="s">
        <v>271</v>
      </c>
      <c r="D2218" s="107">
        <v>3</v>
      </c>
      <c r="E2218" s="107" t="s">
        <v>188</v>
      </c>
      <c r="F2218" s="107" t="s">
        <v>189</v>
      </c>
      <c r="G2218" s="107">
        <v>27</v>
      </c>
      <c r="H2218" s="107">
        <v>0</v>
      </c>
      <c r="I2218" s="107">
        <v>0</v>
      </c>
      <c r="J2218" s="107">
        <f t="shared" si="34"/>
        <v>9</v>
      </c>
      <c r="K2218" s="107">
        <v>4028</v>
      </c>
      <c r="L2218" s="107">
        <v>1834</v>
      </c>
      <c r="M2218" s="107">
        <v>379</v>
      </c>
      <c r="N2218" s="107"/>
    </row>
    <row r="2219" spans="1:14" x14ac:dyDescent="0.15">
      <c r="A2219" s="107">
        <v>1693</v>
      </c>
      <c r="B2219" s="107" t="s">
        <v>261</v>
      </c>
      <c r="C2219" s="107" t="s">
        <v>271</v>
      </c>
      <c r="D2219" s="107">
        <v>2</v>
      </c>
      <c r="E2219" s="107" t="s">
        <v>188</v>
      </c>
      <c r="F2219" s="107" t="s">
        <v>189</v>
      </c>
      <c r="G2219" s="107">
        <v>17</v>
      </c>
      <c r="H2219" s="107">
        <v>0</v>
      </c>
      <c r="I2219" s="107">
        <v>0</v>
      </c>
      <c r="J2219" s="107">
        <f t="shared" si="34"/>
        <v>8.5</v>
      </c>
      <c r="K2219" s="107">
        <v>4030</v>
      </c>
      <c r="L2219" s="107">
        <v>1836</v>
      </c>
      <c r="M2219" s="107">
        <v>230</v>
      </c>
      <c r="N2219" s="107"/>
    </row>
    <row r="2220" spans="1:14" x14ac:dyDescent="0.15">
      <c r="A2220" s="107">
        <v>1694</v>
      </c>
      <c r="B2220" s="107" t="s">
        <v>261</v>
      </c>
      <c r="C2220" s="107" t="s">
        <v>271</v>
      </c>
      <c r="D2220" s="107">
        <v>3</v>
      </c>
      <c r="E2220" s="107" t="s">
        <v>188</v>
      </c>
      <c r="F2220" s="107" t="s">
        <v>189</v>
      </c>
      <c r="G2220" s="107">
        <v>26</v>
      </c>
      <c r="H2220" s="107">
        <v>5</v>
      </c>
      <c r="I2220" s="107">
        <v>0</v>
      </c>
      <c r="J2220" s="107">
        <f t="shared" si="34"/>
        <v>8.75</v>
      </c>
      <c r="K2220" s="107">
        <v>4032</v>
      </c>
      <c r="L2220" s="107">
        <v>1839</v>
      </c>
      <c r="M2220" s="107">
        <v>252</v>
      </c>
      <c r="N2220" s="107"/>
    </row>
    <row r="2221" spans="1:14" x14ac:dyDescent="0.15">
      <c r="A2221" s="107">
        <v>1695</v>
      </c>
      <c r="B2221" s="107" t="s">
        <v>260</v>
      </c>
      <c r="C2221" s="107" t="s">
        <v>271</v>
      </c>
      <c r="D2221" s="107">
        <v>2</v>
      </c>
      <c r="E2221" s="107" t="s">
        <v>188</v>
      </c>
      <c r="F2221" s="107" t="s">
        <v>189</v>
      </c>
      <c r="G2221" s="107">
        <v>17</v>
      </c>
      <c r="H2221" s="107">
        <v>0</v>
      </c>
      <c r="I2221" s="107">
        <v>0</v>
      </c>
      <c r="J2221" s="107">
        <f t="shared" si="34"/>
        <v>8.5</v>
      </c>
      <c r="K2221" s="107">
        <v>4034</v>
      </c>
      <c r="L2221" s="107">
        <v>1841</v>
      </c>
      <c r="M2221" s="107">
        <v>490</v>
      </c>
      <c r="N2221" s="107"/>
    </row>
    <row r="2222" spans="1:14" x14ac:dyDescent="0.15">
      <c r="A2222" s="107">
        <v>1696</v>
      </c>
      <c r="B2222" s="107" t="s">
        <v>260</v>
      </c>
      <c r="C2222" s="107" t="s">
        <v>271</v>
      </c>
      <c r="D2222" s="107">
        <v>17</v>
      </c>
      <c r="E2222" s="107" t="s">
        <v>188</v>
      </c>
      <c r="F2222" s="107" t="s">
        <v>189</v>
      </c>
      <c r="G2222" s="107">
        <v>144</v>
      </c>
      <c r="H2222" s="107">
        <v>10</v>
      </c>
      <c r="I2222" s="107">
        <v>0</v>
      </c>
      <c r="J2222" s="107">
        <f t="shared" si="34"/>
        <v>8.5</v>
      </c>
      <c r="K2222" s="107">
        <v>4035</v>
      </c>
      <c r="L2222" s="107">
        <v>1841</v>
      </c>
      <c r="M2222" s="107">
        <v>67</v>
      </c>
      <c r="N2222" s="107"/>
    </row>
    <row r="2223" spans="1:14" x14ac:dyDescent="0.15">
      <c r="A2223" s="107">
        <v>1697</v>
      </c>
      <c r="B2223" s="107" t="s">
        <v>197</v>
      </c>
      <c r="C2223" s="107" t="s">
        <v>271</v>
      </c>
      <c r="D2223" s="107">
        <v>68.75</v>
      </c>
      <c r="E2223" s="107" t="s">
        <v>188</v>
      </c>
      <c r="F2223" s="107" t="s">
        <v>189</v>
      </c>
      <c r="G2223" s="107">
        <v>584</v>
      </c>
      <c r="H2223" s="107">
        <v>7</v>
      </c>
      <c r="I2223" s="107">
        <v>8</v>
      </c>
      <c r="J2223" s="107">
        <f t="shared" si="34"/>
        <v>8.5</v>
      </c>
      <c r="K2223" s="107">
        <v>4038</v>
      </c>
      <c r="L2223" s="107">
        <v>1846</v>
      </c>
      <c r="M2223" s="107">
        <v>713</v>
      </c>
      <c r="N2223" s="107" t="s">
        <v>294</v>
      </c>
    </row>
    <row r="2224" spans="1:14" x14ac:dyDescent="0.15">
      <c r="A2224" s="107">
        <v>1698</v>
      </c>
      <c r="B2224" s="107" t="s">
        <v>200</v>
      </c>
      <c r="C2224" s="107" t="s">
        <v>271</v>
      </c>
      <c r="D2224" s="107">
        <v>31.5</v>
      </c>
      <c r="E2224" s="107" t="s">
        <v>188</v>
      </c>
      <c r="F2224" s="107" t="s">
        <v>189</v>
      </c>
      <c r="G2224" s="107">
        <v>267</v>
      </c>
      <c r="H2224" s="107">
        <v>15</v>
      </c>
      <c r="I2224" s="107">
        <v>0</v>
      </c>
      <c r="J2224" s="107">
        <f t="shared" ref="J2224:J2287" si="35">(G2224+H2224/20+I2224/320)/D2224</f>
        <v>8.5</v>
      </c>
      <c r="K2224" s="107">
        <v>4043</v>
      </c>
      <c r="L2224" s="107">
        <v>1851</v>
      </c>
      <c r="M2224" s="107">
        <v>827</v>
      </c>
      <c r="N2224" s="107"/>
    </row>
    <row r="2225" spans="1:14" x14ac:dyDescent="0.15">
      <c r="A2225" s="107">
        <v>1699</v>
      </c>
      <c r="B2225" s="107" t="s">
        <v>197</v>
      </c>
      <c r="C2225" s="107" t="s">
        <v>271</v>
      </c>
      <c r="D2225" s="107">
        <v>162</v>
      </c>
      <c r="E2225" s="107" t="s">
        <v>188</v>
      </c>
      <c r="F2225" s="107" t="s">
        <v>189</v>
      </c>
      <c r="G2225" s="107">
        <v>1377</v>
      </c>
      <c r="H2225" s="107">
        <v>0</v>
      </c>
      <c r="I2225" s="107">
        <v>0</v>
      </c>
      <c r="J2225" s="107">
        <f t="shared" si="35"/>
        <v>8.5</v>
      </c>
      <c r="K2225" s="107">
        <v>4043</v>
      </c>
      <c r="L2225" s="107">
        <v>1851</v>
      </c>
      <c r="M2225" s="107">
        <v>850</v>
      </c>
      <c r="N2225" s="107"/>
    </row>
    <row r="2226" spans="1:14" x14ac:dyDescent="0.15">
      <c r="A2226" s="107">
        <v>1700</v>
      </c>
      <c r="B2226" s="107" t="s">
        <v>200</v>
      </c>
      <c r="C2226" s="107" t="s">
        <v>271</v>
      </c>
      <c r="D2226" s="107">
        <v>3</v>
      </c>
      <c r="E2226" s="107" t="s">
        <v>188</v>
      </c>
      <c r="F2226" s="107" t="s">
        <v>189</v>
      </c>
      <c r="G2226" s="107">
        <v>20</v>
      </c>
      <c r="H2226" s="107">
        <v>1</v>
      </c>
      <c r="I2226" s="107">
        <v>0</v>
      </c>
      <c r="J2226" s="107">
        <f t="shared" si="35"/>
        <v>6.6833333333333336</v>
      </c>
      <c r="K2226" s="107">
        <v>4047</v>
      </c>
      <c r="L2226" s="107">
        <v>1855</v>
      </c>
      <c r="M2226" s="107">
        <v>524</v>
      </c>
      <c r="N2226" s="107" t="s">
        <v>696</v>
      </c>
    </row>
    <row r="2227" spans="1:14" x14ac:dyDescent="0.15">
      <c r="A2227" s="107">
        <v>1700</v>
      </c>
      <c r="B2227" s="107" t="s">
        <v>236</v>
      </c>
      <c r="C2227" s="107" t="s">
        <v>271</v>
      </c>
      <c r="D2227" s="107">
        <v>3</v>
      </c>
      <c r="E2227" s="107" t="s">
        <v>336</v>
      </c>
      <c r="F2227" s="107" t="s">
        <v>189</v>
      </c>
      <c r="G2227" s="107">
        <v>25</v>
      </c>
      <c r="H2227" s="107">
        <v>10</v>
      </c>
      <c r="I2227" s="107">
        <v>0</v>
      </c>
      <c r="J2227" s="107">
        <f t="shared" si="35"/>
        <v>8.5</v>
      </c>
      <c r="K2227" s="107">
        <v>4047</v>
      </c>
      <c r="L2227" s="107">
        <v>1855</v>
      </c>
      <c r="M2227" s="107">
        <v>547</v>
      </c>
      <c r="N2227" s="107" t="s">
        <v>294</v>
      </c>
    </row>
    <row r="2228" spans="1:14" x14ac:dyDescent="0.15">
      <c r="A2228" s="107">
        <v>1701</v>
      </c>
      <c r="B2228" s="107" t="s">
        <v>197</v>
      </c>
      <c r="C2228" s="107" t="s">
        <v>271</v>
      </c>
      <c r="D2228" s="107">
        <v>8</v>
      </c>
      <c r="E2228" s="107" t="s">
        <v>188</v>
      </c>
      <c r="F2228" s="107" t="s">
        <v>189</v>
      </c>
      <c r="G2228" s="107">
        <v>68</v>
      </c>
      <c r="H2228" s="107">
        <v>0</v>
      </c>
      <c r="I2228" s="107">
        <v>0</v>
      </c>
      <c r="J2228" s="107">
        <f t="shared" si="35"/>
        <v>8.5</v>
      </c>
      <c r="K2228" s="107">
        <v>4047</v>
      </c>
      <c r="L2228" s="107">
        <v>1855</v>
      </c>
      <c r="M2228" s="107">
        <v>554</v>
      </c>
      <c r="N2228" s="107" t="s">
        <v>294</v>
      </c>
    </row>
    <row r="2229" spans="1:14" x14ac:dyDescent="0.15">
      <c r="A2229" s="107">
        <v>1701</v>
      </c>
      <c r="B2229" s="107" t="s">
        <v>196</v>
      </c>
      <c r="C2229" s="107" t="s">
        <v>271</v>
      </c>
      <c r="D2229" s="107">
        <v>6.5</v>
      </c>
      <c r="E2229" s="107" t="s">
        <v>188</v>
      </c>
      <c r="F2229" s="107" t="s">
        <v>189</v>
      </c>
      <c r="G2229" s="107">
        <v>55</v>
      </c>
      <c r="H2229" s="107">
        <v>5</v>
      </c>
      <c r="I2229" s="107">
        <v>0</v>
      </c>
      <c r="J2229" s="107">
        <f t="shared" si="35"/>
        <v>8.5</v>
      </c>
      <c r="K2229" s="107">
        <v>4047</v>
      </c>
      <c r="L2229" s="107">
        <v>1855</v>
      </c>
      <c r="M2229" s="107">
        <v>560</v>
      </c>
      <c r="N2229" s="107" t="s">
        <v>294</v>
      </c>
    </row>
    <row r="2230" spans="1:14" x14ac:dyDescent="0.15">
      <c r="A2230" s="107">
        <v>1702</v>
      </c>
      <c r="B2230" s="107" t="s">
        <v>226</v>
      </c>
      <c r="C2230" s="107" t="s">
        <v>271</v>
      </c>
      <c r="D2230" s="107">
        <v>6.375</v>
      </c>
      <c r="E2230" s="107" t="s">
        <v>188</v>
      </c>
      <c r="F2230" s="107" t="s">
        <v>189</v>
      </c>
      <c r="G2230" s="107">
        <v>54</v>
      </c>
      <c r="H2230" s="107">
        <v>3</v>
      </c>
      <c r="I2230" s="107">
        <v>12</v>
      </c>
      <c r="J2230" s="107">
        <f t="shared" si="35"/>
        <v>8.5</v>
      </c>
      <c r="K2230" s="107">
        <v>4049</v>
      </c>
      <c r="L2230" s="107">
        <v>1856</v>
      </c>
      <c r="M2230" s="107">
        <v>503</v>
      </c>
      <c r="N2230" s="107"/>
    </row>
    <row r="2231" spans="1:14" x14ac:dyDescent="0.15">
      <c r="A2231" s="107">
        <v>1703</v>
      </c>
      <c r="B2231" s="107" t="s">
        <v>253</v>
      </c>
      <c r="C2231" s="107" t="s">
        <v>271</v>
      </c>
      <c r="D2231" s="107">
        <v>2</v>
      </c>
      <c r="E2231" s="107" t="s">
        <v>188</v>
      </c>
      <c r="F2231" s="107" t="s">
        <v>189</v>
      </c>
      <c r="G2231" s="107">
        <v>17</v>
      </c>
      <c r="H2231" s="107">
        <v>0</v>
      </c>
      <c r="I2231" s="107">
        <v>0</v>
      </c>
      <c r="J2231" s="107">
        <f t="shared" si="35"/>
        <v>8.5</v>
      </c>
      <c r="K2231" s="107">
        <v>4049</v>
      </c>
      <c r="L2231" s="107">
        <v>1856</v>
      </c>
      <c r="M2231" s="107">
        <v>538</v>
      </c>
      <c r="N2231" s="107"/>
    </row>
    <row r="2232" spans="1:14" x14ac:dyDescent="0.15">
      <c r="A2232" s="107">
        <v>1704</v>
      </c>
      <c r="B2232" s="107" t="s">
        <v>253</v>
      </c>
      <c r="C2232" s="107" t="s">
        <v>271</v>
      </c>
      <c r="D2232" s="107">
        <v>5.75</v>
      </c>
      <c r="E2232" s="107" t="s">
        <v>188</v>
      </c>
      <c r="F2232" s="107" t="s">
        <v>189</v>
      </c>
      <c r="G2232" s="107">
        <v>48</v>
      </c>
      <c r="H2232" s="107">
        <v>17</v>
      </c>
      <c r="I2232" s="107">
        <v>8</v>
      </c>
      <c r="J2232" s="107">
        <f t="shared" si="35"/>
        <v>8.5</v>
      </c>
      <c r="K2232" s="107">
        <v>4050</v>
      </c>
      <c r="L2232" s="107">
        <v>1858</v>
      </c>
      <c r="M2232" s="107">
        <v>502</v>
      </c>
      <c r="N2232" s="107"/>
    </row>
    <row r="2233" spans="1:14" x14ac:dyDescent="0.15">
      <c r="A2233" s="107">
        <v>1705</v>
      </c>
      <c r="B2233" s="107" t="s">
        <v>197</v>
      </c>
      <c r="C2233" s="107" t="s">
        <v>268</v>
      </c>
      <c r="D2233" s="25">
        <v>1</v>
      </c>
      <c r="E2233" s="107" t="s">
        <v>188</v>
      </c>
      <c r="F2233" s="107" t="s">
        <v>189</v>
      </c>
      <c r="G2233" s="107">
        <v>8</v>
      </c>
      <c r="H2233" s="107">
        <v>10</v>
      </c>
      <c r="I2233" s="107">
        <v>0</v>
      </c>
      <c r="J2233" s="107">
        <f t="shared" si="35"/>
        <v>8.5</v>
      </c>
      <c r="K2233" s="107">
        <v>5536</v>
      </c>
      <c r="L2233" s="107"/>
      <c r="M2233" s="107"/>
      <c r="N2233" s="107"/>
    </row>
    <row r="2234" spans="1:14" x14ac:dyDescent="0.15">
      <c r="A2234" s="107">
        <v>1706</v>
      </c>
      <c r="B2234" s="107" t="s">
        <v>186</v>
      </c>
      <c r="C2234" s="107" t="s">
        <v>268</v>
      </c>
      <c r="D2234" s="25">
        <v>2</v>
      </c>
      <c r="E2234" s="107" t="s">
        <v>188</v>
      </c>
      <c r="F2234" s="107" t="s">
        <v>189</v>
      </c>
      <c r="G2234" s="107">
        <v>17</v>
      </c>
      <c r="H2234" s="107">
        <v>0</v>
      </c>
      <c r="I2234" s="107">
        <v>0</v>
      </c>
      <c r="J2234" s="107">
        <f t="shared" si="35"/>
        <v>8.5</v>
      </c>
      <c r="K2234" s="107">
        <v>5558</v>
      </c>
      <c r="L2234" s="107"/>
      <c r="M2234" s="107"/>
      <c r="N2234" s="107"/>
    </row>
    <row r="2235" spans="1:14" x14ac:dyDescent="0.15">
      <c r="A2235" s="107">
        <v>1710</v>
      </c>
      <c r="B2235" s="107" t="s">
        <v>186</v>
      </c>
      <c r="C2235" s="107" t="s">
        <v>268</v>
      </c>
      <c r="D2235" s="25">
        <v>4</v>
      </c>
      <c r="E2235" s="107" t="s">
        <v>188</v>
      </c>
      <c r="F2235" s="107" t="s">
        <v>189</v>
      </c>
      <c r="G2235" s="107">
        <v>39</v>
      </c>
      <c r="H2235" s="107">
        <v>0</v>
      </c>
      <c r="I2235" s="107">
        <v>0</v>
      </c>
      <c r="J2235" s="107">
        <f t="shared" si="35"/>
        <v>9.75</v>
      </c>
      <c r="K2235" s="107">
        <v>5611</v>
      </c>
      <c r="L2235" s="107"/>
      <c r="M2235" s="107"/>
      <c r="N2235" s="107"/>
    </row>
    <row r="2236" spans="1:14" x14ac:dyDescent="0.15">
      <c r="A2236" s="107">
        <v>1717</v>
      </c>
      <c r="B2236" s="107" t="s">
        <v>192</v>
      </c>
      <c r="C2236" s="107" t="s">
        <v>268</v>
      </c>
      <c r="D2236" s="25">
        <v>35.125</v>
      </c>
      <c r="E2236" s="107" t="s">
        <v>188</v>
      </c>
      <c r="F2236" s="107" t="s">
        <v>189</v>
      </c>
      <c r="G2236" s="107">
        <v>281</v>
      </c>
      <c r="H2236" s="107">
        <v>0</v>
      </c>
      <c r="I2236" s="107">
        <v>0</v>
      </c>
      <c r="J2236" s="107">
        <f t="shared" si="35"/>
        <v>8</v>
      </c>
      <c r="K2236" s="107">
        <v>5683</v>
      </c>
      <c r="L2236" s="107"/>
      <c r="M2236" s="107"/>
      <c r="N2236" s="107"/>
    </row>
    <row r="2237" spans="1:14" x14ac:dyDescent="0.15">
      <c r="A2237" s="107">
        <v>1718</v>
      </c>
      <c r="B2237" s="107" t="s">
        <v>253</v>
      </c>
      <c r="C2237" s="107" t="s">
        <v>268</v>
      </c>
      <c r="D2237" s="25">
        <v>10.125</v>
      </c>
      <c r="E2237" s="107" t="s">
        <v>188</v>
      </c>
      <c r="F2237" s="107" t="s">
        <v>189</v>
      </c>
      <c r="G2237" s="107">
        <v>81</v>
      </c>
      <c r="H2237" s="107">
        <v>0</v>
      </c>
      <c r="I2237" s="107">
        <v>0</v>
      </c>
      <c r="J2237" s="107">
        <f t="shared" si="35"/>
        <v>8</v>
      </c>
      <c r="K2237" s="107">
        <v>5702</v>
      </c>
      <c r="L2237" s="107"/>
      <c r="M2237" s="107"/>
      <c r="N2237" s="107"/>
    </row>
    <row r="2238" spans="1:14" x14ac:dyDescent="0.15">
      <c r="A2238" s="107">
        <v>1718</v>
      </c>
      <c r="B2238" s="107" t="s">
        <v>261</v>
      </c>
      <c r="C2238" s="107" t="s">
        <v>268</v>
      </c>
      <c r="D2238" s="25">
        <v>12</v>
      </c>
      <c r="E2238" s="107" t="s">
        <v>188</v>
      </c>
      <c r="F2238" s="107" t="s">
        <v>189</v>
      </c>
      <c r="G2238" s="107">
        <v>96</v>
      </c>
      <c r="H2238" s="107">
        <v>0</v>
      </c>
      <c r="I2238" s="107">
        <v>0</v>
      </c>
      <c r="J2238" s="107">
        <f t="shared" si="35"/>
        <v>8</v>
      </c>
      <c r="K2238" s="107">
        <v>5703</v>
      </c>
      <c r="L2238" s="107"/>
      <c r="M2238" s="107"/>
      <c r="N2238" s="107"/>
    </row>
    <row r="2239" spans="1:14" x14ac:dyDescent="0.15">
      <c r="A2239" s="107">
        <v>1719</v>
      </c>
      <c r="B2239" s="107" t="s">
        <v>186</v>
      </c>
      <c r="C2239" s="107" t="s">
        <v>268</v>
      </c>
      <c r="D2239" s="25">
        <v>18.125</v>
      </c>
      <c r="E2239" s="107" t="s">
        <v>188</v>
      </c>
      <c r="F2239" s="107" t="s">
        <v>189</v>
      </c>
      <c r="G2239" s="107">
        <v>145</v>
      </c>
      <c r="H2239" s="107">
        <v>0</v>
      </c>
      <c r="I2239" s="107">
        <v>0</v>
      </c>
      <c r="J2239" s="107">
        <f t="shared" si="35"/>
        <v>8</v>
      </c>
      <c r="K2239" s="107">
        <v>5732</v>
      </c>
      <c r="L2239" s="107"/>
      <c r="M2239" s="107"/>
      <c r="N2239" s="107"/>
    </row>
    <row r="2240" spans="1:14" x14ac:dyDescent="0.15">
      <c r="A2240" s="107">
        <v>1720</v>
      </c>
      <c r="B2240" s="107" t="s">
        <v>253</v>
      </c>
      <c r="C2240" s="107" t="s">
        <v>268</v>
      </c>
      <c r="D2240" s="25">
        <v>29</v>
      </c>
      <c r="E2240" s="107" t="s">
        <v>188</v>
      </c>
      <c r="F2240" s="107" t="s">
        <v>189</v>
      </c>
      <c r="G2240" s="107">
        <v>232</v>
      </c>
      <c r="H2240" s="107">
        <v>0</v>
      </c>
      <c r="I2240" s="107">
        <v>0</v>
      </c>
      <c r="J2240" s="107">
        <f t="shared" si="35"/>
        <v>8</v>
      </c>
      <c r="K2240" s="107">
        <v>5731</v>
      </c>
      <c r="L2240" s="107"/>
      <c r="M2240" s="107"/>
      <c r="N2240" s="107"/>
    </row>
    <row r="2241" spans="1:11" x14ac:dyDescent="0.15">
      <c r="A2241" s="107">
        <v>1722</v>
      </c>
      <c r="B2241" s="107" t="s">
        <v>260</v>
      </c>
      <c r="C2241" s="107" t="s">
        <v>268</v>
      </c>
      <c r="D2241" s="25">
        <v>10</v>
      </c>
      <c r="E2241" s="107" t="s">
        <v>188</v>
      </c>
      <c r="F2241" s="107" t="s">
        <v>189</v>
      </c>
      <c r="G2241" s="107">
        <v>80</v>
      </c>
      <c r="H2241" s="107">
        <v>0</v>
      </c>
      <c r="I2241" s="107">
        <v>0</v>
      </c>
      <c r="J2241" s="107">
        <f t="shared" si="35"/>
        <v>8</v>
      </c>
      <c r="K2241" s="107">
        <v>5772</v>
      </c>
    </row>
    <row r="2242" spans="1:11" x14ac:dyDescent="0.15">
      <c r="A2242" s="107">
        <v>1723</v>
      </c>
      <c r="B2242" s="107" t="s">
        <v>236</v>
      </c>
      <c r="C2242" s="107" t="s">
        <v>268</v>
      </c>
      <c r="D2242" s="25">
        <v>10.25</v>
      </c>
      <c r="E2242" s="107" t="s">
        <v>188</v>
      </c>
      <c r="F2242" s="107" t="s">
        <v>189</v>
      </c>
      <c r="G2242" s="107">
        <v>82</v>
      </c>
      <c r="H2242" s="107">
        <v>0</v>
      </c>
      <c r="I2242" s="107">
        <v>0</v>
      </c>
      <c r="J2242" s="107">
        <f t="shared" si="35"/>
        <v>8</v>
      </c>
      <c r="K2242" s="107">
        <v>6808</v>
      </c>
    </row>
    <row r="2243" spans="1:11" x14ac:dyDescent="0.15">
      <c r="A2243" s="107">
        <v>1724</v>
      </c>
      <c r="B2243" s="107" t="s">
        <v>197</v>
      </c>
      <c r="C2243" s="107" t="s">
        <v>268</v>
      </c>
      <c r="D2243" s="25">
        <v>7.25</v>
      </c>
      <c r="E2243" s="107" t="s">
        <v>188</v>
      </c>
      <c r="F2243" s="107" t="s">
        <v>189</v>
      </c>
      <c r="G2243" s="107">
        <v>58</v>
      </c>
      <c r="H2243" s="107">
        <v>0</v>
      </c>
      <c r="I2243" s="107">
        <v>0</v>
      </c>
      <c r="J2243" s="107">
        <f t="shared" si="35"/>
        <v>8</v>
      </c>
      <c r="K2243" s="107">
        <v>6807</v>
      </c>
    </row>
    <row r="2244" spans="1:11" x14ac:dyDescent="0.15">
      <c r="A2244" s="107">
        <v>1725</v>
      </c>
      <c r="B2244" s="107" t="s">
        <v>200</v>
      </c>
      <c r="C2244" s="107" t="s">
        <v>268</v>
      </c>
      <c r="D2244" s="25">
        <v>7.25</v>
      </c>
      <c r="E2244" s="107" t="s">
        <v>188</v>
      </c>
      <c r="F2244" s="107" t="s">
        <v>189</v>
      </c>
      <c r="G2244" s="107">
        <v>58</v>
      </c>
      <c r="H2244" s="107">
        <v>0</v>
      </c>
      <c r="I2244" s="107">
        <v>0</v>
      </c>
      <c r="J2244" s="107">
        <f t="shared" si="35"/>
        <v>8</v>
      </c>
      <c r="K2244" s="107">
        <v>5838</v>
      </c>
    </row>
    <row r="2245" spans="1:11" x14ac:dyDescent="0.15">
      <c r="A2245" s="107">
        <v>1726</v>
      </c>
      <c r="B2245" s="107" t="s">
        <v>261</v>
      </c>
      <c r="C2245" s="107" t="s">
        <v>268</v>
      </c>
      <c r="D2245" s="25">
        <v>5.5</v>
      </c>
      <c r="E2245" s="107" t="s">
        <v>188</v>
      </c>
      <c r="F2245" s="107" t="s">
        <v>189</v>
      </c>
      <c r="G2245" s="107">
        <v>44</v>
      </c>
      <c r="H2245" s="107">
        <v>0</v>
      </c>
      <c r="I2245" s="107">
        <v>0</v>
      </c>
      <c r="J2245" s="107">
        <f t="shared" si="35"/>
        <v>8</v>
      </c>
      <c r="K2245" s="107">
        <v>5855</v>
      </c>
    </row>
    <row r="2246" spans="1:11" x14ac:dyDescent="0.15">
      <c r="A2246" s="107">
        <v>1728</v>
      </c>
      <c r="B2246" s="107" t="s">
        <v>186</v>
      </c>
      <c r="C2246" s="107" t="s">
        <v>268</v>
      </c>
      <c r="D2246" s="25">
        <v>10.25</v>
      </c>
      <c r="E2246" s="107" t="s">
        <v>188</v>
      </c>
      <c r="F2246" s="107" t="s">
        <v>189</v>
      </c>
      <c r="G2246" s="107">
        <v>82</v>
      </c>
      <c r="H2246" s="107">
        <v>0</v>
      </c>
      <c r="I2246" s="107">
        <v>0</v>
      </c>
      <c r="J2246" s="107">
        <f t="shared" si="35"/>
        <v>8</v>
      </c>
      <c r="K2246" s="107">
        <v>5900</v>
      </c>
    </row>
    <row r="2247" spans="1:11" x14ac:dyDescent="0.15">
      <c r="A2247" s="107">
        <v>1729</v>
      </c>
      <c r="B2247" s="107" t="s">
        <v>261</v>
      </c>
      <c r="C2247" s="107" t="s">
        <v>268</v>
      </c>
      <c r="D2247" s="28">
        <v>6.333333333333333</v>
      </c>
      <c r="E2247" s="107" t="s">
        <v>188</v>
      </c>
      <c r="F2247" s="107" t="s">
        <v>189</v>
      </c>
      <c r="G2247" s="107">
        <v>49</v>
      </c>
      <c r="H2247" s="107">
        <v>0</v>
      </c>
      <c r="I2247" s="107">
        <v>0</v>
      </c>
      <c r="J2247" s="107">
        <f t="shared" si="35"/>
        <v>7.7368421052631584</v>
      </c>
      <c r="K2247" s="107">
        <v>5903</v>
      </c>
    </row>
    <row r="2248" spans="1:11" x14ac:dyDescent="0.15">
      <c r="A2248" s="107">
        <v>1730</v>
      </c>
      <c r="B2248" s="107" t="s">
        <v>226</v>
      </c>
      <c r="C2248" s="107" t="s">
        <v>268</v>
      </c>
      <c r="D2248" s="25">
        <v>5.5</v>
      </c>
      <c r="E2248" s="107" t="s">
        <v>188</v>
      </c>
      <c r="F2248" s="107" t="s">
        <v>189</v>
      </c>
      <c r="G2248" s="107">
        <v>44</v>
      </c>
      <c r="H2248" s="107">
        <v>0</v>
      </c>
      <c r="I2248" s="107">
        <v>0</v>
      </c>
      <c r="J2248" s="107">
        <f t="shared" si="35"/>
        <v>8</v>
      </c>
      <c r="K2248" s="107">
        <v>5935</v>
      </c>
    </row>
    <row r="2249" spans="1:11" x14ac:dyDescent="0.15">
      <c r="A2249" s="107">
        <v>1731</v>
      </c>
      <c r="B2249" s="107" t="s">
        <v>261</v>
      </c>
      <c r="C2249" s="107" t="s">
        <v>268</v>
      </c>
      <c r="D2249" s="25">
        <v>7.875</v>
      </c>
      <c r="E2249" s="107" t="s">
        <v>188</v>
      </c>
      <c r="F2249" s="107" t="s">
        <v>189</v>
      </c>
      <c r="G2249" s="107">
        <v>63</v>
      </c>
      <c r="H2249" s="107">
        <v>0</v>
      </c>
      <c r="I2249" s="107">
        <v>0</v>
      </c>
      <c r="J2249" s="107">
        <f t="shared" si="35"/>
        <v>8</v>
      </c>
      <c r="K2249" s="107">
        <v>5938</v>
      </c>
    </row>
    <row r="2250" spans="1:11" x14ac:dyDescent="0.15">
      <c r="A2250" s="107">
        <v>1732</v>
      </c>
      <c r="B2250" s="107" t="s">
        <v>186</v>
      </c>
      <c r="C2250" s="107" t="s">
        <v>268</v>
      </c>
      <c r="D2250" s="25">
        <v>6.75</v>
      </c>
      <c r="E2250" s="107" t="s">
        <v>188</v>
      </c>
      <c r="F2250" s="107" t="s">
        <v>189</v>
      </c>
      <c r="G2250" s="107">
        <v>54</v>
      </c>
      <c r="H2250" s="107">
        <v>0</v>
      </c>
      <c r="I2250" s="107">
        <v>0</v>
      </c>
      <c r="J2250" s="107">
        <f t="shared" si="35"/>
        <v>8</v>
      </c>
      <c r="K2250" s="107">
        <v>5957</v>
      </c>
    </row>
    <row r="2251" spans="1:11" x14ac:dyDescent="0.15">
      <c r="A2251" s="107">
        <v>1733</v>
      </c>
      <c r="B2251" s="107" t="s">
        <v>253</v>
      </c>
      <c r="C2251" s="107" t="s">
        <v>268</v>
      </c>
      <c r="D2251" s="25">
        <v>7.625</v>
      </c>
      <c r="E2251" s="107" t="s">
        <v>188</v>
      </c>
      <c r="F2251" s="107" t="s">
        <v>189</v>
      </c>
      <c r="G2251" s="107">
        <v>61</v>
      </c>
      <c r="H2251" s="107">
        <v>0</v>
      </c>
      <c r="I2251" s="107">
        <v>0</v>
      </c>
      <c r="J2251" s="107">
        <f t="shared" si="35"/>
        <v>8</v>
      </c>
      <c r="K2251" s="107">
        <v>5956</v>
      </c>
    </row>
    <row r="2252" spans="1:11" x14ac:dyDescent="0.15">
      <c r="A2252" s="107">
        <v>1734</v>
      </c>
      <c r="B2252" s="107" t="s">
        <v>196</v>
      </c>
      <c r="C2252" s="107" t="s">
        <v>268</v>
      </c>
      <c r="D2252" s="25">
        <v>10.25</v>
      </c>
      <c r="E2252" s="107" t="s">
        <v>188</v>
      </c>
      <c r="F2252" s="107" t="s">
        <v>189</v>
      </c>
      <c r="G2252" s="107">
        <v>82</v>
      </c>
      <c r="H2252" s="107">
        <v>0</v>
      </c>
      <c r="I2252" s="107">
        <v>0</v>
      </c>
      <c r="J2252" s="107">
        <f t="shared" si="35"/>
        <v>8</v>
      </c>
      <c r="K2252" s="107">
        <v>5981</v>
      </c>
    </row>
    <row r="2253" spans="1:11" x14ac:dyDescent="0.15">
      <c r="A2253" s="107">
        <v>1735</v>
      </c>
      <c r="B2253" s="107" t="s">
        <v>244</v>
      </c>
      <c r="C2253" s="107" t="s">
        <v>268</v>
      </c>
      <c r="D2253" s="25">
        <v>3.75</v>
      </c>
      <c r="E2253" s="107" t="s">
        <v>188</v>
      </c>
      <c r="F2253" s="107" t="s">
        <v>189</v>
      </c>
      <c r="G2253" s="107">
        <v>30</v>
      </c>
      <c r="H2253" s="107">
        <v>0</v>
      </c>
      <c r="I2253" s="107">
        <v>0</v>
      </c>
      <c r="J2253" s="107">
        <f t="shared" si="35"/>
        <v>8</v>
      </c>
      <c r="K2253" s="107">
        <v>6015</v>
      </c>
    </row>
    <row r="2254" spans="1:11" x14ac:dyDescent="0.15">
      <c r="A2254" s="107">
        <v>1736</v>
      </c>
      <c r="B2254" s="107" t="s">
        <v>261</v>
      </c>
      <c r="C2254" s="107" t="s">
        <v>268</v>
      </c>
      <c r="D2254" s="25">
        <v>8.125</v>
      </c>
      <c r="E2254" s="107" t="s">
        <v>188</v>
      </c>
      <c r="F2254" s="107" t="s">
        <v>189</v>
      </c>
      <c r="G2254" s="107">
        <v>65</v>
      </c>
      <c r="H2254" s="107">
        <v>0</v>
      </c>
      <c r="I2254" s="107">
        <v>0</v>
      </c>
      <c r="J2254" s="107">
        <f t="shared" si="35"/>
        <v>8</v>
      </c>
      <c r="K2254" s="107">
        <v>6014</v>
      </c>
    </row>
    <row r="2255" spans="1:11" x14ac:dyDescent="0.15">
      <c r="A2255" s="107">
        <v>1737</v>
      </c>
      <c r="B2255" s="107" t="s">
        <v>226</v>
      </c>
      <c r="C2255" s="107" t="s">
        <v>268</v>
      </c>
      <c r="D2255" s="25">
        <v>7.25</v>
      </c>
      <c r="E2255" s="107" t="s">
        <v>188</v>
      </c>
      <c r="F2255" s="107" t="s">
        <v>189</v>
      </c>
      <c r="G2255" s="107">
        <v>58</v>
      </c>
      <c r="H2255" s="107">
        <v>0</v>
      </c>
      <c r="I2255" s="107">
        <v>0</v>
      </c>
      <c r="J2255" s="107">
        <f t="shared" si="35"/>
        <v>8</v>
      </c>
      <c r="K2255" s="107">
        <v>6035</v>
      </c>
    </row>
    <row r="2256" spans="1:11" x14ac:dyDescent="0.15">
      <c r="A2256" s="107">
        <v>1738</v>
      </c>
      <c r="B2256" s="107" t="s">
        <v>196</v>
      </c>
      <c r="C2256" s="107" t="s">
        <v>268</v>
      </c>
      <c r="D2256" s="25">
        <v>4.5</v>
      </c>
      <c r="E2256" s="107" t="s">
        <v>188</v>
      </c>
      <c r="F2256" s="107" t="s">
        <v>189</v>
      </c>
      <c r="G2256" s="107">
        <v>36</v>
      </c>
      <c r="H2256" s="107">
        <v>0</v>
      </c>
      <c r="I2256" s="107">
        <v>0</v>
      </c>
      <c r="J2256" s="107">
        <f t="shared" si="35"/>
        <v>8</v>
      </c>
      <c r="K2256" s="107">
        <v>6060</v>
      </c>
    </row>
    <row r="2257" spans="1:11" x14ac:dyDescent="0.15">
      <c r="A2257" s="107">
        <v>1739</v>
      </c>
      <c r="B2257" s="107" t="s">
        <v>226</v>
      </c>
      <c r="C2257" s="107" t="s">
        <v>268</v>
      </c>
      <c r="D2257" s="25">
        <v>10.25</v>
      </c>
      <c r="E2257" s="107" t="s">
        <v>188</v>
      </c>
      <c r="F2257" s="107" t="s">
        <v>189</v>
      </c>
      <c r="G2257" s="107">
        <v>82</v>
      </c>
      <c r="H2257" s="107">
        <v>0</v>
      </c>
      <c r="I2257" s="107">
        <v>0</v>
      </c>
      <c r="J2257" s="107">
        <f t="shared" si="35"/>
        <v>8</v>
      </c>
      <c r="K2257" s="107">
        <v>6089</v>
      </c>
    </row>
    <row r="2258" spans="1:11" x14ac:dyDescent="0.15">
      <c r="A2258" s="107">
        <v>1740</v>
      </c>
      <c r="B2258" s="107" t="s">
        <v>197</v>
      </c>
      <c r="C2258" s="107" t="s">
        <v>268</v>
      </c>
      <c r="D2258" s="25">
        <v>5.5</v>
      </c>
      <c r="E2258" s="107" t="s">
        <v>188</v>
      </c>
      <c r="F2258" s="107" t="s">
        <v>189</v>
      </c>
      <c r="G2258" s="107">
        <v>44</v>
      </c>
      <c r="H2258" s="107">
        <v>0</v>
      </c>
      <c r="I2258" s="107">
        <v>0</v>
      </c>
      <c r="J2258" s="107">
        <f t="shared" si="35"/>
        <v>8</v>
      </c>
      <c r="K2258" s="107">
        <v>6098</v>
      </c>
    </row>
    <row r="2259" spans="1:11" x14ac:dyDescent="0.15">
      <c r="A2259" s="107">
        <v>1742</v>
      </c>
      <c r="B2259" s="107" t="s">
        <v>261</v>
      </c>
      <c r="C2259" s="107" t="s">
        <v>268</v>
      </c>
      <c r="D2259" s="25">
        <v>4.75</v>
      </c>
      <c r="E2259" s="107" t="s">
        <v>188</v>
      </c>
      <c r="F2259" s="107" t="s">
        <v>189</v>
      </c>
      <c r="G2259" s="107">
        <v>38</v>
      </c>
      <c r="H2259" s="107">
        <v>0</v>
      </c>
      <c r="I2259" s="107">
        <v>0</v>
      </c>
      <c r="J2259" s="107">
        <f t="shared" si="35"/>
        <v>8</v>
      </c>
      <c r="K2259" s="107">
        <v>6122</v>
      </c>
    </row>
    <row r="2260" spans="1:11" x14ac:dyDescent="0.15">
      <c r="A2260" s="107">
        <v>1743</v>
      </c>
      <c r="B2260" s="107" t="s">
        <v>196</v>
      </c>
      <c r="C2260" s="107" t="s">
        <v>268</v>
      </c>
      <c r="D2260" s="25">
        <v>24.375</v>
      </c>
      <c r="E2260" s="107" t="s">
        <v>188</v>
      </c>
      <c r="F2260" s="107" t="s">
        <v>189</v>
      </c>
      <c r="G2260" s="107">
        <v>195</v>
      </c>
      <c r="H2260" s="107">
        <v>0</v>
      </c>
      <c r="I2260" s="107">
        <v>0</v>
      </c>
      <c r="J2260" s="107">
        <f t="shared" si="35"/>
        <v>8</v>
      </c>
      <c r="K2260" s="107">
        <v>6143</v>
      </c>
    </row>
    <row r="2261" spans="1:11" x14ac:dyDescent="0.15">
      <c r="A2261" s="107">
        <v>1744</v>
      </c>
      <c r="B2261" s="107" t="s">
        <v>253</v>
      </c>
      <c r="C2261" s="107" t="s">
        <v>268</v>
      </c>
      <c r="D2261" s="25">
        <v>33.5</v>
      </c>
      <c r="E2261" s="107" t="s">
        <v>188</v>
      </c>
      <c r="F2261" s="107" t="s">
        <v>189</v>
      </c>
      <c r="G2261" s="107">
        <v>214</v>
      </c>
      <c r="H2261" s="107">
        <v>8</v>
      </c>
      <c r="I2261" s="107">
        <v>0</v>
      </c>
      <c r="J2261" s="107">
        <f t="shared" si="35"/>
        <v>6.4</v>
      </c>
      <c r="K2261" s="107">
        <v>6160</v>
      </c>
    </row>
    <row r="2262" spans="1:11" x14ac:dyDescent="0.15">
      <c r="A2262" s="107">
        <v>1745</v>
      </c>
      <c r="B2262" s="107" t="s">
        <v>261</v>
      </c>
      <c r="C2262" s="107" t="s">
        <v>268</v>
      </c>
      <c r="D2262" s="25">
        <v>19</v>
      </c>
      <c r="E2262" s="107" t="s">
        <v>188</v>
      </c>
      <c r="F2262" s="107" t="s">
        <v>189</v>
      </c>
      <c r="G2262" s="107">
        <v>106</v>
      </c>
      <c r="H2262" s="107">
        <v>8</v>
      </c>
      <c r="I2262" s="107">
        <v>0</v>
      </c>
      <c r="J2262" s="107">
        <f t="shared" si="35"/>
        <v>5.6000000000000005</v>
      </c>
      <c r="K2262" s="107">
        <v>6176</v>
      </c>
    </row>
    <row r="2263" spans="1:11" x14ac:dyDescent="0.15">
      <c r="A2263" s="107">
        <v>1746</v>
      </c>
      <c r="B2263" s="107" t="s">
        <v>226</v>
      </c>
      <c r="C2263" s="107" t="s">
        <v>268</v>
      </c>
      <c r="D2263" s="25">
        <v>34.125</v>
      </c>
      <c r="E2263" s="107" t="s">
        <v>188</v>
      </c>
      <c r="F2263" s="107" t="s">
        <v>189</v>
      </c>
      <c r="G2263" s="107">
        <v>218</v>
      </c>
      <c r="H2263" s="107">
        <v>8</v>
      </c>
      <c r="I2263" s="107">
        <v>0</v>
      </c>
      <c r="J2263" s="107">
        <f t="shared" si="35"/>
        <v>6.4</v>
      </c>
      <c r="K2263" s="107">
        <v>6188</v>
      </c>
    </row>
    <row r="2264" spans="1:11" x14ac:dyDescent="0.15">
      <c r="A2264" s="107">
        <v>1747</v>
      </c>
      <c r="B2264" s="107" t="s">
        <v>247</v>
      </c>
      <c r="C2264" s="107" t="s">
        <v>268</v>
      </c>
      <c r="D2264" s="25">
        <v>67.75</v>
      </c>
      <c r="E2264" s="107" t="s">
        <v>188</v>
      </c>
      <c r="F2264" s="107" t="s">
        <v>189</v>
      </c>
      <c r="G2264" s="107">
        <v>433</v>
      </c>
      <c r="H2264" s="107">
        <v>12</v>
      </c>
      <c r="I2264" s="107">
        <v>0</v>
      </c>
      <c r="J2264" s="107">
        <f t="shared" si="35"/>
        <v>6.4</v>
      </c>
      <c r="K2264" s="107">
        <v>6207</v>
      </c>
    </row>
    <row r="2265" spans="1:11" x14ac:dyDescent="0.15">
      <c r="A2265" s="107">
        <v>1748</v>
      </c>
      <c r="B2265" s="107" t="s">
        <v>260</v>
      </c>
      <c r="C2265" s="107" t="s">
        <v>268</v>
      </c>
      <c r="D2265" s="25">
        <v>36.625</v>
      </c>
      <c r="E2265" s="107" t="s">
        <v>188</v>
      </c>
      <c r="F2265" s="107" t="s">
        <v>189</v>
      </c>
      <c r="G2265" s="107">
        <v>234</v>
      </c>
      <c r="H2265" s="107">
        <v>8</v>
      </c>
      <c r="I2265" s="107">
        <v>0</v>
      </c>
      <c r="J2265" s="107">
        <f t="shared" si="35"/>
        <v>6.4</v>
      </c>
      <c r="K2265" s="107">
        <v>6218</v>
      </c>
    </row>
    <row r="2266" spans="1:11" x14ac:dyDescent="0.15">
      <c r="A2266" s="107">
        <v>1749</v>
      </c>
      <c r="B2266" s="107" t="s">
        <v>253</v>
      </c>
      <c r="C2266" s="107" t="s">
        <v>268</v>
      </c>
      <c r="D2266" s="25">
        <v>13.5</v>
      </c>
      <c r="E2266" s="107" t="s">
        <v>188</v>
      </c>
      <c r="F2266" s="107" t="s">
        <v>189</v>
      </c>
      <c r="G2266" s="107">
        <v>86</v>
      </c>
      <c r="H2266" s="107">
        <v>8</v>
      </c>
      <c r="I2266" s="107">
        <v>0</v>
      </c>
      <c r="J2266" s="107">
        <f t="shared" si="35"/>
        <v>6.4</v>
      </c>
      <c r="K2266" s="107">
        <v>6233</v>
      </c>
    </row>
    <row r="2267" spans="1:11" x14ac:dyDescent="0.15">
      <c r="A2267" s="107">
        <v>1750</v>
      </c>
      <c r="B2267" s="107" t="s">
        <v>197</v>
      </c>
      <c r="C2267" s="107" t="s">
        <v>268</v>
      </c>
      <c r="D2267" s="25">
        <v>31.625</v>
      </c>
      <c r="E2267" s="107" t="s">
        <v>188</v>
      </c>
      <c r="F2267" s="107" t="s">
        <v>189</v>
      </c>
      <c r="G2267" s="107">
        <v>202</v>
      </c>
      <c r="H2267" s="107">
        <v>8</v>
      </c>
      <c r="I2267" s="107">
        <v>0</v>
      </c>
      <c r="J2267" s="107">
        <f t="shared" si="35"/>
        <v>6.4</v>
      </c>
      <c r="K2267" s="107">
        <v>6254</v>
      </c>
    </row>
    <row r="2268" spans="1:11" x14ac:dyDescent="0.15">
      <c r="A2268" s="107">
        <v>1751</v>
      </c>
      <c r="B2268" s="107" t="s">
        <v>196</v>
      </c>
      <c r="C2268" s="107" t="s">
        <v>268</v>
      </c>
      <c r="D2268" s="25">
        <v>29.75</v>
      </c>
      <c r="E2268" s="107" t="s">
        <v>188</v>
      </c>
      <c r="F2268" s="107" t="s">
        <v>189</v>
      </c>
      <c r="G2268" s="107">
        <v>190</v>
      </c>
      <c r="H2268" s="107">
        <v>8</v>
      </c>
      <c r="I2268" s="107">
        <v>0</v>
      </c>
      <c r="J2268" s="107">
        <f t="shared" si="35"/>
        <v>6.4</v>
      </c>
      <c r="K2268" s="107">
        <v>6270</v>
      </c>
    </row>
    <row r="2269" spans="1:11" x14ac:dyDescent="0.15">
      <c r="A2269" s="107">
        <v>1752</v>
      </c>
      <c r="B2269" s="107" t="s">
        <v>260</v>
      </c>
      <c r="C2269" s="107" t="s">
        <v>268</v>
      </c>
      <c r="D2269" s="25">
        <v>38.5</v>
      </c>
      <c r="E2269" s="107" t="s">
        <v>188</v>
      </c>
      <c r="F2269" s="107" t="s">
        <v>189</v>
      </c>
      <c r="G2269" s="107">
        <v>246</v>
      </c>
      <c r="H2269" s="107">
        <v>8</v>
      </c>
      <c r="I2269" s="107">
        <v>0</v>
      </c>
      <c r="J2269" s="107">
        <f t="shared" si="35"/>
        <v>6.4</v>
      </c>
      <c r="K2269" s="107">
        <v>6286</v>
      </c>
    </row>
    <row r="2270" spans="1:11" x14ac:dyDescent="0.15">
      <c r="A2270" s="107">
        <v>1753</v>
      </c>
      <c r="B2270" s="107" t="s">
        <v>196</v>
      </c>
      <c r="C2270" s="107" t="s">
        <v>268</v>
      </c>
      <c r="D2270" s="25">
        <v>20.25</v>
      </c>
      <c r="E2270" s="107" t="s">
        <v>188</v>
      </c>
      <c r="F2270" s="107" t="s">
        <v>189</v>
      </c>
      <c r="G2270" s="107">
        <v>129</v>
      </c>
      <c r="H2270" s="107">
        <v>12</v>
      </c>
      <c r="I2270" s="107">
        <v>0</v>
      </c>
      <c r="J2270" s="107">
        <f t="shared" si="35"/>
        <v>6.3999999999999995</v>
      </c>
      <c r="K2270" s="107">
        <v>6303</v>
      </c>
    </row>
    <row r="2271" spans="1:11" x14ac:dyDescent="0.15">
      <c r="A2271" s="107">
        <v>1754</v>
      </c>
      <c r="B2271" s="107" t="s">
        <v>196</v>
      </c>
      <c r="C2271" s="107" t="s">
        <v>268</v>
      </c>
      <c r="D2271" s="25">
        <v>64.375</v>
      </c>
      <c r="E2271" s="107" t="s">
        <v>188</v>
      </c>
      <c r="F2271" s="107" t="s">
        <v>189</v>
      </c>
      <c r="G2271" s="107">
        <v>412</v>
      </c>
      <c r="H2271" s="107">
        <v>0</v>
      </c>
      <c r="I2271" s="107">
        <v>0</v>
      </c>
      <c r="J2271" s="107">
        <f t="shared" si="35"/>
        <v>6.4</v>
      </c>
      <c r="K2271" s="107">
        <v>6314</v>
      </c>
    </row>
    <row r="2272" spans="1:11" x14ac:dyDescent="0.15">
      <c r="A2272" s="107">
        <v>1755</v>
      </c>
      <c r="B2272" s="107" t="s">
        <v>226</v>
      </c>
      <c r="C2272" s="107" t="s">
        <v>268</v>
      </c>
      <c r="D2272" s="25">
        <v>47.25</v>
      </c>
      <c r="E2272" s="107" t="s">
        <v>188</v>
      </c>
      <c r="F2272" s="107" t="s">
        <v>189</v>
      </c>
      <c r="G2272" s="107">
        <v>302</v>
      </c>
      <c r="H2272" s="107">
        <v>8</v>
      </c>
      <c r="I2272" s="107">
        <v>0</v>
      </c>
      <c r="J2272" s="107">
        <f t="shared" si="35"/>
        <v>6.3999999999999995</v>
      </c>
      <c r="K2272" s="107">
        <v>6316</v>
      </c>
    </row>
    <row r="2273" spans="1:11" x14ac:dyDescent="0.15">
      <c r="A2273" s="107">
        <v>1756</v>
      </c>
      <c r="B2273" s="107" t="s">
        <v>197</v>
      </c>
      <c r="C2273" s="107" t="s">
        <v>268</v>
      </c>
      <c r="D2273" s="25">
        <v>28.125</v>
      </c>
      <c r="E2273" s="107" t="s">
        <v>188</v>
      </c>
      <c r="F2273" s="107" t="s">
        <v>189</v>
      </c>
      <c r="G2273" s="107">
        <v>180</v>
      </c>
      <c r="H2273" s="107">
        <v>0</v>
      </c>
      <c r="I2273" s="107">
        <v>0</v>
      </c>
      <c r="J2273" s="107">
        <f t="shared" si="35"/>
        <v>6.4</v>
      </c>
      <c r="K2273" s="107">
        <v>6333</v>
      </c>
    </row>
    <row r="2274" spans="1:11" x14ac:dyDescent="0.15">
      <c r="A2274" s="107">
        <v>1757</v>
      </c>
      <c r="B2274" s="107" t="s">
        <v>186</v>
      </c>
      <c r="C2274" s="107" t="s">
        <v>268</v>
      </c>
      <c r="D2274" s="25">
        <v>37.875</v>
      </c>
      <c r="E2274" s="107" t="s">
        <v>188</v>
      </c>
      <c r="F2274" s="107" t="s">
        <v>189</v>
      </c>
      <c r="G2274" s="107">
        <v>242</v>
      </c>
      <c r="H2274" s="107">
        <v>8</v>
      </c>
      <c r="I2274" s="107">
        <v>0</v>
      </c>
      <c r="J2274" s="107">
        <f t="shared" si="35"/>
        <v>6.4</v>
      </c>
      <c r="K2274" s="107">
        <v>6354</v>
      </c>
    </row>
    <row r="2275" spans="1:11" x14ac:dyDescent="0.15">
      <c r="A2275" s="107">
        <v>1759</v>
      </c>
      <c r="B2275" s="107" t="s">
        <v>261</v>
      </c>
      <c r="C2275" s="107" t="s">
        <v>268</v>
      </c>
      <c r="D2275" s="25">
        <v>18.375</v>
      </c>
      <c r="E2275" s="107" t="s">
        <v>188</v>
      </c>
      <c r="F2275" s="107" t="s">
        <v>189</v>
      </c>
      <c r="G2275" s="107">
        <v>117</v>
      </c>
      <c r="H2275" s="107">
        <v>12</v>
      </c>
      <c r="I2275" s="107">
        <v>9</v>
      </c>
      <c r="J2275" s="107">
        <f t="shared" si="35"/>
        <v>6.4015306122448976</v>
      </c>
      <c r="K2275" s="107">
        <v>6364</v>
      </c>
    </row>
    <row r="2276" spans="1:11" x14ac:dyDescent="0.15">
      <c r="A2276" s="107">
        <v>1759</v>
      </c>
      <c r="B2276" s="107" t="s">
        <v>261</v>
      </c>
      <c r="C2276" s="107" t="s">
        <v>268</v>
      </c>
      <c r="D2276" s="25">
        <v>17.25</v>
      </c>
      <c r="E2276" s="107" t="s">
        <v>188</v>
      </c>
      <c r="F2276" s="107" t="s">
        <v>189</v>
      </c>
      <c r="G2276" s="107">
        <v>110</v>
      </c>
      <c r="H2276" s="107">
        <v>8</v>
      </c>
      <c r="I2276" s="107">
        <v>0</v>
      </c>
      <c r="J2276" s="107">
        <f t="shared" si="35"/>
        <v>6.4</v>
      </c>
      <c r="K2276" s="107">
        <v>6374</v>
      </c>
    </row>
    <row r="2277" spans="1:11" x14ac:dyDescent="0.15">
      <c r="A2277" s="107">
        <v>1760</v>
      </c>
      <c r="B2277" s="107" t="s">
        <v>253</v>
      </c>
      <c r="C2277" s="107" t="s">
        <v>268</v>
      </c>
      <c r="D2277" s="25">
        <v>14.625</v>
      </c>
      <c r="E2277" s="107" t="s">
        <v>188</v>
      </c>
      <c r="F2277" s="107" t="s">
        <v>189</v>
      </c>
      <c r="G2277" s="107">
        <v>93</v>
      </c>
      <c r="H2277" s="107">
        <v>12</v>
      </c>
      <c r="I2277" s="107">
        <v>0</v>
      </c>
      <c r="J2277" s="107">
        <f t="shared" si="35"/>
        <v>6.3999999999999995</v>
      </c>
      <c r="K2277" s="107">
        <v>6388</v>
      </c>
    </row>
    <row r="2278" spans="1:11" x14ac:dyDescent="0.15">
      <c r="A2278" s="107">
        <v>1760</v>
      </c>
      <c r="B2278" s="107" t="s">
        <v>253</v>
      </c>
      <c r="C2278" s="107" t="s">
        <v>268</v>
      </c>
      <c r="D2278" s="25">
        <v>20.055555555555557</v>
      </c>
      <c r="E2278" s="107" t="s">
        <v>188</v>
      </c>
      <c r="F2278" s="107" t="s">
        <v>189</v>
      </c>
      <c r="G2278" s="107">
        <v>128</v>
      </c>
      <c r="H2278" s="107">
        <v>16</v>
      </c>
      <c r="I2278" s="107">
        <v>0</v>
      </c>
      <c r="J2278" s="107">
        <f t="shared" si="35"/>
        <v>6.4221606648199447</v>
      </c>
      <c r="K2278" s="107">
        <v>6387</v>
      </c>
    </row>
    <row r="2279" spans="1:11" x14ac:dyDescent="0.15">
      <c r="A2279" s="107">
        <v>1761</v>
      </c>
      <c r="B2279" s="107" t="s">
        <v>260</v>
      </c>
      <c r="C2279" s="107" t="s">
        <v>268</v>
      </c>
      <c r="D2279" s="25">
        <v>11.125</v>
      </c>
      <c r="E2279" s="107" t="s">
        <v>188</v>
      </c>
      <c r="F2279" s="107" t="s">
        <v>189</v>
      </c>
      <c r="G2279" s="107">
        <v>71</v>
      </c>
      <c r="H2279" s="107">
        <v>4</v>
      </c>
      <c r="I2279" s="107">
        <v>0</v>
      </c>
      <c r="J2279" s="107">
        <f t="shared" si="35"/>
        <v>6.4</v>
      </c>
      <c r="K2279" s="107">
        <v>6388</v>
      </c>
    </row>
    <row r="2280" spans="1:11" x14ac:dyDescent="0.15">
      <c r="A2280" s="107">
        <v>1761</v>
      </c>
      <c r="B2280" s="107" t="s">
        <v>261</v>
      </c>
      <c r="C2280" s="107" t="s">
        <v>268</v>
      </c>
      <c r="D2280" s="25">
        <v>10.375</v>
      </c>
      <c r="E2280" s="107" t="s">
        <v>193</v>
      </c>
      <c r="F2280" s="107" t="s">
        <v>189</v>
      </c>
      <c r="G2280" s="107">
        <v>66</v>
      </c>
      <c r="H2280" s="107">
        <v>8</v>
      </c>
      <c r="I2280" s="107">
        <v>0</v>
      </c>
      <c r="J2280" s="107">
        <f t="shared" si="35"/>
        <v>6.4</v>
      </c>
      <c r="K2280" s="107">
        <v>6387</v>
      </c>
    </row>
    <row r="2281" spans="1:11" x14ac:dyDescent="0.15">
      <c r="A2281" s="107">
        <v>1761</v>
      </c>
      <c r="B2281" s="107" t="s">
        <v>260</v>
      </c>
      <c r="C2281" s="107" t="s">
        <v>268</v>
      </c>
      <c r="D2281" s="25">
        <v>17.25</v>
      </c>
      <c r="E2281" s="107" t="s">
        <v>188</v>
      </c>
      <c r="F2281" s="107" t="s">
        <v>189</v>
      </c>
      <c r="G2281" s="107">
        <v>110</v>
      </c>
      <c r="H2281" s="107">
        <v>8</v>
      </c>
      <c r="I2281" s="107">
        <v>0</v>
      </c>
      <c r="J2281" s="107">
        <f t="shared" si="35"/>
        <v>6.4</v>
      </c>
      <c r="K2281" s="107">
        <v>6394</v>
      </c>
    </row>
    <row r="2282" spans="1:11" x14ac:dyDescent="0.15">
      <c r="A2282" s="107">
        <v>1762</v>
      </c>
      <c r="B2282" s="107" t="s">
        <v>261</v>
      </c>
      <c r="C2282" s="107" t="s">
        <v>268</v>
      </c>
      <c r="D2282" s="25">
        <v>17.75</v>
      </c>
      <c r="E2282" s="107" t="s">
        <v>188</v>
      </c>
      <c r="F2282" s="107" t="s">
        <v>189</v>
      </c>
      <c r="G2282" s="107">
        <v>113</v>
      </c>
      <c r="H2282" s="107">
        <v>12</v>
      </c>
      <c r="I2282" s="107">
        <v>0</v>
      </c>
      <c r="J2282" s="107">
        <f t="shared" si="35"/>
        <v>6.3999999999999995</v>
      </c>
      <c r="K2282" s="107">
        <v>6394</v>
      </c>
    </row>
    <row r="2283" spans="1:11" x14ac:dyDescent="0.15">
      <c r="A2283" s="107">
        <v>1763</v>
      </c>
      <c r="B2283" s="107" t="s">
        <v>197</v>
      </c>
      <c r="C2283" s="107" t="s">
        <v>268</v>
      </c>
      <c r="D2283" s="25">
        <v>38.125</v>
      </c>
      <c r="E2283" s="107" t="s">
        <v>188</v>
      </c>
      <c r="F2283" s="107" t="s">
        <v>189</v>
      </c>
      <c r="G2283" s="107">
        <v>244</v>
      </c>
      <c r="H2283" s="107">
        <v>0</v>
      </c>
      <c r="I2283" s="107">
        <v>0</v>
      </c>
      <c r="J2283" s="107">
        <f t="shared" si="35"/>
        <v>6.4</v>
      </c>
      <c r="K2283" s="107">
        <v>6423</v>
      </c>
    </row>
    <row r="2284" spans="1:11" x14ac:dyDescent="0.15">
      <c r="A2284" s="107">
        <v>1763</v>
      </c>
      <c r="B2284" s="107" t="s">
        <v>244</v>
      </c>
      <c r="C2284" s="107" t="s">
        <v>268</v>
      </c>
      <c r="D2284" s="25">
        <v>13</v>
      </c>
      <c r="E2284" s="107" t="s">
        <v>188</v>
      </c>
      <c r="F2284" s="107" t="s">
        <v>189</v>
      </c>
      <c r="G2284" s="107">
        <v>83</v>
      </c>
      <c r="H2284" s="107">
        <v>4</v>
      </c>
      <c r="I2284" s="107">
        <v>0</v>
      </c>
      <c r="J2284" s="107">
        <f t="shared" si="35"/>
        <v>6.4</v>
      </c>
      <c r="K2284" s="107">
        <v>6413</v>
      </c>
    </row>
    <row r="2285" spans="1:11" x14ac:dyDescent="0.15">
      <c r="A2285" s="107">
        <v>1764</v>
      </c>
      <c r="B2285" s="107" t="s">
        <v>244</v>
      </c>
      <c r="C2285" s="107" t="s">
        <v>268</v>
      </c>
      <c r="D2285" s="25">
        <v>50.75</v>
      </c>
      <c r="E2285" s="107" t="s">
        <v>188</v>
      </c>
      <c r="F2285" s="107" t="s">
        <v>189</v>
      </c>
      <c r="G2285" s="107">
        <v>324</v>
      </c>
      <c r="H2285" s="107">
        <v>16</v>
      </c>
      <c r="I2285" s="107">
        <v>0</v>
      </c>
      <c r="J2285" s="107">
        <f t="shared" si="35"/>
        <v>6.4</v>
      </c>
      <c r="K2285" s="107">
        <v>6419</v>
      </c>
    </row>
    <row r="2286" spans="1:11" x14ac:dyDescent="0.15">
      <c r="A2286" s="107">
        <v>1764</v>
      </c>
      <c r="B2286" s="107" t="s">
        <v>261</v>
      </c>
      <c r="C2286" s="107" t="s">
        <v>268</v>
      </c>
      <c r="D2286" s="25">
        <v>11.875</v>
      </c>
      <c r="E2286" s="107" t="s">
        <v>188</v>
      </c>
      <c r="F2286" s="107" t="s">
        <v>189</v>
      </c>
      <c r="G2286" s="107">
        <v>76</v>
      </c>
      <c r="H2286" s="107">
        <v>0</v>
      </c>
      <c r="I2286" s="107">
        <v>0</v>
      </c>
      <c r="J2286" s="107">
        <f t="shared" si="35"/>
        <v>6.4</v>
      </c>
      <c r="K2286" s="107">
        <v>6423</v>
      </c>
    </row>
    <row r="2287" spans="1:11" x14ac:dyDescent="0.15">
      <c r="A2287" s="107">
        <v>1765</v>
      </c>
      <c r="B2287" s="107" t="s">
        <v>196</v>
      </c>
      <c r="C2287" s="107" t="s">
        <v>268</v>
      </c>
      <c r="D2287" s="25">
        <v>31.875</v>
      </c>
      <c r="E2287" s="107" t="s">
        <v>188</v>
      </c>
      <c r="F2287" s="107" t="s">
        <v>189</v>
      </c>
      <c r="G2287" s="107">
        <v>204</v>
      </c>
      <c r="H2287" s="107">
        <v>0</v>
      </c>
      <c r="I2287" s="107">
        <v>0</v>
      </c>
      <c r="J2287" s="107">
        <f t="shared" si="35"/>
        <v>6.4</v>
      </c>
      <c r="K2287" s="107">
        <v>6454</v>
      </c>
    </row>
    <row r="2288" spans="1:11" x14ac:dyDescent="0.15">
      <c r="A2288" s="107">
        <v>1766</v>
      </c>
      <c r="B2288" s="107" t="s">
        <v>261</v>
      </c>
      <c r="C2288" s="107" t="s">
        <v>268</v>
      </c>
      <c r="D2288" s="25">
        <v>16.75</v>
      </c>
      <c r="E2288" s="107" t="s">
        <v>188</v>
      </c>
      <c r="F2288" s="107" t="s">
        <v>189</v>
      </c>
      <c r="G2288" s="107">
        <v>107</v>
      </c>
      <c r="H2288" s="107">
        <v>4</v>
      </c>
      <c r="I2288" s="107">
        <v>0</v>
      </c>
      <c r="J2288" s="107">
        <f t="shared" ref="J2288:J2351" si="36">(G2288+H2288/20+I2288/320)/D2288</f>
        <v>6.4</v>
      </c>
      <c r="K2288" s="107">
        <v>6457</v>
      </c>
    </row>
    <row r="2289" spans="1:14" x14ac:dyDescent="0.15">
      <c r="A2289" s="107">
        <v>1767</v>
      </c>
      <c r="B2289" s="107" t="s">
        <v>197</v>
      </c>
      <c r="C2289" s="107" t="s">
        <v>268</v>
      </c>
      <c r="D2289" s="25">
        <v>38.25</v>
      </c>
      <c r="E2289" s="107" t="s">
        <v>188</v>
      </c>
      <c r="F2289" s="107" t="s">
        <v>189</v>
      </c>
      <c r="G2289" s="107">
        <v>244</v>
      </c>
      <c r="H2289" s="107">
        <v>16</v>
      </c>
      <c r="I2289" s="107">
        <v>0</v>
      </c>
      <c r="J2289" s="107">
        <f t="shared" si="36"/>
        <v>6.4</v>
      </c>
      <c r="K2289" s="107">
        <v>6475</v>
      </c>
      <c r="L2289" s="107"/>
      <c r="M2289" s="107"/>
      <c r="N2289" s="107"/>
    </row>
    <row r="2290" spans="1:14" x14ac:dyDescent="0.15">
      <c r="A2290" s="107">
        <v>1768</v>
      </c>
      <c r="B2290" s="107" t="s">
        <v>260</v>
      </c>
      <c r="C2290" s="107" t="s">
        <v>268</v>
      </c>
      <c r="D2290" s="25">
        <v>61.5</v>
      </c>
      <c r="E2290" s="107" t="s">
        <v>188</v>
      </c>
      <c r="F2290" s="107" t="s">
        <v>189</v>
      </c>
      <c r="G2290" s="107">
        <v>393</v>
      </c>
      <c r="H2290" s="107">
        <v>12</v>
      </c>
      <c r="I2290" s="107">
        <v>0</v>
      </c>
      <c r="J2290" s="107">
        <f t="shared" si="36"/>
        <v>6.4</v>
      </c>
      <c r="K2290" s="107">
        <v>6489</v>
      </c>
      <c r="L2290" s="107"/>
      <c r="M2290" s="107"/>
      <c r="N2290" s="107"/>
    </row>
    <row r="2291" spans="1:14" x14ac:dyDescent="0.15">
      <c r="A2291" s="107">
        <v>1769</v>
      </c>
      <c r="B2291" s="107" t="s">
        <v>260</v>
      </c>
      <c r="C2291" s="107" t="s">
        <v>268</v>
      </c>
      <c r="D2291" s="25">
        <v>53.25</v>
      </c>
      <c r="E2291" s="107" t="s">
        <v>188</v>
      </c>
      <c r="F2291" s="107" t="s">
        <v>189</v>
      </c>
      <c r="G2291" s="107">
        <v>340</v>
      </c>
      <c r="H2291" s="107">
        <v>16</v>
      </c>
      <c r="I2291" s="107">
        <v>0</v>
      </c>
      <c r="J2291" s="107">
        <f t="shared" si="36"/>
        <v>6.4</v>
      </c>
      <c r="K2291" s="107">
        <v>6518</v>
      </c>
      <c r="L2291" s="107"/>
      <c r="M2291" s="107"/>
      <c r="N2291" s="107"/>
    </row>
    <row r="2292" spans="1:14" x14ac:dyDescent="0.15">
      <c r="A2292" s="107">
        <v>1770</v>
      </c>
      <c r="B2292" s="107" t="s">
        <v>200</v>
      </c>
      <c r="C2292" s="107" t="s">
        <v>268</v>
      </c>
      <c r="D2292" s="25">
        <v>22.5</v>
      </c>
      <c r="E2292" s="107" t="s">
        <v>188</v>
      </c>
      <c r="F2292" s="107" t="s">
        <v>189</v>
      </c>
      <c r="G2292" s="107">
        <v>132</v>
      </c>
      <c r="H2292" s="107">
        <v>0</v>
      </c>
      <c r="I2292" s="107">
        <v>0</v>
      </c>
      <c r="J2292" s="107">
        <f t="shared" si="36"/>
        <v>5.8666666666666663</v>
      </c>
      <c r="K2292" s="107">
        <v>6535</v>
      </c>
      <c r="L2292" s="107"/>
      <c r="M2292" s="107"/>
      <c r="N2292" s="107"/>
    </row>
    <row r="2293" spans="1:14" x14ac:dyDescent="0.15">
      <c r="A2293" s="107">
        <v>1771</v>
      </c>
      <c r="B2293" s="107" t="s">
        <v>261</v>
      </c>
      <c r="C2293" s="107" t="s">
        <v>268</v>
      </c>
      <c r="D2293" s="25">
        <v>58.5</v>
      </c>
      <c r="E2293" s="107" t="s">
        <v>188</v>
      </c>
      <c r="F2293" s="107" t="s">
        <v>189</v>
      </c>
      <c r="G2293" s="107">
        <v>343</v>
      </c>
      <c r="H2293" s="107">
        <v>4</v>
      </c>
      <c r="I2293" s="107">
        <v>0</v>
      </c>
      <c r="J2293" s="107">
        <f t="shared" si="36"/>
        <v>5.8666666666666663</v>
      </c>
      <c r="K2293" s="107">
        <v>6540</v>
      </c>
      <c r="L2293" s="107"/>
      <c r="M2293" s="107"/>
      <c r="N2293" s="107"/>
    </row>
    <row r="2294" spans="1:14" x14ac:dyDescent="0.15">
      <c r="A2294" s="107">
        <v>1772</v>
      </c>
      <c r="B2294" s="107" t="s">
        <v>197</v>
      </c>
      <c r="C2294" s="107" t="s">
        <v>268</v>
      </c>
      <c r="D2294" s="25">
        <v>49.375</v>
      </c>
      <c r="E2294" s="107" t="s">
        <v>188</v>
      </c>
      <c r="F2294" s="107" t="s">
        <v>189</v>
      </c>
      <c r="G2294" s="107">
        <v>289</v>
      </c>
      <c r="H2294" s="107">
        <v>13</v>
      </c>
      <c r="I2294" s="107">
        <v>8</v>
      </c>
      <c r="J2294" s="107">
        <f t="shared" si="36"/>
        <v>5.8668354430379734</v>
      </c>
      <c r="K2294" s="107">
        <v>6551</v>
      </c>
      <c r="L2294" s="107"/>
      <c r="M2294" s="107"/>
      <c r="N2294" s="107"/>
    </row>
    <row r="2295" spans="1:14" x14ac:dyDescent="0.15">
      <c r="A2295" s="107">
        <v>1773</v>
      </c>
      <c r="B2295" s="107" t="s">
        <v>260</v>
      </c>
      <c r="C2295" s="107" t="s">
        <v>268</v>
      </c>
      <c r="D2295" s="25">
        <v>40.75</v>
      </c>
      <c r="E2295" s="107" t="s">
        <v>188</v>
      </c>
      <c r="F2295" s="107" t="s">
        <v>189</v>
      </c>
      <c r="G2295" s="107">
        <v>239</v>
      </c>
      <c r="H2295" s="107">
        <v>1</v>
      </c>
      <c r="I2295" s="107">
        <v>8</v>
      </c>
      <c r="J2295" s="107">
        <f t="shared" si="36"/>
        <v>5.8668711656441719</v>
      </c>
      <c r="K2295" s="107">
        <v>6566</v>
      </c>
      <c r="L2295" s="107"/>
      <c r="M2295" s="107"/>
      <c r="N2295" s="107"/>
    </row>
    <row r="2296" spans="1:14" x14ac:dyDescent="0.15">
      <c r="A2296" s="107">
        <v>1774</v>
      </c>
      <c r="B2296" s="107" t="s">
        <v>260</v>
      </c>
      <c r="C2296" s="107" t="s">
        <v>268</v>
      </c>
      <c r="D2296" s="25">
        <v>21.25</v>
      </c>
      <c r="E2296" s="107" t="s">
        <v>188</v>
      </c>
      <c r="F2296" s="107" t="s">
        <v>189</v>
      </c>
      <c r="G2296" s="107">
        <v>124</v>
      </c>
      <c r="H2296" s="107">
        <v>13</v>
      </c>
      <c r="I2296" s="107">
        <v>8</v>
      </c>
      <c r="J2296" s="107">
        <f t="shared" si="36"/>
        <v>5.8670588235294119</v>
      </c>
      <c r="K2296" s="25">
        <v>6589</v>
      </c>
      <c r="L2296" s="107"/>
      <c r="M2296" s="107"/>
      <c r="N2296" s="107"/>
    </row>
    <row r="2297" spans="1:14" x14ac:dyDescent="0.15">
      <c r="A2297" s="107">
        <v>1775</v>
      </c>
      <c r="B2297" s="107" t="s">
        <v>196</v>
      </c>
      <c r="C2297" s="107" t="s">
        <v>268</v>
      </c>
      <c r="D2297" s="25">
        <v>27.625</v>
      </c>
      <c r="E2297" s="107" t="s">
        <v>188</v>
      </c>
      <c r="F2297" s="107" t="s">
        <v>189</v>
      </c>
      <c r="G2297" s="107">
        <v>162</v>
      </c>
      <c r="H2297" s="107">
        <v>1</v>
      </c>
      <c r="I2297" s="107">
        <v>8</v>
      </c>
      <c r="J2297" s="107">
        <f t="shared" si="36"/>
        <v>5.8669683257918557</v>
      </c>
      <c r="K2297" s="107">
        <v>6611</v>
      </c>
      <c r="L2297" s="107"/>
      <c r="M2297" s="107"/>
      <c r="N2297" s="107"/>
    </row>
    <row r="2298" spans="1:14" x14ac:dyDescent="0.15">
      <c r="A2298" s="107">
        <v>1776</v>
      </c>
      <c r="B2298" s="107" t="s">
        <v>253</v>
      </c>
      <c r="C2298" s="107" t="s">
        <v>268</v>
      </c>
      <c r="D2298" s="25">
        <v>107.875</v>
      </c>
      <c r="E2298" s="107" t="s">
        <v>188</v>
      </c>
      <c r="F2298" s="107" t="s">
        <v>189</v>
      </c>
      <c r="G2298" s="107">
        <v>632</v>
      </c>
      <c r="H2298" s="107">
        <v>17</v>
      </c>
      <c r="I2298" s="107">
        <v>8</v>
      </c>
      <c r="J2298" s="107">
        <f t="shared" si="36"/>
        <v>5.8667439165701039</v>
      </c>
      <c r="K2298" s="107">
        <v>6627</v>
      </c>
      <c r="L2298" s="107"/>
      <c r="M2298" s="107"/>
      <c r="N2298" s="107"/>
    </row>
    <row r="2299" spans="1:14" x14ac:dyDescent="0.15">
      <c r="A2299" s="107">
        <v>1777</v>
      </c>
      <c r="B2299" s="107" t="s">
        <v>253</v>
      </c>
      <c r="C2299" s="107" t="s">
        <v>268</v>
      </c>
      <c r="D2299" s="25">
        <v>78.75</v>
      </c>
      <c r="E2299" s="107" t="s">
        <v>188</v>
      </c>
      <c r="F2299" s="107" t="s">
        <v>189</v>
      </c>
      <c r="G2299" s="107">
        <v>462</v>
      </c>
      <c r="H2299" s="107">
        <v>0</v>
      </c>
      <c r="I2299" s="107">
        <v>0</v>
      </c>
      <c r="J2299" s="107">
        <f t="shared" si="36"/>
        <v>5.8666666666666663</v>
      </c>
      <c r="K2299" s="107">
        <v>6643</v>
      </c>
      <c r="L2299" s="107"/>
      <c r="M2299" s="107"/>
      <c r="N2299" s="107"/>
    </row>
    <row r="2300" spans="1:14" x14ac:dyDescent="0.15">
      <c r="A2300" s="107">
        <v>1778</v>
      </c>
      <c r="B2300" s="107" t="s">
        <v>192</v>
      </c>
      <c r="C2300" s="107" t="s">
        <v>268</v>
      </c>
      <c r="D2300" s="25">
        <v>30.25</v>
      </c>
      <c r="E2300" s="107" t="s">
        <v>188</v>
      </c>
      <c r="F2300" s="107" t="s">
        <v>189</v>
      </c>
      <c r="G2300" s="107">
        <v>177</v>
      </c>
      <c r="H2300" s="107">
        <v>9</v>
      </c>
      <c r="I2300" s="107">
        <v>8</v>
      </c>
      <c r="J2300" s="107">
        <f t="shared" si="36"/>
        <v>5.8669421487603302</v>
      </c>
      <c r="K2300" s="107">
        <v>6663</v>
      </c>
      <c r="L2300" s="107"/>
      <c r="M2300" s="107"/>
      <c r="N2300" s="107"/>
    </row>
    <row r="2301" spans="1:14" x14ac:dyDescent="0.15">
      <c r="A2301" s="107">
        <v>1779</v>
      </c>
      <c r="B2301" s="107" t="s">
        <v>260</v>
      </c>
      <c r="C2301" s="107" t="s">
        <v>268</v>
      </c>
      <c r="D2301" s="28">
        <v>22.875</v>
      </c>
      <c r="E2301" s="107" t="s">
        <v>188</v>
      </c>
      <c r="F2301" s="107" t="s">
        <v>189</v>
      </c>
      <c r="G2301" s="107">
        <v>134</v>
      </c>
      <c r="H2301" s="107">
        <v>4</v>
      </c>
      <c r="I2301" s="107">
        <v>0</v>
      </c>
      <c r="J2301" s="107">
        <f t="shared" si="36"/>
        <v>5.8666666666666663</v>
      </c>
      <c r="K2301" s="107">
        <v>6669</v>
      </c>
      <c r="L2301" s="107"/>
      <c r="M2301" s="107"/>
      <c r="N2301" s="107"/>
    </row>
    <row r="2302" spans="1:14" x14ac:dyDescent="0.15">
      <c r="A2302" s="107">
        <v>1780</v>
      </c>
      <c r="B2302" s="107" t="s">
        <v>196</v>
      </c>
      <c r="C2302" s="107" t="s">
        <v>268</v>
      </c>
      <c r="D2302" s="25">
        <v>1</v>
      </c>
      <c r="E2302" s="107" t="s">
        <v>188</v>
      </c>
      <c r="F2302" s="107" t="s">
        <v>189</v>
      </c>
      <c r="G2302" s="107">
        <v>5</v>
      </c>
      <c r="H2302" s="28">
        <v>17.333333333333332</v>
      </c>
      <c r="I2302" s="107">
        <v>0</v>
      </c>
      <c r="J2302" s="107">
        <f t="shared" si="36"/>
        <v>5.8666666666666663</v>
      </c>
      <c r="K2302" s="107">
        <v>6679</v>
      </c>
      <c r="L2302" s="107"/>
      <c r="M2302" s="107"/>
      <c r="N2302" s="107"/>
    </row>
    <row r="2303" spans="1:14" x14ac:dyDescent="0.15">
      <c r="A2303" s="107">
        <v>1780</v>
      </c>
      <c r="B2303" s="107" t="s">
        <v>200</v>
      </c>
      <c r="C2303" s="107" t="s">
        <v>268</v>
      </c>
      <c r="D2303" s="25">
        <v>34.875</v>
      </c>
      <c r="E2303" s="107" t="s">
        <v>188</v>
      </c>
      <c r="F2303" s="107" t="s">
        <v>189</v>
      </c>
      <c r="G2303" s="107">
        <v>204</v>
      </c>
      <c r="H2303" s="107">
        <v>2</v>
      </c>
      <c r="I2303" s="107">
        <v>0</v>
      </c>
      <c r="J2303" s="107">
        <f t="shared" si="36"/>
        <v>5.8523297491039425</v>
      </c>
      <c r="K2303" s="107">
        <v>6689</v>
      </c>
      <c r="L2303" s="107"/>
      <c r="M2303" s="107"/>
      <c r="N2303" s="107"/>
    </row>
    <row r="2304" spans="1:14" x14ac:dyDescent="0.15">
      <c r="A2304" s="107">
        <v>1780</v>
      </c>
      <c r="B2304" s="107" t="s">
        <v>226</v>
      </c>
      <c r="C2304" s="107" t="s">
        <v>268</v>
      </c>
      <c r="D2304" s="25">
        <v>1.625</v>
      </c>
      <c r="E2304" s="107" t="s">
        <v>188</v>
      </c>
      <c r="F2304" s="107" t="s">
        <v>189</v>
      </c>
      <c r="G2304" s="107">
        <v>9</v>
      </c>
      <c r="H2304" s="107">
        <v>10</v>
      </c>
      <c r="I2304" s="107">
        <v>8</v>
      </c>
      <c r="J2304" s="107">
        <f t="shared" si="36"/>
        <v>5.861538461538462</v>
      </c>
      <c r="K2304" s="107">
        <v>6689</v>
      </c>
      <c r="L2304" s="107"/>
      <c r="M2304" s="107"/>
      <c r="N2304" s="107" t="s">
        <v>697</v>
      </c>
    </row>
    <row r="2305" spans="1:11" x14ac:dyDescent="0.15">
      <c r="A2305" s="107">
        <v>1781</v>
      </c>
      <c r="B2305" s="107" t="s">
        <v>261</v>
      </c>
      <c r="C2305" s="107" t="s">
        <v>268</v>
      </c>
      <c r="D2305" s="25">
        <v>21.125</v>
      </c>
      <c r="E2305" s="107" t="s">
        <v>188</v>
      </c>
      <c r="F2305" s="107" t="s">
        <v>189</v>
      </c>
      <c r="G2305" s="107">
        <v>123</v>
      </c>
      <c r="H2305" s="107">
        <v>18</v>
      </c>
      <c r="I2305" s="107">
        <v>8</v>
      </c>
      <c r="J2305" s="107">
        <f t="shared" si="36"/>
        <v>5.8662721893491128</v>
      </c>
      <c r="K2305" s="107">
        <v>6699</v>
      </c>
    </row>
    <row r="2306" spans="1:11" x14ac:dyDescent="0.15">
      <c r="A2306" s="107">
        <v>1783</v>
      </c>
      <c r="B2306" s="107" t="s">
        <v>236</v>
      </c>
      <c r="C2306" s="107" t="s">
        <v>268</v>
      </c>
      <c r="D2306" s="25">
        <v>65.875</v>
      </c>
      <c r="E2306" s="107" t="s">
        <v>188</v>
      </c>
      <c r="F2306" s="107" t="s">
        <v>189</v>
      </c>
      <c r="G2306" s="107">
        <v>386</v>
      </c>
      <c r="H2306" s="107">
        <v>9</v>
      </c>
      <c r="I2306" s="107">
        <v>8</v>
      </c>
      <c r="J2306" s="107">
        <f t="shared" si="36"/>
        <v>5.8667931688804549</v>
      </c>
      <c r="K2306" s="107">
        <v>6714</v>
      </c>
    </row>
    <row r="2307" spans="1:11" x14ac:dyDescent="0.15">
      <c r="A2307" s="107">
        <v>1783</v>
      </c>
      <c r="B2307" s="107" t="s">
        <v>261</v>
      </c>
      <c r="C2307" s="107" t="s">
        <v>268</v>
      </c>
      <c r="D2307" s="25">
        <v>109.625</v>
      </c>
      <c r="E2307" s="107" t="s">
        <v>188</v>
      </c>
      <c r="F2307" s="107" t="s">
        <v>189</v>
      </c>
      <c r="G2307" s="107">
        <v>643</v>
      </c>
      <c r="H2307" s="107">
        <v>2</v>
      </c>
      <c r="I2307" s="107">
        <v>8</v>
      </c>
      <c r="J2307" s="107">
        <f t="shared" si="36"/>
        <v>5.8665906499429878</v>
      </c>
      <c r="K2307" s="107">
        <v>6701</v>
      </c>
    </row>
    <row r="2308" spans="1:11" x14ac:dyDescent="0.15">
      <c r="A2308" s="107">
        <v>1784</v>
      </c>
      <c r="B2308" s="107" t="s">
        <v>261</v>
      </c>
      <c r="C2308" s="107" t="s">
        <v>268</v>
      </c>
      <c r="D2308" s="25">
        <v>17.75</v>
      </c>
      <c r="E2308" s="107" t="s">
        <v>188</v>
      </c>
      <c r="F2308" s="107" t="s">
        <v>189</v>
      </c>
      <c r="G2308" s="107">
        <v>104</v>
      </c>
      <c r="H2308" s="107">
        <v>2</v>
      </c>
      <c r="I2308" s="107">
        <v>8</v>
      </c>
      <c r="J2308" s="107">
        <f t="shared" si="36"/>
        <v>5.8661971830985919</v>
      </c>
      <c r="K2308" s="25">
        <v>6705</v>
      </c>
    </row>
    <row r="2309" spans="1:11" x14ac:dyDescent="0.15">
      <c r="A2309" s="107">
        <v>1784</v>
      </c>
      <c r="B2309" s="107" t="s">
        <v>236</v>
      </c>
      <c r="C2309" s="107" t="s">
        <v>268</v>
      </c>
      <c r="D2309" s="25">
        <v>30.625</v>
      </c>
      <c r="E2309" s="107" t="s">
        <v>188</v>
      </c>
      <c r="F2309" s="107" t="s">
        <v>189</v>
      </c>
      <c r="G2309" s="107">
        <v>179</v>
      </c>
      <c r="H2309" s="107">
        <v>13</v>
      </c>
      <c r="I2309" s="107">
        <v>8</v>
      </c>
      <c r="J2309" s="107">
        <f t="shared" si="36"/>
        <v>5.8669387755102047</v>
      </c>
      <c r="K2309" s="107">
        <v>6733</v>
      </c>
    </row>
    <row r="2310" spans="1:11" x14ac:dyDescent="0.15">
      <c r="A2310" s="107">
        <v>1785</v>
      </c>
      <c r="B2310" s="107" t="s">
        <v>186</v>
      </c>
      <c r="C2310" s="107" t="s">
        <v>268</v>
      </c>
      <c r="D2310" s="25">
        <v>42</v>
      </c>
      <c r="E2310" s="107" t="s">
        <v>188</v>
      </c>
      <c r="F2310" s="107" t="s">
        <v>189</v>
      </c>
      <c r="G2310" s="107">
        <v>246</v>
      </c>
      <c r="H2310" s="107">
        <v>8</v>
      </c>
      <c r="I2310" s="107">
        <v>0</v>
      </c>
      <c r="J2310" s="107">
        <f t="shared" si="36"/>
        <v>5.8666666666666671</v>
      </c>
      <c r="K2310" s="107">
        <v>6736</v>
      </c>
    </row>
    <row r="2311" spans="1:11" x14ac:dyDescent="0.15">
      <c r="A2311" s="107">
        <v>1786</v>
      </c>
      <c r="B2311" s="107" t="s">
        <v>261</v>
      </c>
      <c r="C2311" s="107" t="s">
        <v>268</v>
      </c>
      <c r="D2311" s="25">
        <v>26.75</v>
      </c>
      <c r="E2311" s="107" t="s">
        <v>188</v>
      </c>
      <c r="F2311" s="107" t="s">
        <v>189</v>
      </c>
      <c r="G2311" s="107">
        <v>235</v>
      </c>
      <c r="H2311" s="107">
        <v>8</v>
      </c>
      <c r="I2311" s="107">
        <v>0</v>
      </c>
      <c r="J2311" s="107">
        <f t="shared" si="36"/>
        <v>8.8000000000000007</v>
      </c>
      <c r="K2311" s="107">
        <v>6746</v>
      </c>
    </row>
    <row r="2312" spans="1:11" x14ac:dyDescent="0.15">
      <c r="A2312" s="107">
        <v>1787</v>
      </c>
      <c r="B2312" s="107" t="s">
        <v>197</v>
      </c>
      <c r="C2312" s="107" t="s">
        <v>268</v>
      </c>
      <c r="D2312" s="25">
        <v>14</v>
      </c>
      <c r="E2312" s="107" t="s">
        <v>188</v>
      </c>
      <c r="F2312" s="107" t="s">
        <v>189</v>
      </c>
      <c r="G2312" s="107">
        <v>324</v>
      </c>
      <c r="H2312" s="107">
        <v>2</v>
      </c>
      <c r="I2312" s="107">
        <v>0</v>
      </c>
      <c r="J2312" s="107">
        <f t="shared" si="36"/>
        <v>23.150000000000002</v>
      </c>
      <c r="K2312" s="107">
        <v>6752</v>
      </c>
    </row>
    <row r="2313" spans="1:11" x14ac:dyDescent="0.15">
      <c r="A2313" s="107">
        <v>1788</v>
      </c>
      <c r="B2313" s="107" t="s">
        <v>236</v>
      </c>
      <c r="C2313" s="107" t="s">
        <v>268</v>
      </c>
      <c r="D2313" s="25">
        <v>2.125</v>
      </c>
      <c r="E2313" s="107" t="s">
        <v>188</v>
      </c>
      <c r="F2313" s="107" t="s">
        <v>189</v>
      </c>
      <c r="G2313" s="107">
        <v>12</v>
      </c>
      <c r="H2313" s="107">
        <v>9</v>
      </c>
      <c r="I2313" s="107">
        <v>8</v>
      </c>
      <c r="J2313" s="107">
        <f t="shared" si="36"/>
        <v>5.8705882352941172</v>
      </c>
      <c r="K2313" s="25">
        <v>6786</v>
      </c>
    </row>
    <row r="2314" spans="1:11" x14ac:dyDescent="0.15">
      <c r="A2314" s="107">
        <v>1789</v>
      </c>
      <c r="B2314" s="107" t="s">
        <v>253</v>
      </c>
      <c r="C2314" s="107" t="s">
        <v>268</v>
      </c>
      <c r="D2314" s="25">
        <v>1.25</v>
      </c>
      <c r="E2314" s="107" t="s">
        <v>188</v>
      </c>
      <c r="F2314" s="107" t="s">
        <v>189</v>
      </c>
      <c r="G2314" s="107">
        <v>7</v>
      </c>
      <c r="H2314" s="107">
        <v>6</v>
      </c>
      <c r="I2314" s="107">
        <v>8</v>
      </c>
      <c r="J2314" s="107">
        <f t="shared" si="36"/>
        <v>5.86</v>
      </c>
      <c r="K2314" s="25">
        <v>6785</v>
      </c>
    </row>
    <row r="2315" spans="1:11" x14ac:dyDescent="0.15">
      <c r="A2315" s="107">
        <v>1789</v>
      </c>
      <c r="B2315" s="107" t="s">
        <v>226</v>
      </c>
      <c r="C2315" s="107" t="s">
        <v>268</v>
      </c>
      <c r="D2315" s="25">
        <v>2.25</v>
      </c>
      <c r="E2315" s="107" t="s">
        <v>188</v>
      </c>
      <c r="F2315" s="107" t="s">
        <v>189</v>
      </c>
      <c r="G2315" s="107">
        <v>13</v>
      </c>
      <c r="H2315" s="107">
        <v>4</v>
      </c>
      <c r="I2315" s="107">
        <v>0</v>
      </c>
      <c r="J2315" s="107">
        <f t="shared" si="36"/>
        <v>5.8666666666666663</v>
      </c>
      <c r="K2315" s="25">
        <v>6785</v>
      </c>
    </row>
    <row r="2316" spans="1:11" x14ac:dyDescent="0.15">
      <c r="A2316" s="107">
        <v>1790</v>
      </c>
      <c r="B2316" s="107" t="s">
        <v>226</v>
      </c>
      <c r="C2316" s="107" t="s">
        <v>268</v>
      </c>
      <c r="D2316" s="25">
        <v>3.375</v>
      </c>
      <c r="E2316" s="107" t="s">
        <v>188</v>
      </c>
      <c r="F2316" s="107" t="s">
        <v>189</v>
      </c>
      <c r="G2316" s="107">
        <v>19</v>
      </c>
      <c r="H2316" s="107">
        <v>16</v>
      </c>
      <c r="I2316" s="107">
        <v>0</v>
      </c>
      <c r="J2316" s="107">
        <f t="shared" si="36"/>
        <v>5.8666666666666671</v>
      </c>
      <c r="K2316" s="25">
        <v>6790</v>
      </c>
    </row>
    <row r="2317" spans="1:11" x14ac:dyDescent="0.15">
      <c r="A2317" s="107">
        <v>1790</v>
      </c>
      <c r="B2317" s="107" t="s">
        <v>196</v>
      </c>
      <c r="C2317" s="107" t="s">
        <v>268</v>
      </c>
      <c r="D2317" s="25">
        <v>1.75</v>
      </c>
      <c r="E2317" s="107" t="s">
        <v>188</v>
      </c>
      <c r="F2317" s="107" t="s">
        <v>189</v>
      </c>
      <c r="G2317" s="107">
        <v>10</v>
      </c>
      <c r="H2317" s="107">
        <v>5</v>
      </c>
      <c r="I2317" s="107">
        <v>8</v>
      </c>
      <c r="J2317" s="107">
        <f t="shared" si="36"/>
        <v>5.8714285714285719</v>
      </c>
      <c r="K2317" s="25">
        <v>6790</v>
      </c>
    </row>
    <row r="2318" spans="1:11" x14ac:dyDescent="0.15">
      <c r="A2318" s="107">
        <v>1791</v>
      </c>
      <c r="B2318" s="107" t="s">
        <v>196</v>
      </c>
      <c r="C2318" s="107" t="s">
        <v>268</v>
      </c>
      <c r="D2318" s="25">
        <v>1</v>
      </c>
      <c r="E2318" s="107" t="s">
        <v>188</v>
      </c>
      <c r="F2318" s="107" t="s">
        <v>189</v>
      </c>
      <c r="G2318" s="107">
        <v>5</v>
      </c>
      <c r="H2318" s="107">
        <v>17</v>
      </c>
      <c r="I2318" s="107">
        <v>0.33</v>
      </c>
      <c r="J2318" s="107">
        <f t="shared" si="36"/>
        <v>5.8510312499999992</v>
      </c>
      <c r="K2318" s="107">
        <v>6805</v>
      </c>
    </row>
    <row r="2319" spans="1:11" x14ac:dyDescent="0.15">
      <c r="A2319" s="107">
        <v>1791</v>
      </c>
      <c r="B2319" s="107" t="s">
        <v>197</v>
      </c>
      <c r="C2319" s="107" t="s">
        <v>268</v>
      </c>
      <c r="D2319" s="25">
        <v>4</v>
      </c>
      <c r="E2319" s="107" t="s">
        <v>188</v>
      </c>
      <c r="F2319" s="107" t="s">
        <v>189</v>
      </c>
      <c r="G2319" s="107">
        <v>23</v>
      </c>
      <c r="H2319" s="107">
        <v>9</v>
      </c>
      <c r="I2319" s="107">
        <v>8</v>
      </c>
      <c r="J2319" s="107">
        <f t="shared" si="36"/>
        <v>5.8687499999999995</v>
      </c>
      <c r="K2319" s="107">
        <v>6804</v>
      </c>
    </row>
    <row r="2320" spans="1:11" x14ac:dyDescent="0.15">
      <c r="A2320" s="107">
        <v>1792</v>
      </c>
      <c r="B2320" s="107" t="s">
        <v>196</v>
      </c>
      <c r="C2320" s="107" t="s">
        <v>268</v>
      </c>
      <c r="D2320" s="25">
        <v>1.625</v>
      </c>
      <c r="E2320" s="107" t="s">
        <v>188</v>
      </c>
      <c r="F2320" s="107" t="s">
        <v>189</v>
      </c>
      <c r="G2320" s="107">
        <v>9</v>
      </c>
      <c r="H2320" s="107">
        <v>10</v>
      </c>
      <c r="I2320" s="107">
        <v>8</v>
      </c>
      <c r="J2320" s="107">
        <f t="shared" si="36"/>
        <v>5.861538461538462</v>
      </c>
      <c r="K2320" s="107">
        <v>6811</v>
      </c>
    </row>
    <row r="2321" spans="1:14" x14ac:dyDescent="0.15">
      <c r="A2321" s="107">
        <v>1708</v>
      </c>
      <c r="B2321" s="107" t="s">
        <v>253</v>
      </c>
      <c r="C2321" s="107" t="s">
        <v>268</v>
      </c>
      <c r="D2321" s="25">
        <v>2</v>
      </c>
      <c r="E2321" s="107" t="s">
        <v>188</v>
      </c>
      <c r="F2321" s="107" t="s">
        <v>698</v>
      </c>
      <c r="G2321" s="107">
        <v>17</v>
      </c>
      <c r="H2321" s="107">
        <v>0</v>
      </c>
      <c r="I2321" s="107">
        <v>0</v>
      </c>
      <c r="J2321" s="107">
        <f t="shared" si="36"/>
        <v>8.5</v>
      </c>
      <c r="K2321" s="107">
        <v>5571</v>
      </c>
      <c r="L2321" s="107"/>
      <c r="M2321" s="107"/>
      <c r="N2321" s="107"/>
    </row>
    <row r="2322" spans="1:14" x14ac:dyDescent="0.15">
      <c r="A2322" s="107">
        <v>1714</v>
      </c>
      <c r="B2322" s="107" t="s">
        <v>247</v>
      </c>
      <c r="C2322" s="107" t="s">
        <v>268</v>
      </c>
      <c r="D2322" s="25">
        <v>3</v>
      </c>
      <c r="E2322" s="107" t="s">
        <v>188</v>
      </c>
      <c r="F2322" s="107" t="s">
        <v>698</v>
      </c>
      <c r="G2322" s="107">
        <v>25</v>
      </c>
      <c r="H2322" s="107">
        <v>10</v>
      </c>
      <c r="I2322" s="107">
        <v>0</v>
      </c>
      <c r="J2322" s="107">
        <f t="shared" si="36"/>
        <v>8.5</v>
      </c>
      <c r="K2322" s="107">
        <v>5655</v>
      </c>
      <c r="L2322" s="107"/>
      <c r="M2322" s="107"/>
      <c r="N2322" s="107"/>
    </row>
    <row r="2323" spans="1:14" x14ac:dyDescent="0.15">
      <c r="A2323" s="107">
        <v>1742</v>
      </c>
      <c r="B2323" s="107" t="s">
        <v>196</v>
      </c>
      <c r="C2323" s="107" t="s">
        <v>268</v>
      </c>
      <c r="D2323" s="25">
        <v>3.25</v>
      </c>
      <c r="E2323" s="107" t="s">
        <v>188</v>
      </c>
      <c r="F2323" s="107" t="s">
        <v>698</v>
      </c>
      <c r="G2323" s="107">
        <v>26</v>
      </c>
      <c r="H2323" s="107">
        <v>0</v>
      </c>
      <c r="I2323" s="107">
        <v>0</v>
      </c>
      <c r="J2323" s="107">
        <f t="shared" si="36"/>
        <v>8</v>
      </c>
      <c r="K2323" s="107">
        <v>6123</v>
      </c>
      <c r="L2323" s="107"/>
      <c r="M2323" s="107"/>
      <c r="N2323" s="107"/>
    </row>
    <row r="2324" spans="1:14" x14ac:dyDescent="0.15">
      <c r="A2324" s="107">
        <v>1793</v>
      </c>
      <c r="B2324" s="107" t="s">
        <v>247</v>
      </c>
      <c r="C2324" s="107" t="s">
        <v>270</v>
      </c>
      <c r="D2324" s="25">
        <v>150</v>
      </c>
      <c r="E2324" s="107" t="s">
        <v>193</v>
      </c>
      <c r="F2324" s="107" t="s">
        <v>698</v>
      </c>
      <c r="G2324" s="107">
        <v>1</v>
      </c>
      <c r="H2324" s="107">
        <v>13</v>
      </c>
      <c r="I2324" s="107">
        <v>0</v>
      </c>
      <c r="J2324" s="107">
        <f t="shared" si="36"/>
        <v>1.0999999999999999E-2</v>
      </c>
      <c r="K2324" s="107">
        <v>6826</v>
      </c>
      <c r="L2324" s="107"/>
      <c r="M2324" s="107"/>
      <c r="N2324" s="107"/>
    </row>
    <row r="2325" spans="1:14" x14ac:dyDescent="0.15">
      <c r="A2325" s="107">
        <v>1794</v>
      </c>
      <c r="B2325" s="107" t="s">
        <v>261</v>
      </c>
      <c r="C2325" s="107" t="s">
        <v>268</v>
      </c>
      <c r="D2325" s="25">
        <v>1140</v>
      </c>
      <c r="E2325" s="107" t="s">
        <v>193</v>
      </c>
      <c r="F2325" s="107" t="s">
        <v>698</v>
      </c>
      <c r="G2325" s="107">
        <v>12</v>
      </c>
      <c r="H2325" s="107">
        <v>11</v>
      </c>
      <c r="I2325" s="107">
        <v>0</v>
      </c>
      <c r="J2325" s="107">
        <f t="shared" si="36"/>
        <v>1.1008771929824562E-2</v>
      </c>
      <c r="K2325" s="107">
        <v>6839</v>
      </c>
      <c r="L2325" s="107"/>
      <c r="M2325" s="107"/>
      <c r="N2325" s="107"/>
    </row>
    <row r="2326" spans="1:14" x14ac:dyDescent="0.15">
      <c r="A2326" s="107">
        <v>1655</v>
      </c>
      <c r="B2326" s="107" t="s">
        <v>236</v>
      </c>
      <c r="C2326" s="107" t="s">
        <v>274</v>
      </c>
      <c r="D2326" s="107">
        <v>2.25</v>
      </c>
      <c r="E2326" s="107" t="s">
        <v>699</v>
      </c>
      <c r="F2326" s="107" t="s">
        <v>700</v>
      </c>
      <c r="G2326" s="107">
        <v>90</v>
      </c>
      <c r="H2326" s="107">
        <v>0</v>
      </c>
      <c r="I2326" s="107">
        <v>0</v>
      </c>
      <c r="J2326" s="107">
        <f t="shared" si="36"/>
        <v>40</v>
      </c>
      <c r="K2326" s="107">
        <v>3990</v>
      </c>
      <c r="L2326" s="107">
        <v>1788</v>
      </c>
      <c r="M2326" s="107">
        <v>203</v>
      </c>
      <c r="N2326" s="107" t="s">
        <v>521</v>
      </c>
    </row>
    <row r="2327" spans="1:14" x14ac:dyDescent="0.15">
      <c r="A2327" s="107">
        <v>1656</v>
      </c>
      <c r="B2327" s="107" t="s">
        <v>283</v>
      </c>
      <c r="C2327" s="107" t="s">
        <v>274</v>
      </c>
      <c r="D2327" s="107">
        <v>2</v>
      </c>
      <c r="E2327" s="107" t="s">
        <v>701</v>
      </c>
      <c r="F2327" s="107" t="s">
        <v>700</v>
      </c>
      <c r="G2327" s="107">
        <v>72</v>
      </c>
      <c r="H2327" s="107">
        <v>0</v>
      </c>
      <c r="I2327" s="107">
        <v>0</v>
      </c>
      <c r="J2327" s="107">
        <f t="shared" si="36"/>
        <v>36</v>
      </c>
      <c r="K2327" s="107">
        <v>3991</v>
      </c>
      <c r="L2327" s="107">
        <v>1788</v>
      </c>
      <c r="M2327" s="107">
        <v>149</v>
      </c>
      <c r="N2327" s="107" t="s">
        <v>284</v>
      </c>
    </row>
    <row r="2328" spans="1:14" x14ac:dyDescent="0.15">
      <c r="A2328" s="107">
        <v>1669</v>
      </c>
      <c r="B2328" s="107" t="s">
        <v>197</v>
      </c>
      <c r="C2328" s="107" t="s">
        <v>274</v>
      </c>
      <c r="D2328" s="107">
        <v>20</v>
      </c>
      <c r="E2328" s="107" t="s">
        <v>193</v>
      </c>
      <c r="F2328" s="107" t="s">
        <v>220</v>
      </c>
      <c r="G2328" s="107">
        <v>30</v>
      </c>
      <c r="H2328" s="107">
        <v>0</v>
      </c>
      <c r="I2328" s="107">
        <v>0</v>
      </c>
      <c r="J2328" s="107">
        <f t="shared" si="36"/>
        <v>1.5</v>
      </c>
      <c r="K2328" s="107">
        <v>4004</v>
      </c>
      <c r="L2328" s="107">
        <v>1805</v>
      </c>
      <c r="M2328" s="107">
        <v>558</v>
      </c>
      <c r="N2328" s="107"/>
    </row>
    <row r="2329" spans="1:14" x14ac:dyDescent="0.15">
      <c r="A2329" s="107">
        <v>1656</v>
      </c>
      <c r="B2329" s="107" t="s">
        <v>283</v>
      </c>
      <c r="C2329" s="107" t="s">
        <v>274</v>
      </c>
      <c r="D2329" s="107">
        <v>3</v>
      </c>
      <c r="E2329" s="107"/>
      <c r="F2329" s="107" t="s">
        <v>702</v>
      </c>
      <c r="G2329" s="107">
        <v>10</v>
      </c>
      <c r="H2329" s="107">
        <v>10</v>
      </c>
      <c r="I2329" s="107">
        <v>0</v>
      </c>
      <c r="J2329" s="107">
        <f t="shared" si="36"/>
        <v>3.5</v>
      </c>
      <c r="K2329" s="107">
        <v>3991</v>
      </c>
      <c r="L2329" s="107">
        <v>1788</v>
      </c>
      <c r="M2329" s="107">
        <v>150</v>
      </c>
      <c r="N2329" s="107" t="s">
        <v>284</v>
      </c>
    </row>
    <row r="2330" spans="1:14" x14ac:dyDescent="0.15">
      <c r="A2330" s="107">
        <v>1655</v>
      </c>
      <c r="B2330" s="107" t="s">
        <v>236</v>
      </c>
      <c r="C2330" s="107" t="s">
        <v>274</v>
      </c>
      <c r="D2330" s="107">
        <v>25</v>
      </c>
      <c r="E2330" s="107"/>
      <c r="F2330" s="107" t="s">
        <v>703</v>
      </c>
      <c r="G2330" s="107">
        <v>25</v>
      </c>
      <c r="H2330" s="107">
        <v>0</v>
      </c>
      <c r="I2330" s="107">
        <v>0</v>
      </c>
      <c r="J2330" s="107">
        <f t="shared" si="36"/>
        <v>1</v>
      </c>
      <c r="K2330" s="107">
        <v>3990</v>
      </c>
      <c r="L2330" s="107">
        <v>1788</v>
      </c>
      <c r="M2330" s="107">
        <v>204</v>
      </c>
      <c r="N2330" s="107" t="s">
        <v>349</v>
      </c>
    </row>
    <row r="2331" spans="1:14" x14ac:dyDescent="0.15">
      <c r="A2331" s="107">
        <v>1682</v>
      </c>
      <c r="B2331" s="107" t="s">
        <v>197</v>
      </c>
      <c r="C2331" s="107" t="s">
        <v>271</v>
      </c>
      <c r="D2331" s="107">
        <v>1.25</v>
      </c>
      <c r="E2331" s="107" t="s">
        <v>193</v>
      </c>
      <c r="F2331" s="107" t="s">
        <v>704</v>
      </c>
      <c r="G2331" s="107">
        <v>0</v>
      </c>
      <c r="H2331" s="107">
        <v>12</v>
      </c>
      <c r="I2331" s="107">
        <v>14</v>
      </c>
      <c r="J2331" s="107">
        <f t="shared" si="36"/>
        <v>0.5149999999999999</v>
      </c>
      <c r="K2331" s="107">
        <v>4018</v>
      </c>
      <c r="L2331" s="107">
        <v>1820</v>
      </c>
      <c r="M2331" s="107">
        <v>759</v>
      </c>
      <c r="N2331" s="107" t="s">
        <v>273</v>
      </c>
    </row>
    <row r="2332" spans="1:14" x14ac:dyDescent="0.15">
      <c r="A2332" s="107">
        <v>1700</v>
      </c>
      <c r="B2332" s="107" t="s">
        <v>200</v>
      </c>
      <c r="C2332" s="107" t="s">
        <v>271</v>
      </c>
      <c r="D2332" s="107">
        <v>1</v>
      </c>
      <c r="E2332" s="107" t="s">
        <v>193</v>
      </c>
      <c r="F2332" s="107" t="s">
        <v>704</v>
      </c>
      <c r="G2332" s="107">
        <v>1</v>
      </c>
      <c r="H2332" s="107">
        <v>0</v>
      </c>
      <c r="I2332" s="107">
        <v>0</v>
      </c>
      <c r="J2332" s="107">
        <f t="shared" si="36"/>
        <v>1</v>
      </c>
      <c r="K2332" s="107">
        <v>4047</v>
      </c>
      <c r="L2332" s="107">
        <v>1855</v>
      </c>
      <c r="M2332" s="107">
        <v>529</v>
      </c>
      <c r="N2332" s="107" t="s">
        <v>272</v>
      </c>
    </row>
    <row r="2333" spans="1:14" x14ac:dyDescent="0.15">
      <c r="A2333" s="107">
        <v>1701</v>
      </c>
      <c r="B2333" s="107" t="s">
        <v>196</v>
      </c>
      <c r="C2333" s="107" t="s">
        <v>271</v>
      </c>
      <c r="D2333" s="107">
        <v>3</v>
      </c>
      <c r="E2333" s="107" t="s">
        <v>193</v>
      </c>
      <c r="F2333" s="107" t="s">
        <v>704</v>
      </c>
      <c r="G2333" s="107">
        <v>3</v>
      </c>
      <c r="H2333" s="107">
        <v>0</v>
      </c>
      <c r="I2333" s="107">
        <v>0</v>
      </c>
      <c r="J2333" s="107">
        <f t="shared" si="36"/>
        <v>1</v>
      </c>
      <c r="K2333" s="107">
        <v>4047</v>
      </c>
      <c r="L2333" s="107">
        <v>1855</v>
      </c>
      <c r="M2333" s="107">
        <v>562</v>
      </c>
      <c r="N2333" s="107" t="s">
        <v>273</v>
      </c>
    </row>
    <row r="2334" spans="1:14" x14ac:dyDescent="0.15">
      <c r="A2334" s="107">
        <v>1704</v>
      </c>
      <c r="B2334" s="107" t="s">
        <v>260</v>
      </c>
      <c r="C2334" s="107" t="s">
        <v>268</v>
      </c>
      <c r="D2334" s="25">
        <v>4</v>
      </c>
      <c r="E2334" s="107" t="s">
        <v>193</v>
      </c>
      <c r="F2334" s="107" t="s">
        <v>704</v>
      </c>
      <c r="G2334" s="107">
        <v>4</v>
      </c>
      <c r="H2334" s="107">
        <v>0</v>
      </c>
      <c r="I2334" s="107">
        <v>0</v>
      </c>
      <c r="J2334" s="107">
        <f t="shared" si="36"/>
        <v>1</v>
      </c>
      <c r="K2334" s="107">
        <v>5524</v>
      </c>
      <c r="L2334" s="107"/>
      <c r="M2334" s="107"/>
      <c r="N2334" s="107"/>
    </row>
    <row r="2335" spans="1:14" x14ac:dyDescent="0.15">
      <c r="A2335" s="107">
        <v>1705</v>
      </c>
      <c r="B2335" s="107" t="s">
        <v>197</v>
      </c>
      <c r="C2335" s="107" t="s">
        <v>268</v>
      </c>
      <c r="D2335" s="25">
        <v>4</v>
      </c>
      <c r="E2335" s="107" t="s">
        <v>193</v>
      </c>
      <c r="F2335" s="107" t="s">
        <v>704</v>
      </c>
      <c r="G2335" s="107">
        <v>4</v>
      </c>
      <c r="H2335" s="107">
        <v>0</v>
      </c>
      <c r="I2335" s="107">
        <v>0</v>
      </c>
      <c r="J2335" s="107">
        <f t="shared" si="36"/>
        <v>1</v>
      </c>
      <c r="K2335" s="107">
        <v>5536</v>
      </c>
      <c r="L2335" s="107"/>
      <c r="M2335" s="107"/>
      <c r="N2335" s="107"/>
    </row>
    <row r="2336" spans="1:14" x14ac:dyDescent="0.15">
      <c r="A2336" s="107">
        <v>1706</v>
      </c>
      <c r="B2336" s="107" t="s">
        <v>186</v>
      </c>
      <c r="C2336" s="107" t="s">
        <v>268</v>
      </c>
      <c r="D2336" s="25">
        <v>4</v>
      </c>
      <c r="E2336" s="107" t="s">
        <v>193</v>
      </c>
      <c r="F2336" s="107" t="s">
        <v>704</v>
      </c>
      <c r="G2336" s="107">
        <v>4</v>
      </c>
      <c r="H2336" s="107">
        <v>0</v>
      </c>
      <c r="I2336" s="107">
        <v>0</v>
      </c>
      <c r="J2336" s="107">
        <f t="shared" si="36"/>
        <v>1</v>
      </c>
      <c r="K2336" s="107">
        <v>5558</v>
      </c>
      <c r="L2336" s="107"/>
      <c r="M2336" s="107"/>
      <c r="N2336" s="107"/>
    </row>
    <row r="2337" spans="1:11" x14ac:dyDescent="0.15">
      <c r="A2337" s="107">
        <v>1707</v>
      </c>
      <c r="B2337" s="107" t="s">
        <v>244</v>
      </c>
      <c r="C2337" s="107" t="s">
        <v>268</v>
      </c>
      <c r="D2337" s="25">
        <v>4</v>
      </c>
      <c r="E2337" s="107" t="s">
        <v>193</v>
      </c>
      <c r="F2337" s="107" t="s">
        <v>704</v>
      </c>
      <c r="G2337" s="107">
        <v>4</v>
      </c>
      <c r="H2337" s="107">
        <v>0</v>
      </c>
      <c r="I2337" s="107">
        <v>0</v>
      </c>
      <c r="J2337" s="107">
        <f t="shared" si="36"/>
        <v>1</v>
      </c>
      <c r="K2337" s="107">
        <v>5570</v>
      </c>
    </row>
    <row r="2338" spans="1:11" x14ac:dyDescent="0.15">
      <c r="A2338" s="107">
        <v>1708</v>
      </c>
      <c r="B2338" s="107" t="s">
        <v>253</v>
      </c>
      <c r="C2338" s="107" t="s">
        <v>268</v>
      </c>
      <c r="D2338" s="25">
        <v>4</v>
      </c>
      <c r="E2338" s="107" t="s">
        <v>193</v>
      </c>
      <c r="F2338" s="107" t="s">
        <v>704</v>
      </c>
      <c r="G2338" s="107">
        <v>4</v>
      </c>
      <c r="H2338" s="107">
        <v>0</v>
      </c>
      <c r="I2338" s="107">
        <v>0</v>
      </c>
      <c r="J2338" s="107">
        <f t="shared" si="36"/>
        <v>1</v>
      </c>
      <c r="K2338" s="107">
        <v>5571</v>
      </c>
    </row>
    <row r="2339" spans="1:11" x14ac:dyDescent="0.15">
      <c r="A2339" s="107">
        <v>1709</v>
      </c>
      <c r="B2339" s="107" t="s">
        <v>192</v>
      </c>
      <c r="C2339" s="107" t="s">
        <v>268</v>
      </c>
      <c r="D2339" s="25">
        <v>4</v>
      </c>
      <c r="E2339" s="107" t="s">
        <v>193</v>
      </c>
      <c r="F2339" s="107" t="s">
        <v>704</v>
      </c>
      <c r="G2339" s="107">
        <v>4</v>
      </c>
      <c r="H2339" s="107">
        <v>0</v>
      </c>
      <c r="I2339" s="107">
        <v>0</v>
      </c>
      <c r="J2339" s="107">
        <f t="shared" si="36"/>
        <v>1</v>
      </c>
      <c r="K2339" s="107">
        <v>5600</v>
      </c>
    </row>
    <row r="2340" spans="1:11" x14ac:dyDescent="0.15">
      <c r="A2340" s="107">
        <v>1709</v>
      </c>
      <c r="B2340" s="107" t="s">
        <v>192</v>
      </c>
      <c r="C2340" s="107" t="s">
        <v>268</v>
      </c>
      <c r="D2340" s="25">
        <v>3</v>
      </c>
      <c r="E2340" s="107" t="s">
        <v>193</v>
      </c>
      <c r="F2340" s="107" t="s">
        <v>704</v>
      </c>
      <c r="G2340" s="107">
        <v>3</v>
      </c>
      <c r="H2340" s="107">
        <v>0</v>
      </c>
      <c r="I2340" s="107">
        <v>0</v>
      </c>
      <c r="J2340" s="107">
        <f t="shared" si="36"/>
        <v>1</v>
      </c>
      <c r="K2340" s="107">
        <v>5590</v>
      </c>
    </row>
    <row r="2341" spans="1:11" x14ac:dyDescent="0.15">
      <c r="A2341" s="107">
        <v>1710</v>
      </c>
      <c r="B2341" s="107" t="s">
        <v>186</v>
      </c>
      <c r="C2341" s="107" t="s">
        <v>268</v>
      </c>
      <c r="D2341" s="25">
        <v>6</v>
      </c>
      <c r="E2341" s="107" t="s">
        <v>193</v>
      </c>
      <c r="F2341" s="107" t="s">
        <v>704</v>
      </c>
      <c r="G2341" s="107">
        <v>6</v>
      </c>
      <c r="H2341" s="107">
        <v>0</v>
      </c>
      <c r="I2341" s="107">
        <v>0</v>
      </c>
      <c r="J2341" s="107">
        <f t="shared" si="36"/>
        <v>1</v>
      </c>
      <c r="K2341" s="107">
        <v>5611</v>
      </c>
    </row>
    <row r="2342" spans="1:11" x14ac:dyDescent="0.15">
      <c r="A2342" s="107">
        <v>1711</v>
      </c>
      <c r="B2342" s="107" t="s">
        <v>260</v>
      </c>
      <c r="C2342" s="107" t="s">
        <v>268</v>
      </c>
      <c r="D2342" s="25">
        <v>4</v>
      </c>
      <c r="E2342" s="107" t="s">
        <v>193</v>
      </c>
      <c r="F2342" s="107" t="s">
        <v>704</v>
      </c>
      <c r="G2342" s="107">
        <v>4</v>
      </c>
      <c r="H2342" s="107">
        <v>0</v>
      </c>
      <c r="I2342" s="107">
        <v>0</v>
      </c>
      <c r="J2342" s="107">
        <f t="shared" si="36"/>
        <v>1</v>
      </c>
      <c r="K2342" s="107">
        <v>5612</v>
      </c>
    </row>
    <row r="2343" spans="1:11" x14ac:dyDescent="0.15">
      <c r="A2343" s="107">
        <v>1713</v>
      </c>
      <c r="B2343" s="107" t="s">
        <v>260</v>
      </c>
      <c r="C2343" s="107" t="s">
        <v>268</v>
      </c>
      <c r="D2343" s="25">
        <v>4</v>
      </c>
      <c r="E2343" s="107" t="s">
        <v>193</v>
      </c>
      <c r="F2343" s="107" t="s">
        <v>704</v>
      </c>
      <c r="G2343" s="107">
        <v>4</v>
      </c>
      <c r="H2343" s="107">
        <v>0</v>
      </c>
      <c r="I2343" s="107">
        <v>0</v>
      </c>
      <c r="J2343" s="107">
        <f t="shared" si="36"/>
        <v>1</v>
      </c>
      <c r="K2343" s="107">
        <v>5644</v>
      </c>
    </row>
    <row r="2344" spans="1:11" x14ac:dyDescent="0.15">
      <c r="A2344" s="107">
        <v>1713</v>
      </c>
      <c r="B2344" s="107" t="s">
        <v>236</v>
      </c>
      <c r="C2344" s="107" t="s">
        <v>268</v>
      </c>
      <c r="D2344" s="25">
        <v>4</v>
      </c>
      <c r="E2344" s="107" t="s">
        <v>193</v>
      </c>
      <c r="F2344" s="107" t="s">
        <v>704</v>
      </c>
      <c r="G2344" s="107">
        <v>4</v>
      </c>
      <c r="H2344" s="107">
        <v>0</v>
      </c>
      <c r="I2344" s="107">
        <v>0</v>
      </c>
      <c r="J2344" s="107">
        <f t="shared" si="36"/>
        <v>1</v>
      </c>
      <c r="K2344" s="107">
        <v>5646</v>
      </c>
    </row>
    <row r="2345" spans="1:11" x14ac:dyDescent="0.15">
      <c r="A2345" s="107">
        <v>1715</v>
      </c>
      <c r="B2345" s="107" t="s">
        <v>197</v>
      </c>
      <c r="C2345" s="107" t="s">
        <v>268</v>
      </c>
      <c r="D2345" s="25">
        <v>2</v>
      </c>
      <c r="E2345" s="107" t="s">
        <v>193</v>
      </c>
      <c r="F2345" s="107" t="s">
        <v>704</v>
      </c>
      <c r="G2345" s="107">
        <v>2</v>
      </c>
      <c r="H2345" s="107">
        <v>0</v>
      </c>
      <c r="I2345" s="107">
        <v>0</v>
      </c>
      <c r="J2345" s="107">
        <f t="shared" si="36"/>
        <v>1</v>
      </c>
      <c r="K2345" s="107">
        <v>5663</v>
      </c>
    </row>
    <row r="2346" spans="1:11" x14ac:dyDescent="0.15">
      <c r="A2346" s="107">
        <v>1716</v>
      </c>
      <c r="B2346" s="107" t="s">
        <v>197</v>
      </c>
      <c r="C2346" s="107" t="s">
        <v>268</v>
      </c>
      <c r="D2346" s="25">
        <v>3</v>
      </c>
      <c r="E2346" s="107" t="s">
        <v>193</v>
      </c>
      <c r="F2346" s="107" t="s">
        <v>704</v>
      </c>
      <c r="G2346" s="107">
        <v>3</v>
      </c>
      <c r="H2346" s="107">
        <v>0</v>
      </c>
      <c r="I2346" s="107">
        <v>0</v>
      </c>
      <c r="J2346" s="107">
        <f t="shared" si="36"/>
        <v>1</v>
      </c>
      <c r="K2346" s="107">
        <v>5670</v>
      </c>
    </row>
    <row r="2347" spans="1:11" x14ac:dyDescent="0.15">
      <c r="A2347" s="107">
        <v>1717</v>
      </c>
      <c r="B2347" s="107" t="s">
        <v>192</v>
      </c>
      <c r="C2347" s="107" t="s">
        <v>268</v>
      </c>
      <c r="D2347" s="25">
        <v>4</v>
      </c>
      <c r="E2347" s="107" t="s">
        <v>193</v>
      </c>
      <c r="F2347" s="107" t="s">
        <v>704</v>
      </c>
      <c r="G2347" s="107">
        <v>4</v>
      </c>
      <c r="H2347" s="107">
        <v>0</v>
      </c>
      <c r="I2347" s="107">
        <v>0</v>
      </c>
      <c r="J2347" s="107">
        <f t="shared" si="36"/>
        <v>1</v>
      </c>
      <c r="K2347" s="107">
        <v>5683</v>
      </c>
    </row>
    <row r="2348" spans="1:11" x14ac:dyDescent="0.15">
      <c r="A2348" s="107">
        <v>1718</v>
      </c>
      <c r="B2348" s="107" t="s">
        <v>253</v>
      </c>
      <c r="C2348" s="107" t="s">
        <v>268</v>
      </c>
      <c r="D2348" s="25">
        <v>4</v>
      </c>
      <c r="E2348" s="107" t="s">
        <v>193</v>
      </c>
      <c r="F2348" s="107" t="s">
        <v>704</v>
      </c>
      <c r="G2348" s="107">
        <v>4</v>
      </c>
      <c r="H2348" s="107">
        <v>0</v>
      </c>
      <c r="I2348" s="107">
        <v>0</v>
      </c>
      <c r="J2348" s="107">
        <f t="shared" si="36"/>
        <v>1</v>
      </c>
      <c r="K2348" s="107">
        <v>5702</v>
      </c>
    </row>
    <row r="2349" spans="1:11" x14ac:dyDescent="0.15">
      <c r="A2349" s="107">
        <v>1719</v>
      </c>
      <c r="B2349" s="107" t="s">
        <v>186</v>
      </c>
      <c r="C2349" s="107" t="s">
        <v>268</v>
      </c>
      <c r="D2349" s="25">
        <v>4</v>
      </c>
      <c r="E2349" s="107" t="s">
        <v>193</v>
      </c>
      <c r="F2349" s="107" t="s">
        <v>704</v>
      </c>
      <c r="G2349" s="107">
        <v>4</v>
      </c>
      <c r="H2349" s="107">
        <v>0</v>
      </c>
      <c r="I2349" s="107">
        <v>0</v>
      </c>
      <c r="J2349" s="107">
        <f t="shared" si="36"/>
        <v>1</v>
      </c>
      <c r="K2349" s="107">
        <v>5732</v>
      </c>
    </row>
    <row r="2350" spans="1:11" x14ac:dyDescent="0.15">
      <c r="A2350" s="107">
        <v>1720</v>
      </c>
      <c r="B2350" s="107" t="s">
        <v>253</v>
      </c>
      <c r="C2350" s="107" t="s">
        <v>268</v>
      </c>
      <c r="D2350" s="25">
        <v>7</v>
      </c>
      <c r="E2350" s="107" t="s">
        <v>193</v>
      </c>
      <c r="F2350" s="107" t="s">
        <v>704</v>
      </c>
      <c r="G2350" s="107">
        <v>7</v>
      </c>
      <c r="H2350" s="107">
        <v>0</v>
      </c>
      <c r="I2350" s="107">
        <v>0</v>
      </c>
      <c r="J2350" s="107">
        <f t="shared" si="36"/>
        <v>1</v>
      </c>
      <c r="K2350" s="107">
        <v>5731</v>
      </c>
    </row>
    <row r="2351" spans="1:11" x14ac:dyDescent="0.15">
      <c r="A2351" s="107">
        <v>1721</v>
      </c>
      <c r="B2351" s="107" t="s">
        <v>192</v>
      </c>
      <c r="C2351" s="107" t="s">
        <v>268</v>
      </c>
      <c r="D2351" s="25">
        <v>5</v>
      </c>
      <c r="E2351" s="107" t="s">
        <v>193</v>
      </c>
      <c r="F2351" s="107" t="s">
        <v>704</v>
      </c>
      <c r="G2351" s="107">
        <v>2</v>
      </c>
      <c r="H2351" s="107">
        <v>10</v>
      </c>
      <c r="I2351" s="107">
        <v>0</v>
      </c>
      <c r="J2351" s="107">
        <f t="shared" si="36"/>
        <v>0.5</v>
      </c>
      <c r="K2351" s="107">
        <v>5753</v>
      </c>
    </row>
    <row r="2352" spans="1:11" x14ac:dyDescent="0.15">
      <c r="A2352" s="107">
        <v>1722</v>
      </c>
      <c r="B2352" s="107" t="s">
        <v>260</v>
      </c>
      <c r="C2352" s="107" t="s">
        <v>268</v>
      </c>
      <c r="D2352" s="25">
        <v>5</v>
      </c>
      <c r="E2352" s="107" t="s">
        <v>193</v>
      </c>
      <c r="F2352" s="107" t="s">
        <v>704</v>
      </c>
      <c r="G2352" s="107">
        <v>2</v>
      </c>
      <c r="H2352" s="107">
        <v>10</v>
      </c>
      <c r="I2352" s="107">
        <v>0</v>
      </c>
      <c r="J2352" s="107">
        <f t="shared" ref="J2352:J2415" si="37">(G2352+H2352/20+I2352/320)/D2352</f>
        <v>0.5</v>
      </c>
      <c r="K2352" s="107">
        <v>5772</v>
      </c>
    </row>
    <row r="2353" spans="1:11" x14ac:dyDescent="0.15">
      <c r="A2353" s="107">
        <v>1723</v>
      </c>
      <c r="B2353" s="107" t="s">
        <v>236</v>
      </c>
      <c r="C2353" s="107" t="s">
        <v>268</v>
      </c>
      <c r="D2353" s="25">
        <v>6</v>
      </c>
      <c r="E2353" s="107" t="s">
        <v>193</v>
      </c>
      <c r="F2353" s="107" t="s">
        <v>704</v>
      </c>
      <c r="G2353" s="107">
        <v>3</v>
      </c>
      <c r="H2353" s="107">
        <v>12</v>
      </c>
      <c r="I2353" s="107">
        <v>0</v>
      </c>
      <c r="J2353" s="107">
        <f t="shared" si="37"/>
        <v>0.6</v>
      </c>
      <c r="K2353" s="107">
        <v>6808</v>
      </c>
    </row>
    <row r="2354" spans="1:11" x14ac:dyDescent="0.15">
      <c r="A2354" s="107">
        <v>1724</v>
      </c>
      <c r="B2354" s="107" t="s">
        <v>197</v>
      </c>
      <c r="C2354" s="107" t="s">
        <v>268</v>
      </c>
      <c r="D2354" s="25">
        <v>6</v>
      </c>
      <c r="E2354" s="107" t="s">
        <v>193</v>
      </c>
      <c r="F2354" s="107" t="s">
        <v>704</v>
      </c>
      <c r="G2354" s="107">
        <v>3</v>
      </c>
      <c r="H2354" s="107">
        <v>12</v>
      </c>
      <c r="I2354" s="107">
        <v>0</v>
      </c>
      <c r="J2354" s="107">
        <f t="shared" si="37"/>
        <v>0.6</v>
      </c>
      <c r="K2354" s="107">
        <v>6807</v>
      </c>
    </row>
    <row r="2355" spans="1:11" x14ac:dyDescent="0.15">
      <c r="A2355" s="107">
        <v>1725</v>
      </c>
      <c r="B2355" s="107" t="s">
        <v>200</v>
      </c>
      <c r="C2355" s="107" t="s">
        <v>268</v>
      </c>
      <c r="D2355" s="25">
        <v>5</v>
      </c>
      <c r="E2355" s="107" t="s">
        <v>193</v>
      </c>
      <c r="F2355" s="107" t="s">
        <v>704</v>
      </c>
      <c r="G2355" s="107">
        <v>5</v>
      </c>
      <c r="H2355" s="107">
        <v>0</v>
      </c>
      <c r="I2355" s="107">
        <v>0</v>
      </c>
      <c r="J2355" s="107">
        <f t="shared" si="37"/>
        <v>1</v>
      </c>
      <c r="K2355" s="107">
        <v>5838</v>
      </c>
    </row>
    <row r="2356" spans="1:11" x14ac:dyDescent="0.15">
      <c r="A2356" s="107">
        <v>1726</v>
      </c>
      <c r="B2356" s="107" t="s">
        <v>261</v>
      </c>
      <c r="C2356" s="107" t="s">
        <v>268</v>
      </c>
      <c r="D2356" s="25">
        <v>5</v>
      </c>
      <c r="E2356" s="107" t="s">
        <v>193</v>
      </c>
      <c r="F2356" s="107" t="s">
        <v>704</v>
      </c>
      <c r="G2356" s="107">
        <v>5</v>
      </c>
      <c r="H2356" s="107">
        <v>0</v>
      </c>
      <c r="I2356" s="107">
        <v>0</v>
      </c>
      <c r="J2356" s="107">
        <f t="shared" si="37"/>
        <v>1</v>
      </c>
      <c r="K2356" s="107">
        <v>5855</v>
      </c>
    </row>
    <row r="2357" spans="1:11" x14ac:dyDescent="0.15">
      <c r="A2357" s="107">
        <v>1727</v>
      </c>
      <c r="B2357" s="107" t="s">
        <v>192</v>
      </c>
      <c r="C2357" s="107" t="s">
        <v>268</v>
      </c>
      <c r="D2357" s="25">
        <v>4</v>
      </c>
      <c r="E2357" s="107" t="s">
        <v>193</v>
      </c>
      <c r="F2357" s="107" t="s">
        <v>704</v>
      </c>
      <c r="G2357" s="107">
        <v>3</v>
      </c>
      <c r="H2357" s="107">
        <v>0</v>
      </c>
      <c r="I2357" s="107">
        <v>0</v>
      </c>
      <c r="J2357" s="107">
        <f t="shared" si="37"/>
        <v>0.75</v>
      </c>
      <c r="K2357" s="107">
        <v>5871</v>
      </c>
    </row>
    <row r="2358" spans="1:11" x14ac:dyDescent="0.15">
      <c r="A2358" s="107">
        <v>1728</v>
      </c>
      <c r="B2358" s="107" t="s">
        <v>186</v>
      </c>
      <c r="C2358" s="107" t="s">
        <v>268</v>
      </c>
      <c r="D2358" s="25">
        <v>6</v>
      </c>
      <c r="E2358" s="107" t="s">
        <v>193</v>
      </c>
      <c r="F2358" s="107" t="s">
        <v>704</v>
      </c>
      <c r="G2358" s="107">
        <v>6</v>
      </c>
      <c r="H2358" s="107">
        <v>0</v>
      </c>
      <c r="I2358" s="107">
        <v>0</v>
      </c>
      <c r="J2358" s="107">
        <f t="shared" si="37"/>
        <v>1</v>
      </c>
      <c r="K2358" s="107">
        <v>5900</v>
      </c>
    </row>
    <row r="2359" spans="1:11" x14ac:dyDescent="0.15">
      <c r="A2359" s="107">
        <v>1729</v>
      </c>
      <c r="B2359" s="107" t="s">
        <v>261</v>
      </c>
      <c r="C2359" s="107" t="s">
        <v>268</v>
      </c>
      <c r="D2359" s="25">
        <v>6</v>
      </c>
      <c r="E2359" s="107" t="s">
        <v>193</v>
      </c>
      <c r="F2359" s="107" t="s">
        <v>704</v>
      </c>
      <c r="G2359" s="107">
        <v>6</v>
      </c>
      <c r="H2359" s="107">
        <v>0</v>
      </c>
      <c r="I2359" s="107">
        <v>0</v>
      </c>
      <c r="J2359" s="107">
        <f t="shared" si="37"/>
        <v>1</v>
      </c>
      <c r="K2359" s="107">
        <v>5903</v>
      </c>
    </row>
    <row r="2360" spans="1:11" x14ac:dyDescent="0.15">
      <c r="A2360" s="107">
        <v>1730</v>
      </c>
      <c r="B2360" s="107" t="s">
        <v>226</v>
      </c>
      <c r="C2360" s="107" t="s">
        <v>268</v>
      </c>
      <c r="D2360" s="25">
        <v>5</v>
      </c>
      <c r="E2360" s="107" t="s">
        <v>193</v>
      </c>
      <c r="F2360" s="107" t="s">
        <v>704</v>
      </c>
      <c r="G2360" s="107">
        <v>5</v>
      </c>
      <c r="H2360" s="107">
        <v>0</v>
      </c>
      <c r="I2360" s="107">
        <v>0</v>
      </c>
      <c r="J2360" s="107">
        <f t="shared" si="37"/>
        <v>1</v>
      </c>
      <c r="K2360" s="107">
        <v>5935</v>
      </c>
    </row>
    <row r="2361" spans="1:11" x14ac:dyDescent="0.15">
      <c r="A2361" s="107">
        <v>1731</v>
      </c>
      <c r="B2361" s="107" t="s">
        <v>261</v>
      </c>
      <c r="C2361" s="107" t="s">
        <v>268</v>
      </c>
      <c r="D2361" s="25">
        <v>5</v>
      </c>
      <c r="E2361" s="107" t="s">
        <v>193</v>
      </c>
      <c r="F2361" s="107" t="s">
        <v>704</v>
      </c>
      <c r="G2361" s="107">
        <v>5</v>
      </c>
      <c r="H2361" s="107">
        <v>0</v>
      </c>
      <c r="I2361" s="107">
        <v>0</v>
      </c>
      <c r="J2361" s="107">
        <f t="shared" si="37"/>
        <v>1</v>
      </c>
      <c r="K2361" s="107">
        <v>5938</v>
      </c>
    </row>
    <row r="2362" spans="1:11" x14ac:dyDescent="0.15">
      <c r="A2362" s="107">
        <v>1732</v>
      </c>
      <c r="B2362" s="107" t="s">
        <v>186</v>
      </c>
      <c r="C2362" s="107" t="s">
        <v>268</v>
      </c>
      <c r="D2362" s="25">
        <v>5</v>
      </c>
      <c r="E2362" s="107" t="s">
        <v>193</v>
      </c>
      <c r="F2362" s="107" t="s">
        <v>704</v>
      </c>
      <c r="G2362" s="107">
        <v>5</v>
      </c>
      <c r="H2362" s="107">
        <v>0</v>
      </c>
      <c r="I2362" s="107">
        <v>0</v>
      </c>
      <c r="J2362" s="107">
        <f t="shared" si="37"/>
        <v>1</v>
      </c>
      <c r="K2362" s="107">
        <v>5957</v>
      </c>
    </row>
    <row r="2363" spans="1:11" x14ac:dyDescent="0.15">
      <c r="A2363" s="107">
        <v>1733</v>
      </c>
      <c r="B2363" s="107" t="s">
        <v>253</v>
      </c>
      <c r="C2363" s="107" t="s">
        <v>268</v>
      </c>
      <c r="D2363" s="25">
        <v>5</v>
      </c>
      <c r="E2363" s="107" t="s">
        <v>193</v>
      </c>
      <c r="F2363" s="107" t="s">
        <v>704</v>
      </c>
      <c r="G2363" s="107">
        <v>5</v>
      </c>
      <c r="H2363" s="107">
        <v>0</v>
      </c>
      <c r="I2363" s="107">
        <v>0</v>
      </c>
      <c r="J2363" s="107">
        <f t="shared" si="37"/>
        <v>1</v>
      </c>
      <c r="K2363" s="107">
        <v>5956</v>
      </c>
    </row>
    <row r="2364" spans="1:11" x14ac:dyDescent="0.15">
      <c r="A2364" s="107">
        <v>1734</v>
      </c>
      <c r="B2364" s="107" t="s">
        <v>196</v>
      </c>
      <c r="C2364" s="107" t="s">
        <v>268</v>
      </c>
      <c r="D2364" s="25">
        <v>5</v>
      </c>
      <c r="E2364" s="107" t="s">
        <v>193</v>
      </c>
      <c r="F2364" s="107" t="s">
        <v>704</v>
      </c>
      <c r="G2364" s="107">
        <v>5</v>
      </c>
      <c r="H2364" s="107">
        <v>0</v>
      </c>
      <c r="I2364" s="107">
        <v>0</v>
      </c>
      <c r="J2364" s="107">
        <f t="shared" si="37"/>
        <v>1</v>
      </c>
      <c r="K2364" s="107">
        <v>5981</v>
      </c>
    </row>
    <row r="2365" spans="1:11" x14ac:dyDescent="0.15">
      <c r="A2365" s="107">
        <v>1736</v>
      </c>
      <c r="B2365" s="107" t="s">
        <v>261</v>
      </c>
      <c r="C2365" s="107" t="s">
        <v>268</v>
      </c>
      <c r="D2365" s="25">
        <v>5</v>
      </c>
      <c r="E2365" s="107" t="s">
        <v>193</v>
      </c>
      <c r="F2365" s="107" t="s">
        <v>704</v>
      </c>
      <c r="G2365" s="107">
        <v>5</v>
      </c>
      <c r="H2365" s="107">
        <v>0</v>
      </c>
      <c r="I2365" s="107">
        <v>0</v>
      </c>
      <c r="J2365" s="107">
        <f t="shared" si="37"/>
        <v>1</v>
      </c>
      <c r="K2365" s="107">
        <v>6014</v>
      </c>
    </row>
    <row r="2366" spans="1:11" x14ac:dyDescent="0.15">
      <c r="A2366" s="107">
        <v>1737</v>
      </c>
      <c r="B2366" s="107" t="s">
        <v>226</v>
      </c>
      <c r="C2366" s="107" t="s">
        <v>268</v>
      </c>
      <c r="D2366" s="25">
        <v>5</v>
      </c>
      <c r="E2366" s="107" t="s">
        <v>193</v>
      </c>
      <c r="F2366" s="107" t="s">
        <v>704</v>
      </c>
      <c r="G2366" s="107">
        <v>7</v>
      </c>
      <c r="H2366" s="107">
        <v>10</v>
      </c>
      <c r="I2366" s="107">
        <v>0</v>
      </c>
      <c r="J2366" s="107">
        <f t="shared" si="37"/>
        <v>1.5</v>
      </c>
      <c r="K2366" s="107">
        <v>6035</v>
      </c>
    </row>
    <row r="2367" spans="1:11" x14ac:dyDescent="0.15">
      <c r="A2367" s="107">
        <v>1738</v>
      </c>
      <c r="B2367" s="107" t="s">
        <v>196</v>
      </c>
      <c r="C2367" s="107" t="s">
        <v>268</v>
      </c>
      <c r="D2367" s="25">
        <v>5</v>
      </c>
      <c r="E2367" s="107" t="s">
        <v>193</v>
      </c>
      <c r="F2367" s="107" t="s">
        <v>704</v>
      </c>
      <c r="G2367" s="107">
        <v>5</v>
      </c>
      <c r="H2367" s="107">
        <v>0</v>
      </c>
      <c r="I2367" s="107">
        <v>0</v>
      </c>
      <c r="J2367" s="107">
        <f t="shared" si="37"/>
        <v>1</v>
      </c>
      <c r="K2367" s="107">
        <v>6060</v>
      </c>
    </row>
    <row r="2368" spans="1:11" x14ac:dyDescent="0.15">
      <c r="A2368" s="107">
        <v>1739</v>
      </c>
      <c r="B2368" s="107" t="s">
        <v>226</v>
      </c>
      <c r="C2368" s="107" t="s">
        <v>268</v>
      </c>
      <c r="D2368" s="25">
        <v>5</v>
      </c>
      <c r="E2368" s="107" t="s">
        <v>193</v>
      </c>
      <c r="F2368" s="107" t="s">
        <v>704</v>
      </c>
      <c r="G2368" s="107">
        <v>5</v>
      </c>
      <c r="H2368" s="107">
        <v>0</v>
      </c>
      <c r="I2368" s="107">
        <v>0</v>
      </c>
      <c r="J2368" s="107">
        <f t="shared" si="37"/>
        <v>1</v>
      </c>
      <c r="K2368" s="107">
        <v>6089</v>
      </c>
    </row>
    <row r="2369" spans="1:11" x14ac:dyDescent="0.15">
      <c r="A2369" s="107">
        <v>1740</v>
      </c>
      <c r="B2369" s="107" t="s">
        <v>197</v>
      </c>
      <c r="C2369" s="107" t="s">
        <v>268</v>
      </c>
      <c r="D2369" s="25">
        <v>5</v>
      </c>
      <c r="E2369" s="107" t="s">
        <v>193</v>
      </c>
      <c r="F2369" s="107" t="s">
        <v>704</v>
      </c>
      <c r="G2369" s="107">
        <v>5</v>
      </c>
      <c r="H2369" s="107">
        <v>0</v>
      </c>
      <c r="I2369" s="107">
        <v>0</v>
      </c>
      <c r="J2369" s="107">
        <f t="shared" si="37"/>
        <v>1</v>
      </c>
      <c r="K2369" s="107">
        <v>6098</v>
      </c>
    </row>
    <row r="2370" spans="1:11" x14ac:dyDescent="0.15">
      <c r="A2370" s="107">
        <v>1741</v>
      </c>
      <c r="B2370" s="107" t="s">
        <v>196</v>
      </c>
      <c r="C2370" s="107" t="s">
        <v>268</v>
      </c>
      <c r="D2370" s="25">
        <v>5</v>
      </c>
      <c r="E2370" s="107" t="s">
        <v>193</v>
      </c>
      <c r="F2370" s="107" t="s">
        <v>704</v>
      </c>
      <c r="G2370" s="107">
        <v>5</v>
      </c>
      <c r="H2370" s="107">
        <v>0</v>
      </c>
      <c r="I2370" s="107">
        <v>0</v>
      </c>
      <c r="J2370" s="107">
        <f t="shared" si="37"/>
        <v>1</v>
      </c>
      <c r="K2370" s="107">
        <v>5</v>
      </c>
    </row>
    <row r="2371" spans="1:11" x14ac:dyDescent="0.15">
      <c r="A2371" s="107">
        <v>1743</v>
      </c>
      <c r="B2371" s="107" t="s">
        <v>196</v>
      </c>
      <c r="C2371" s="107" t="s">
        <v>268</v>
      </c>
      <c r="D2371" s="25">
        <v>5</v>
      </c>
      <c r="E2371" s="107" t="s">
        <v>193</v>
      </c>
      <c r="F2371" s="107" t="s">
        <v>704</v>
      </c>
      <c r="G2371" s="107">
        <v>5</v>
      </c>
      <c r="H2371" s="107">
        <v>0</v>
      </c>
      <c r="I2371" s="107">
        <v>0</v>
      </c>
      <c r="J2371" s="107">
        <f t="shared" si="37"/>
        <v>1</v>
      </c>
      <c r="K2371" s="107">
        <v>6143</v>
      </c>
    </row>
    <row r="2372" spans="1:11" x14ac:dyDescent="0.15">
      <c r="A2372" s="107">
        <v>1744</v>
      </c>
      <c r="B2372" s="107" t="s">
        <v>253</v>
      </c>
      <c r="C2372" s="107" t="s">
        <v>268</v>
      </c>
      <c r="D2372" s="25">
        <v>5</v>
      </c>
      <c r="E2372" s="107" t="s">
        <v>193</v>
      </c>
      <c r="F2372" s="107" t="s">
        <v>704</v>
      </c>
      <c r="G2372" s="107">
        <v>4</v>
      </c>
      <c r="H2372" s="107">
        <v>0</v>
      </c>
      <c r="I2372" s="107">
        <v>0</v>
      </c>
      <c r="J2372" s="107">
        <f t="shared" si="37"/>
        <v>0.8</v>
      </c>
      <c r="K2372" s="107">
        <v>6160</v>
      </c>
    </row>
    <row r="2373" spans="1:11" x14ac:dyDescent="0.15">
      <c r="A2373" s="107">
        <v>1745</v>
      </c>
      <c r="B2373" s="107" t="s">
        <v>261</v>
      </c>
      <c r="C2373" s="107" t="s">
        <v>268</v>
      </c>
      <c r="D2373" s="25">
        <v>5</v>
      </c>
      <c r="E2373" s="107" t="s">
        <v>193</v>
      </c>
      <c r="F2373" s="107" t="s">
        <v>704</v>
      </c>
      <c r="G2373" s="107">
        <v>4</v>
      </c>
      <c r="H2373" s="107">
        <v>0</v>
      </c>
      <c r="I2373" s="107">
        <v>0</v>
      </c>
      <c r="J2373" s="107">
        <f t="shared" si="37"/>
        <v>0.8</v>
      </c>
      <c r="K2373" s="107">
        <v>6176</v>
      </c>
    </row>
    <row r="2374" spans="1:11" x14ac:dyDescent="0.15">
      <c r="A2374" s="107">
        <v>1747</v>
      </c>
      <c r="B2374" s="107" t="s">
        <v>247</v>
      </c>
      <c r="C2374" s="107" t="s">
        <v>268</v>
      </c>
      <c r="D2374" s="25">
        <v>6</v>
      </c>
      <c r="E2374" s="107" t="s">
        <v>193</v>
      </c>
      <c r="F2374" s="107" t="s">
        <v>704</v>
      </c>
      <c r="G2374" s="107">
        <v>4</v>
      </c>
      <c r="H2374" s="107">
        <v>16</v>
      </c>
      <c r="I2374" s="107">
        <v>0</v>
      </c>
      <c r="J2374" s="107">
        <f t="shared" si="37"/>
        <v>0.79999999999999993</v>
      </c>
      <c r="K2374" s="107">
        <v>6207</v>
      </c>
    </row>
    <row r="2375" spans="1:11" x14ac:dyDescent="0.15">
      <c r="A2375" s="107">
        <v>1748</v>
      </c>
      <c r="B2375" s="107" t="s">
        <v>260</v>
      </c>
      <c r="C2375" s="107" t="s">
        <v>268</v>
      </c>
      <c r="D2375" s="25">
        <v>5</v>
      </c>
      <c r="E2375" s="107" t="s">
        <v>193</v>
      </c>
      <c r="F2375" s="107" t="s">
        <v>704</v>
      </c>
      <c r="G2375" s="107">
        <v>4</v>
      </c>
      <c r="H2375" s="107">
        <v>0</v>
      </c>
      <c r="I2375" s="107">
        <v>0</v>
      </c>
      <c r="J2375" s="107">
        <f t="shared" si="37"/>
        <v>0.8</v>
      </c>
      <c r="K2375" s="107">
        <v>6218</v>
      </c>
    </row>
    <row r="2376" spans="1:11" x14ac:dyDescent="0.15">
      <c r="A2376" s="107">
        <v>1749</v>
      </c>
      <c r="B2376" s="107" t="s">
        <v>253</v>
      </c>
      <c r="C2376" s="107" t="s">
        <v>268</v>
      </c>
      <c r="D2376" s="25">
        <v>5</v>
      </c>
      <c r="E2376" s="107" t="s">
        <v>193</v>
      </c>
      <c r="F2376" s="107" t="s">
        <v>704</v>
      </c>
      <c r="G2376" s="107">
        <v>5</v>
      </c>
      <c r="H2376" s="107">
        <v>0</v>
      </c>
      <c r="I2376" s="107">
        <v>0</v>
      </c>
      <c r="J2376" s="107">
        <f t="shared" si="37"/>
        <v>1</v>
      </c>
      <c r="K2376" s="107">
        <v>6233</v>
      </c>
    </row>
    <row r="2377" spans="1:11" x14ac:dyDescent="0.15">
      <c r="A2377" s="107">
        <v>1750</v>
      </c>
      <c r="B2377" s="107" t="s">
        <v>197</v>
      </c>
      <c r="C2377" s="107" t="s">
        <v>268</v>
      </c>
      <c r="D2377" s="25">
        <v>6</v>
      </c>
      <c r="E2377" s="107" t="s">
        <v>193</v>
      </c>
      <c r="F2377" s="107" t="s">
        <v>704</v>
      </c>
      <c r="G2377" s="107">
        <v>5</v>
      </c>
      <c r="H2377" s="107">
        <v>0</v>
      </c>
      <c r="I2377" s="107">
        <v>0</v>
      </c>
      <c r="J2377" s="107">
        <f t="shared" si="37"/>
        <v>0.83333333333333337</v>
      </c>
      <c r="K2377" s="107">
        <v>6254</v>
      </c>
    </row>
    <row r="2378" spans="1:11" x14ac:dyDescent="0.15">
      <c r="A2378" s="107">
        <v>1751</v>
      </c>
      <c r="B2378" s="107" t="s">
        <v>196</v>
      </c>
      <c r="C2378" s="107" t="s">
        <v>268</v>
      </c>
      <c r="D2378" s="25">
        <v>5</v>
      </c>
      <c r="E2378" s="107" t="s">
        <v>193</v>
      </c>
      <c r="F2378" s="107" t="s">
        <v>704</v>
      </c>
      <c r="G2378" s="107">
        <v>4</v>
      </c>
      <c r="H2378" s="107">
        <v>0</v>
      </c>
      <c r="I2378" s="107">
        <v>0</v>
      </c>
      <c r="J2378" s="107">
        <f t="shared" si="37"/>
        <v>0.8</v>
      </c>
      <c r="K2378" s="107">
        <v>6270</v>
      </c>
    </row>
    <row r="2379" spans="1:11" x14ac:dyDescent="0.15">
      <c r="A2379" s="107">
        <v>1752</v>
      </c>
      <c r="B2379" s="107" t="s">
        <v>260</v>
      </c>
      <c r="C2379" s="107" t="s">
        <v>268</v>
      </c>
      <c r="D2379" s="25">
        <v>5</v>
      </c>
      <c r="E2379" s="107" t="s">
        <v>193</v>
      </c>
      <c r="F2379" s="107" t="s">
        <v>704</v>
      </c>
      <c r="G2379" s="107">
        <v>5</v>
      </c>
      <c r="H2379" s="107">
        <v>0</v>
      </c>
      <c r="I2379" s="107">
        <v>0</v>
      </c>
      <c r="J2379" s="107">
        <f t="shared" si="37"/>
        <v>1</v>
      </c>
      <c r="K2379" s="107">
        <v>6286</v>
      </c>
    </row>
    <row r="2380" spans="1:11" x14ac:dyDescent="0.15">
      <c r="A2380" s="107">
        <v>1753</v>
      </c>
      <c r="B2380" s="107" t="s">
        <v>196</v>
      </c>
      <c r="C2380" s="107" t="s">
        <v>268</v>
      </c>
      <c r="D2380" s="25">
        <v>5</v>
      </c>
      <c r="E2380" s="107" t="s">
        <v>193</v>
      </c>
      <c r="F2380" s="107" t="s">
        <v>704</v>
      </c>
      <c r="G2380" s="107">
        <v>5</v>
      </c>
      <c r="H2380" s="107">
        <v>0</v>
      </c>
      <c r="I2380" s="107">
        <v>0</v>
      </c>
      <c r="J2380" s="107">
        <f t="shared" si="37"/>
        <v>1</v>
      </c>
      <c r="K2380" s="107">
        <v>6303</v>
      </c>
    </row>
    <row r="2381" spans="1:11" x14ac:dyDescent="0.15">
      <c r="A2381" s="107">
        <v>1754</v>
      </c>
      <c r="B2381" s="107" t="s">
        <v>196</v>
      </c>
      <c r="C2381" s="107" t="s">
        <v>268</v>
      </c>
      <c r="D2381" s="25">
        <v>5</v>
      </c>
      <c r="E2381" s="107" t="s">
        <v>193</v>
      </c>
      <c r="F2381" s="107" t="s">
        <v>704</v>
      </c>
      <c r="G2381" s="107">
        <v>5</v>
      </c>
      <c r="H2381" s="107">
        <v>0</v>
      </c>
      <c r="I2381" s="107">
        <v>0</v>
      </c>
      <c r="J2381" s="107">
        <f t="shared" si="37"/>
        <v>1</v>
      </c>
      <c r="K2381" s="107">
        <v>6314</v>
      </c>
    </row>
    <row r="2382" spans="1:11" x14ac:dyDescent="0.15">
      <c r="A2382" s="107">
        <v>1755</v>
      </c>
      <c r="B2382" s="107" t="s">
        <v>226</v>
      </c>
      <c r="C2382" s="107" t="s">
        <v>268</v>
      </c>
      <c r="D2382" s="25">
        <v>5</v>
      </c>
      <c r="E2382" s="107" t="s">
        <v>193</v>
      </c>
      <c r="F2382" s="107" t="s">
        <v>704</v>
      </c>
      <c r="G2382" s="107">
        <v>4</v>
      </c>
      <c r="H2382" s="107">
        <v>0</v>
      </c>
      <c r="I2382" s="107">
        <v>0</v>
      </c>
      <c r="J2382" s="107">
        <f t="shared" si="37"/>
        <v>0.8</v>
      </c>
      <c r="K2382" s="107">
        <v>6316</v>
      </c>
    </row>
    <row r="2383" spans="1:11" x14ac:dyDescent="0.15">
      <c r="A2383" s="107">
        <v>1756</v>
      </c>
      <c r="B2383" s="107" t="s">
        <v>197</v>
      </c>
      <c r="C2383" s="107" t="s">
        <v>268</v>
      </c>
      <c r="D2383" s="25">
        <v>5</v>
      </c>
      <c r="E2383" s="107" t="s">
        <v>193</v>
      </c>
      <c r="F2383" s="107" t="s">
        <v>704</v>
      </c>
      <c r="G2383" s="107">
        <v>4</v>
      </c>
      <c r="H2383" s="107">
        <v>0</v>
      </c>
      <c r="I2383" s="107">
        <v>0</v>
      </c>
      <c r="J2383" s="107">
        <f t="shared" si="37"/>
        <v>0.8</v>
      </c>
      <c r="K2383" s="107">
        <v>6333</v>
      </c>
    </row>
    <row r="2384" spans="1:11" x14ac:dyDescent="0.15">
      <c r="A2384" s="107">
        <v>1757</v>
      </c>
      <c r="B2384" s="107" t="s">
        <v>186</v>
      </c>
      <c r="C2384" s="107" t="s">
        <v>268</v>
      </c>
      <c r="D2384" s="25">
        <v>5</v>
      </c>
      <c r="E2384" s="107" t="s">
        <v>193</v>
      </c>
      <c r="F2384" s="107" t="s">
        <v>704</v>
      </c>
      <c r="G2384" s="107">
        <v>4</v>
      </c>
      <c r="H2384" s="107">
        <v>0</v>
      </c>
      <c r="I2384" s="107">
        <v>0</v>
      </c>
      <c r="J2384" s="107">
        <f t="shared" si="37"/>
        <v>0.8</v>
      </c>
      <c r="K2384" s="107">
        <v>6354</v>
      </c>
    </row>
    <row r="2385" spans="1:11" x14ac:dyDescent="0.15">
      <c r="A2385" s="107">
        <v>1759</v>
      </c>
      <c r="B2385" s="107" t="s">
        <v>261</v>
      </c>
      <c r="C2385" s="107" t="s">
        <v>268</v>
      </c>
      <c r="D2385" s="25">
        <v>5</v>
      </c>
      <c r="E2385" s="107" t="s">
        <v>193</v>
      </c>
      <c r="F2385" s="107" t="s">
        <v>704</v>
      </c>
      <c r="G2385" s="107">
        <v>4</v>
      </c>
      <c r="H2385" s="107">
        <v>0</v>
      </c>
      <c r="I2385" s="107">
        <v>0</v>
      </c>
      <c r="J2385" s="107">
        <f t="shared" si="37"/>
        <v>0.8</v>
      </c>
      <c r="K2385" s="107">
        <v>6364</v>
      </c>
    </row>
    <row r="2386" spans="1:11" x14ac:dyDescent="0.15">
      <c r="A2386" s="107">
        <v>1760</v>
      </c>
      <c r="B2386" s="107" t="s">
        <v>253</v>
      </c>
      <c r="C2386" s="107" t="s">
        <v>268</v>
      </c>
      <c r="D2386" s="25">
        <v>5</v>
      </c>
      <c r="E2386" s="107" t="s">
        <v>193</v>
      </c>
      <c r="F2386" s="107" t="s">
        <v>704</v>
      </c>
      <c r="G2386" s="107">
        <v>4</v>
      </c>
      <c r="H2386" s="107">
        <v>0</v>
      </c>
      <c r="I2386" s="107">
        <v>0</v>
      </c>
      <c r="J2386" s="107">
        <f t="shared" si="37"/>
        <v>0.8</v>
      </c>
      <c r="K2386" s="107">
        <v>6387</v>
      </c>
    </row>
    <row r="2387" spans="1:11" x14ac:dyDescent="0.15">
      <c r="A2387" s="107">
        <v>1760</v>
      </c>
      <c r="B2387" s="107" t="s">
        <v>244</v>
      </c>
      <c r="C2387" s="107" t="s">
        <v>268</v>
      </c>
      <c r="D2387" s="25">
        <v>9</v>
      </c>
      <c r="E2387" s="107" t="s">
        <v>193</v>
      </c>
      <c r="F2387" s="107" t="s">
        <v>704</v>
      </c>
      <c r="G2387" s="107">
        <v>7</v>
      </c>
      <c r="H2387" s="107">
        <v>4</v>
      </c>
      <c r="I2387" s="107">
        <v>0</v>
      </c>
      <c r="J2387" s="107">
        <f t="shared" si="37"/>
        <v>0.8</v>
      </c>
      <c r="K2387" s="107">
        <v>6374</v>
      </c>
    </row>
    <row r="2388" spans="1:11" x14ac:dyDescent="0.15">
      <c r="A2388" s="107">
        <v>1761</v>
      </c>
      <c r="B2388" s="107" t="s">
        <v>260</v>
      </c>
      <c r="C2388" s="107" t="s">
        <v>268</v>
      </c>
      <c r="D2388" s="25">
        <v>5</v>
      </c>
      <c r="E2388" s="107" t="s">
        <v>193</v>
      </c>
      <c r="F2388" s="107" t="s">
        <v>704</v>
      </c>
      <c r="G2388" s="107">
        <v>4</v>
      </c>
      <c r="H2388" s="107">
        <v>0</v>
      </c>
      <c r="I2388" s="107">
        <v>0</v>
      </c>
      <c r="J2388" s="107">
        <f t="shared" si="37"/>
        <v>0.8</v>
      </c>
      <c r="K2388" s="107">
        <v>6388</v>
      </c>
    </row>
    <row r="2389" spans="1:11" x14ac:dyDescent="0.15">
      <c r="A2389" s="107">
        <v>1761</v>
      </c>
      <c r="B2389" s="107" t="s">
        <v>261</v>
      </c>
      <c r="C2389" s="107" t="s">
        <v>268</v>
      </c>
      <c r="D2389" s="25">
        <v>10</v>
      </c>
      <c r="E2389" s="107" t="s">
        <v>193</v>
      </c>
      <c r="F2389" s="107" t="s">
        <v>704</v>
      </c>
      <c r="G2389" s="107">
        <v>8</v>
      </c>
      <c r="H2389" s="107">
        <v>0</v>
      </c>
      <c r="I2389" s="107">
        <v>0</v>
      </c>
      <c r="J2389" s="107">
        <f t="shared" si="37"/>
        <v>0.8</v>
      </c>
      <c r="K2389" s="107">
        <v>6387</v>
      </c>
    </row>
    <row r="2390" spans="1:11" x14ac:dyDescent="0.15">
      <c r="A2390" s="107">
        <v>1761</v>
      </c>
      <c r="B2390" s="107" t="s">
        <v>260</v>
      </c>
      <c r="C2390" s="107" t="s">
        <v>268</v>
      </c>
      <c r="D2390" s="25">
        <v>5</v>
      </c>
      <c r="E2390" s="107" t="s">
        <v>193</v>
      </c>
      <c r="F2390" s="107" t="s">
        <v>704</v>
      </c>
      <c r="G2390" s="107">
        <v>4</v>
      </c>
      <c r="H2390" s="107">
        <v>0</v>
      </c>
      <c r="I2390" s="107">
        <v>0</v>
      </c>
      <c r="J2390" s="107">
        <f t="shared" si="37"/>
        <v>0.8</v>
      </c>
      <c r="K2390" s="107">
        <v>6394</v>
      </c>
    </row>
    <row r="2391" spans="1:11" x14ac:dyDescent="0.15">
      <c r="A2391" s="107">
        <v>1762</v>
      </c>
      <c r="B2391" s="107" t="s">
        <v>261</v>
      </c>
      <c r="C2391" s="107" t="s">
        <v>268</v>
      </c>
      <c r="D2391" s="25">
        <v>5</v>
      </c>
      <c r="E2391" s="107" t="s">
        <v>193</v>
      </c>
      <c r="F2391" s="107" t="s">
        <v>704</v>
      </c>
      <c r="G2391" s="107">
        <v>3</v>
      </c>
      <c r="H2391" s="107">
        <v>3</v>
      </c>
      <c r="I2391" s="107">
        <v>0</v>
      </c>
      <c r="J2391" s="107">
        <f t="shared" si="37"/>
        <v>0.63</v>
      </c>
      <c r="K2391" s="107">
        <v>6394</v>
      </c>
    </row>
    <row r="2392" spans="1:11" x14ac:dyDescent="0.15">
      <c r="A2392" s="107">
        <v>1763</v>
      </c>
      <c r="B2392" s="107" t="s">
        <v>197</v>
      </c>
      <c r="C2392" s="107" t="s">
        <v>268</v>
      </c>
      <c r="D2392" s="25">
        <v>5</v>
      </c>
      <c r="E2392" s="107" t="s">
        <v>193</v>
      </c>
      <c r="F2392" s="107" t="s">
        <v>704</v>
      </c>
      <c r="G2392" s="107">
        <v>3</v>
      </c>
      <c r="H2392" s="107">
        <v>3</v>
      </c>
      <c r="I2392" s="107">
        <v>0</v>
      </c>
      <c r="J2392" s="107">
        <f t="shared" si="37"/>
        <v>0.63</v>
      </c>
      <c r="K2392" s="107">
        <v>6423</v>
      </c>
    </row>
    <row r="2393" spans="1:11" x14ac:dyDescent="0.15">
      <c r="A2393" s="107">
        <v>1764</v>
      </c>
      <c r="B2393" s="107" t="s">
        <v>261</v>
      </c>
      <c r="C2393" s="107" t="s">
        <v>268</v>
      </c>
      <c r="D2393" s="25">
        <v>5</v>
      </c>
      <c r="E2393" s="107" t="s">
        <v>193</v>
      </c>
      <c r="F2393" s="107" t="s">
        <v>704</v>
      </c>
      <c r="G2393" s="107">
        <v>3</v>
      </c>
      <c r="H2393" s="107">
        <v>3</v>
      </c>
      <c r="I2393" s="107">
        <v>0</v>
      </c>
      <c r="J2393" s="107">
        <f t="shared" si="37"/>
        <v>0.63</v>
      </c>
      <c r="K2393" s="107">
        <v>6423</v>
      </c>
    </row>
    <row r="2394" spans="1:11" x14ac:dyDescent="0.15">
      <c r="A2394" s="107">
        <v>1765</v>
      </c>
      <c r="B2394" s="107" t="s">
        <v>196</v>
      </c>
      <c r="C2394" s="107" t="s">
        <v>268</v>
      </c>
      <c r="D2394" s="25">
        <v>5</v>
      </c>
      <c r="E2394" s="107" t="s">
        <v>193</v>
      </c>
      <c r="F2394" s="107" t="s">
        <v>704</v>
      </c>
      <c r="G2394" s="107">
        <v>3</v>
      </c>
      <c r="H2394" s="107">
        <v>3</v>
      </c>
      <c r="I2394" s="107">
        <v>0</v>
      </c>
      <c r="J2394" s="107">
        <f t="shared" si="37"/>
        <v>0.63</v>
      </c>
      <c r="K2394" s="107">
        <v>6454</v>
      </c>
    </row>
    <row r="2395" spans="1:11" x14ac:dyDescent="0.15">
      <c r="A2395" s="107">
        <v>1766</v>
      </c>
      <c r="B2395" s="107" t="s">
        <v>261</v>
      </c>
      <c r="C2395" s="107" t="s">
        <v>268</v>
      </c>
      <c r="D2395" s="25">
        <v>5</v>
      </c>
      <c r="E2395" s="107" t="s">
        <v>193</v>
      </c>
      <c r="F2395" s="107" t="s">
        <v>704</v>
      </c>
      <c r="G2395" s="107">
        <v>1</v>
      </c>
      <c r="H2395" s="107">
        <v>10</v>
      </c>
      <c r="I2395" s="107">
        <v>0</v>
      </c>
      <c r="J2395" s="107">
        <f t="shared" si="37"/>
        <v>0.3</v>
      </c>
      <c r="K2395" s="107">
        <v>6457</v>
      </c>
    </row>
    <row r="2396" spans="1:11" x14ac:dyDescent="0.15">
      <c r="A2396" s="107">
        <v>1767</v>
      </c>
      <c r="B2396" s="107" t="s">
        <v>197</v>
      </c>
      <c r="C2396" s="107" t="s">
        <v>268</v>
      </c>
      <c r="D2396" s="25">
        <v>5</v>
      </c>
      <c r="E2396" s="107" t="s">
        <v>193</v>
      </c>
      <c r="F2396" s="107" t="s">
        <v>704</v>
      </c>
      <c r="G2396" s="107">
        <v>3</v>
      </c>
      <c r="H2396" s="107">
        <v>0</v>
      </c>
      <c r="I2396" s="107">
        <v>0</v>
      </c>
      <c r="J2396" s="107">
        <f t="shared" si="37"/>
        <v>0.6</v>
      </c>
      <c r="K2396" s="107">
        <v>6475</v>
      </c>
    </row>
    <row r="2397" spans="1:11" x14ac:dyDescent="0.15">
      <c r="A2397" s="107">
        <v>1768</v>
      </c>
      <c r="B2397" s="107" t="s">
        <v>260</v>
      </c>
      <c r="C2397" s="107" t="s">
        <v>268</v>
      </c>
      <c r="D2397" s="25">
        <v>5</v>
      </c>
      <c r="E2397" s="107" t="s">
        <v>193</v>
      </c>
      <c r="F2397" s="107" t="s">
        <v>704</v>
      </c>
      <c r="G2397" s="107">
        <v>3</v>
      </c>
      <c r="H2397" s="107">
        <v>0</v>
      </c>
      <c r="I2397" s="107">
        <v>0</v>
      </c>
      <c r="J2397" s="107">
        <f t="shared" si="37"/>
        <v>0.6</v>
      </c>
      <c r="K2397" s="107">
        <v>6489</v>
      </c>
    </row>
    <row r="2398" spans="1:11" x14ac:dyDescent="0.15">
      <c r="A2398" s="107">
        <v>1769</v>
      </c>
      <c r="B2398" s="107" t="s">
        <v>260</v>
      </c>
      <c r="C2398" s="107" t="s">
        <v>268</v>
      </c>
      <c r="D2398" s="25">
        <v>5</v>
      </c>
      <c r="E2398" s="107" t="s">
        <v>193</v>
      </c>
      <c r="F2398" s="107" t="s">
        <v>704</v>
      </c>
      <c r="G2398" s="107">
        <v>3</v>
      </c>
      <c r="H2398" s="107">
        <v>0</v>
      </c>
      <c r="I2398" s="107">
        <v>0</v>
      </c>
      <c r="J2398" s="107">
        <f t="shared" si="37"/>
        <v>0.6</v>
      </c>
      <c r="K2398" s="107">
        <v>6518</v>
      </c>
    </row>
    <row r="2399" spans="1:11" x14ac:dyDescent="0.15">
      <c r="A2399" s="107">
        <v>1770</v>
      </c>
      <c r="B2399" s="107" t="s">
        <v>200</v>
      </c>
      <c r="C2399" s="107" t="s">
        <v>268</v>
      </c>
      <c r="D2399" s="25">
        <v>5</v>
      </c>
      <c r="E2399" s="107" t="s">
        <v>193</v>
      </c>
      <c r="F2399" s="107" t="s">
        <v>704</v>
      </c>
      <c r="G2399" s="107">
        <v>3</v>
      </c>
      <c r="H2399" s="107">
        <v>0</v>
      </c>
      <c r="I2399" s="107">
        <v>0</v>
      </c>
      <c r="J2399" s="107">
        <f t="shared" si="37"/>
        <v>0.6</v>
      </c>
      <c r="K2399" s="107">
        <v>6535</v>
      </c>
    </row>
    <row r="2400" spans="1:11" x14ac:dyDescent="0.15">
      <c r="A2400" s="107">
        <v>1771</v>
      </c>
      <c r="B2400" s="107" t="s">
        <v>261</v>
      </c>
      <c r="C2400" s="107" t="s">
        <v>268</v>
      </c>
      <c r="D2400" s="25">
        <v>5</v>
      </c>
      <c r="E2400" s="107" t="s">
        <v>193</v>
      </c>
      <c r="F2400" s="107" t="s">
        <v>704</v>
      </c>
      <c r="G2400" s="107">
        <v>2</v>
      </c>
      <c r="H2400" s="107">
        <v>10</v>
      </c>
      <c r="I2400" s="107">
        <v>0</v>
      </c>
      <c r="J2400" s="107">
        <f t="shared" si="37"/>
        <v>0.5</v>
      </c>
      <c r="K2400" s="107">
        <v>6540</v>
      </c>
    </row>
    <row r="2401" spans="1:11" x14ac:dyDescent="0.15">
      <c r="A2401" s="107">
        <v>1773</v>
      </c>
      <c r="B2401" s="107" t="s">
        <v>260</v>
      </c>
      <c r="C2401" s="107" t="s">
        <v>268</v>
      </c>
      <c r="D2401" s="25">
        <v>5</v>
      </c>
      <c r="E2401" s="107" t="s">
        <v>193</v>
      </c>
      <c r="F2401" s="107" t="s">
        <v>704</v>
      </c>
      <c r="G2401" s="107">
        <v>2</v>
      </c>
      <c r="H2401" s="107">
        <v>10</v>
      </c>
      <c r="I2401" s="107">
        <v>0</v>
      </c>
      <c r="J2401" s="107">
        <f t="shared" si="37"/>
        <v>0.5</v>
      </c>
      <c r="K2401" s="107">
        <v>6566</v>
      </c>
    </row>
    <row r="2402" spans="1:11" x14ac:dyDescent="0.15">
      <c r="A2402" s="107">
        <v>1774</v>
      </c>
      <c r="B2402" s="107" t="s">
        <v>260</v>
      </c>
      <c r="C2402" s="107" t="s">
        <v>268</v>
      </c>
      <c r="D2402" s="25">
        <v>5</v>
      </c>
      <c r="E2402" s="107" t="s">
        <v>193</v>
      </c>
      <c r="F2402" s="107" t="s">
        <v>704</v>
      </c>
      <c r="G2402" s="107">
        <v>2</v>
      </c>
      <c r="H2402" s="107">
        <v>10</v>
      </c>
      <c r="I2402" s="107">
        <v>0</v>
      </c>
      <c r="J2402" s="107">
        <f t="shared" si="37"/>
        <v>0.5</v>
      </c>
      <c r="K2402" s="25">
        <v>6589</v>
      </c>
    </row>
    <row r="2403" spans="1:11" x14ac:dyDescent="0.15">
      <c r="A2403" s="107">
        <v>1775</v>
      </c>
      <c r="B2403" s="107" t="s">
        <v>196</v>
      </c>
      <c r="C2403" s="107" t="s">
        <v>268</v>
      </c>
      <c r="D2403" s="25">
        <v>5</v>
      </c>
      <c r="E2403" s="107" t="s">
        <v>193</v>
      </c>
      <c r="F2403" s="107" t="s">
        <v>704</v>
      </c>
      <c r="G2403" s="107">
        <v>2</v>
      </c>
      <c r="H2403" s="107">
        <v>10</v>
      </c>
      <c r="I2403" s="107">
        <v>0</v>
      </c>
      <c r="J2403" s="107">
        <f t="shared" si="37"/>
        <v>0.5</v>
      </c>
      <c r="K2403" s="107">
        <v>6611</v>
      </c>
    </row>
    <row r="2404" spans="1:11" x14ac:dyDescent="0.15">
      <c r="A2404" s="107">
        <v>1777</v>
      </c>
      <c r="B2404" s="107" t="s">
        <v>253</v>
      </c>
      <c r="C2404" s="107" t="s">
        <v>268</v>
      </c>
      <c r="D2404" s="25">
        <v>5</v>
      </c>
      <c r="E2404" s="107" t="s">
        <v>193</v>
      </c>
      <c r="F2404" s="107" t="s">
        <v>704</v>
      </c>
      <c r="G2404" s="107">
        <v>3</v>
      </c>
      <c r="H2404" s="107">
        <v>9</v>
      </c>
      <c r="I2404" s="107">
        <v>0</v>
      </c>
      <c r="J2404" s="107">
        <f t="shared" si="37"/>
        <v>0.69000000000000006</v>
      </c>
      <c r="K2404" s="107">
        <v>6643</v>
      </c>
    </row>
    <row r="2405" spans="1:11" x14ac:dyDescent="0.15">
      <c r="A2405" s="107">
        <v>1778</v>
      </c>
      <c r="B2405" s="107" t="s">
        <v>192</v>
      </c>
      <c r="C2405" s="107" t="s">
        <v>268</v>
      </c>
      <c r="D2405" s="25">
        <v>5</v>
      </c>
      <c r="E2405" s="107" t="s">
        <v>193</v>
      </c>
      <c r="F2405" s="107" t="s">
        <v>704</v>
      </c>
      <c r="G2405" s="107">
        <v>3</v>
      </c>
      <c r="H2405" s="107">
        <v>11</v>
      </c>
      <c r="I2405" s="107">
        <v>8</v>
      </c>
      <c r="J2405" s="107">
        <f t="shared" si="37"/>
        <v>0.71499999999999997</v>
      </c>
      <c r="K2405" s="107">
        <v>6663</v>
      </c>
    </row>
    <row r="2406" spans="1:11" x14ac:dyDescent="0.15">
      <c r="A2406" s="107">
        <v>1779</v>
      </c>
      <c r="B2406" s="107" t="s">
        <v>260</v>
      </c>
      <c r="C2406" s="107" t="s">
        <v>268</v>
      </c>
      <c r="D2406" s="25">
        <v>5</v>
      </c>
      <c r="E2406" s="107" t="s">
        <v>193</v>
      </c>
      <c r="F2406" s="107" t="s">
        <v>704</v>
      </c>
      <c r="G2406" s="107">
        <v>3</v>
      </c>
      <c r="H2406" s="107">
        <v>7</v>
      </c>
      <c r="I2406" s="107">
        <v>0</v>
      </c>
      <c r="J2406" s="107">
        <f t="shared" si="37"/>
        <v>0.67</v>
      </c>
      <c r="K2406" s="107">
        <v>6669</v>
      </c>
    </row>
    <row r="2407" spans="1:11" x14ac:dyDescent="0.15">
      <c r="A2407" s="107">
        <v>1780</v>
      </c>
      <c r="B2407" s="107" t="s">
        <v>196</v>
      </c>
      <c r="C2407" s="107" t="s">
        <v>268</v>
      </c>
      <c r="D2407" s="25">
        <v>5</v>
      </c>
      <c r="E2407" s="107" t="s">
        <v>193</v>
      </c>
      <c r="F2407" s="107" t="s">
        <v>704</v>
      </c>
      <c r="G2407" s="107">
        <v>3</v>
      </c>
      <c r="H2407" s="107">
        <v>6</v>
      </c>
      <c r="I2407" s="107">
        <v>8</v>
      </c>
      <c r="J2407" s="107">
        <f t="shared" si="37"/>
        <v>0.66499999999999992</v>
      </c>
      <c r="K2407" s="107">
        <v>6679</v>
      </c>
    </row>
    <row r="2408" spans="1:11" x14ac:dyDescent="0.15">
      <c r="A2408" s="107">
        <v>1780</v>
      </c>
      <c r="B2408" s="107" t="s">
        <v>200</v>
      </c>
      <c r="C2408" s="107" t="s">
        <v>268</v>
      </c>
      <c r="D2408" s="25">
        <v>5</v>
      </c>
      <c r="E2408" s="107" t="s">
        <v>193</v>
      </c>
      <c r="F2408" s="107" t="s">
        <v>704</v>
      </c>
      <c r="G2408" s="107">
        <v>3</v>
      </c>
      <c r="H2408" s="107">
        <v>6</v>
      </c>
      <c r="I2408" s="107">
        <v>8</v>
      </c>
      <c r="J2408" s="107">
        <f t="shared" si="37"/>
        <v>0.66499999999999992</v>
      </c>
      <c r="K2408" s="107">
        <v>6689</v>
      </c>
    </row>
    <row r="2409" spans="1:11" x14ac:dyDescent="0.15">
      <c r="A2409" s="107">
        <v>1781</v>
      </c>
      <c r="B2409" s="107" t="s">
        <v>261</v>
      </c>
      <c r="C2409" s="107" t="s">
        <v>268</v>
      </c>
      <c r="D2409" s="25">
        <v>5</v>
      </c>
      <c r="E2409" s="107" t="s">
        <v>193</v>
      </c>
      <c r="F2409" s="107" t="s">
        <v>704</v>
      </c>
      <c r="G2409" s="107">
        <v>3</v>
      </c>
      <c r="H2409" s="107">
        <v>15</v>
      </c>
      <c r="I2409" s="107">
        <v>0</v>
      </c>
      <c r="J2409" s="107">
        <f t="shared" si="37"/>
        <v>0.75</v>
      </c>
      <c r="K2409" s="107">
        <v>6699</v>
      </c>
    </row>
    <row r="2410" spans="1:11" x14ac:dyDescent="0.15">
      <c r="A2410" s="107">
        <v>1783</v>
      </c>
      <c r="B2410" s="107" t="s">
        <v>236</v>
      </c>
      <c r="C2410" s="107" t="s">
        <v>268</v>
      </c>
      <c r="D2410" s="25">
        <v>5</v>
      </c>
      <c r="E2410" s="107" t="s">
        <v>193</v>
      </c>
      <c r="F2410" s="107" t="s">
        <v>704</v>
      </c>
      <c r="G2410" s="107">
        <v>3</v>
      </c>
      <c r="H2410" s="107">
        <v>9</v>
      </c>
      <c r="I2410" s="107">
        <v>0</v>
      </c>
      <c r="J2410" s="107">
        <f t="shared" si="37"/>
        <v>0.69000000000000006</v>
      </c>
      <c r="K2410" s="107">
        <v>6714</v>
      </c>
    </row>
    <row r="2411" spans="1:11" x14ac:dyDescent="0.15">
      <c r="A2411" s="107">
        <v>1784</v>
      </c>
      <c r="B2411" s="107" t="s">
        <v>261</v>
      </c>
      <c r="C2411" s="107" t="s">
        <v>268</v>
      </c>
      <c r="D2411" s="25">
        <v>5</v>
      </c>
      <c r="E2411" s="107" t="s">
        <v>193</v>
      </c>
      <c r="F2411" s="107" t="s">
        <v>704</v>
      </c>
      <c r="G2411" s="107">
        <v>3</v>
      </c>
      <c r="H2411" s="107">
        <v>9</v>
      </c>
      <c r="I2411" s="107">
        <v>0</v>
      </c>
      <c r="J2411" s="107">
        <f t="shared" si="37"/>
        <v>0.69000000000000006</v>
      </c>
      <c r="K2411" s="25">
        <v>6705</v>
      </c>
    </row>
    <row r="2412" spans="1:11" x14ac:dyDescent="0.15">
      <c r="A2412" s="107">
        <v>1785</v>
      </c>
      <c r="B2412" s="107" t="s">
        <v>186</v>
      </c>
      <c r="C2412" s="107" t="s">
        <v>268</v>
      </c>
      <c r="D2412" s="25">
        <v>5</v>
      </c>
      <c r="E2412" s="107" t="s">
        <v>193</v>
      </c>
      <c r="F2412" s="107" t="s">
        <v>704</v>
      </c>
      <c r="G2412" s="107">
        <v>3</v>
      </c>
      <c r="H2412" s="107">
        <v>8</v>
      </c>
      <c r="I2412" s="107">
        <v>0</v>
      </c>
      <c r="J2412" s="107">
        <f t="shared" si="37"/>
        <v>0.67999999999999994</v>
      </c>
      <c r="K2412" s="107">
        <v>6736</v>
      </c>
    </row>
    <row r="2413" spans="1:11" x14ac:dyDescent="0.15">
      <c r="A2413" s="107">
        <v>1786</v>
      </c>
      <c r="B2413" s="107" t="s">
        <v>261</v>
      </c>
      <c r="C2413" s="107" t="s">
        <v>268</v>
      </c>
      <c r="D2413" s="25">
        <v>5</v>
      </c>
      <c r="E2413" s="107" t="s">
        <v>193</v>
      </c>
      <c r="F2413" s="107" t="s">
        <v>704</v>
      </c>
      <c r="G2413" s="107">
        <v>3</v>
      </c>
      <c r="H2413" s="107">
        <v>8</v>
      </c>
      <c r="I2413" s="107">
        <v>0</v>
      </c>
      <c r="J2413" s="107">
        <f t="shared" si="37"/>
        <v>0.67999999999999994</v>
      </c>
      <c r="K2413" s="107">
        <v>6746</v>
      </c>
    </row>
    <row r="2414" spans="1:11" x14ac:dyDescent="0.15">
      <c r="A2414" s="107">
        <v>1787</v>
      </c>
      <c r="B2414" s="107" t="s">
        <v>197</v>
      </c>
      <c r="C2414" s="107" t="s">
        <v>268</v>
      </c>
      <c r="D2414" s="25">
        <v>5</v>
      </c>
      <c r="E2414" s="107" t="s">
        <v>193</v>
      </c>
      <c r="F2414" s="107" t="s">
        <v>704</v>
      </c>
      <c r="G2414" s="107">
        <v>3</v>
      </c>
      <c r="H2414" s="107">
        <v>6</v>
      </c>
      <c r="I2414" s="107">
        <v>8</v>
      </c>
      <c r="J2414" s="107">
        <f t="shared" si="37"/>
        <v>0.66499999999999992</v>
      </c>
      <c r="K2414" s="107">
        <v>6752</v>
      </c>
    </row>
    <row r="2415" spans="1:11" x14ac:dyDescent="0.15">
      <c r="A2415" s="107">
        <v>1789</v>
      </c>
      <c r="B2415" s="107" t="s">
        <v>226</v>
      </c>
      <c r="C2415" s="107" t="s">
        <v>268</v>
      </c>
      <c r="D2415" s="25">
        <v>5</v>
      </c>
      <c r="E2415" s="107" t="s">
        <v>193</v>
      </c>
      <c r="F2415" s="107" t="s">
        <v>704</v>
      </c>
      <c r="G2415" s="107">
        <v>3</v>
      </c>
      <c r="H2415" s="107">
        <v>13</v>
      </c>
      <c r="I2415" s="107">
        <v>0</v>
      </c>
      <c r="J2415" s="107">
        <f t="shared" si="37"/>
        <v>0.73</v>
      </c>
      <c r="K2415" s="25">
        <v>6785</v>
      </c>
    </row>
    <row r="2416" spans="1:11" x14ac:dyDescent="0.15">
      <c r="A2416" s="107">
        <v>1792</v>
      </c>
      <c r="B2416" s="107" t="s">
        <v>196</v>
      </c>
      <c r="C2416" s="107" t="s">
        <v>268</v>
      </c>
      <c r="D2416" s="25">
        <v>3</v>
      </c>
      <c r="E2416" s="107" t="s">
        <v>193</v>
      </c>
      <c r="F2416" s="107" t="s">
        <v>704</v>
      </c>
      <c r="G2416" s="107">
        <v>2</v>
      </c>
      <c r="H2416" s="107">
        <v>11</v>
      </c>
      <c r="I2416" s="107">
        <v>9</v>
      </c>
      <c r="J2416" s="107">
        <f t="shared" ref="J2416:J2479" si="38">(G2416+H2416/20+I2416/320)/D2416</f>
        <v>0.859375</v>
      </c>
      <c r="K2416" s="107">
        <v>6811</v>
      </c>
    </row>
    <row r="2417" spans="1:14" x14ac:dyDescent="0.15">
      <c r="A2417" s="107">
        <v>1793</v>
      </c>
      <c r="B2417" s="107" t="s">
        <v>192</v>
      </c>
      <c r="C2417" s="107" t="s">
        <v>268</v>
      </c>
      <c r="D2417" s="25">
        <v>5</v>
      </c>
      <c r="E2417" s="107" t="s">
        <v>193</v>
      </c>
      <c r="F2417" s="107" t="s">
        <v>704</v>
      </c>
      <c r="G2417" s="107">
        <v>4</v>
      </c>
      <c r="H2417" s="107">
        <v>5</v>
      </c>
      <c r="I2417" s="107">
        <v>0</v>
      </c>
      <c r="J2417" s="107">
        <f t="shared" si="38"/>
        <v>0.85</v>
      </c>
      <c r="K2417" s="107">
        <v>6826</v>
      </c>
      <c r="L2417" s="107"/>
      <c r="M2417" s="107"/>
      <c r="N2417" s="107"/>
    </row>
    <row r="2418" spans="1:14" x14ac:dyDescent="0.15">
      <c r="A2418" s="107">
        <v>1793</v>
      </c>
      <c r="B2418" s="107" t="s">
        <v>247</v>
      </c>
      <c r="C2418" s="107" t="s">
        <v>270</v>
      </c>
      <c r="D2418" s="25">
        <v>5</v>
      </c>
      <c r="E2418" s="107" t="s">
        <v>193</v>
      </c>
      <c r="F2418" s="107" t="s">
        <v>704</v>
      </c>
      <c r="G2418" s="107">
        <v>4</v>
      </c>
      <c r="H2418" s="107">
        <v>5</v>
      </c>
      <c r="I2418" s="107">
        <v>0</v>
      </c>
      <c r="J2418" s="107">
        <f t="shared" si="38"/>
        <v>0.85</v>
      </c>
      <c r="K2418" s="107">
        <v>6826</v>
      </c>
      <c r="L2418" s="107"/>
      <c r="M2418" s="107"/>
      <c r="N2418" s="107"/>
    </row>
    <row r="2419" spans="1:14" x14ac:dyDescent="0.15">
      <c r="A2419" s="107">
        <v>1794</v>
      </c>
      <c r="B2419" s="107" t="s">
        <v>260</v>
      </c>
      <c r="C2419" s="107" t="s">
        <v>270</v>
      </c>
      <c r="D2419" s="25">
        <v>1</v>
      </c>
      <c r="E2419" s="107" t="s">
        <v>193</v>
      </c>
      <c r="F2419" s="107" t="s">
        <v>704</v>
      </c>
      <c r="G2419" s="107">
        <v>1</v>
      </c>
      <c r="H2419" s="107">
        <v>8</v>
      </c>
      <c r="I2419" s="107">
        <v>8</v>
      </c>
      <c r="J2419" s="107">
        <f t="shared" si="38"/>
        <v>1.4249999999999998</v>
      </c>
      <c r="K2419" s="107">
        <v>6840</v>
      </c>
      <c r="L2419" s="107"/>
      <c r="M2419" s="107"/>
      <c r="N2419" s="107"/>
    </row>
    <row r="2420" spans="1:14" x14ac:dyDescent="0.15">
      <c r="A2420" s="107">
        <v>1794</v>
      </c>
      <c r="B2420" s="107" t="s">
        <v>261</v>
      </c>
      <c r="C2420" s="107" t="s">
        <v>268</v>
      </c>
      <c r="D2420" s="25">
        <v>6</v>
      </c>
      <c r="E2420" s="107" t="s">
        <v>193</v>
      </c>
      <c r="F2420" s="107" t="s">
        <v>704</v>
      </c>
      <c r="G2420" s="107">
        <v>8</v>
      </c>
      <c r="H2420" s="107">
        <v>12</v>
      </c>
      <c r="I2420" s="107">
        <v>0</v>
      </c>
      <c r="J2420" s="107">
        <f t="shared" si="38"/>
        <v>1.4333333333333333</v>
      </c>
      <c r="K2420" s="107">
        <v>6839</v>
      </c>
      <c r="L2420" s="107"/>
      <c r="M2420" s="107"/>
      <c r="N2420" s="107"/>
    </row>
    <row r="2421" spans="1:14" x14ac:dyDescent="0.15">
      <c r="A2421" s="107">
        <v>1674</v>
      </c>
      <c r="B2421" s="107" t="s">
        <v>197</v>
      </c>
      <c r="C2421" s="107" t="s">
        <v>274</v>
      </c>
      <c r="D2421" s="107">
        <v>4</v>
      </c>
      <c r="E2421" s="107" t="s">
        <v>293</v>
      </c>
      <c r="F2421" s="107" t="s">
        <v>705</v>
      </c>
      <c r="G2421" s="107">
        <v>13</v>
      </c>
      <c r="H2421" s="107">
        <v>0</v>
      </c>
      <c r="I2421" s="107">
        <v>0</v>
      </c>
      <c r="J2421" s="107">
        <f t="shared" si="38"/>
        <v>3.25</v>
      </c>
      <c r="K2421" s="107">
        <v>4011</v>
      </c>
      <c r="L2421" s="107">
        <v>1814</v>
      </c>
      <c r="M2421" s="107">
        <v>598</v>
      </c>
      <c r="N2421" s="107" t="s">
        <v>294</v>
      </c>
    </row>
    <row r="2422" spans="1:14" x14ac:dyDescent="0.15">
      <c r="A2422" s="107">
        <v>1677</v>
      </c>
      <c r="B2422" s="107" t="s">
        <v>197</v>
      </c>
      <c r="C2422" s="107" t="s">
        <v>274</v>
      </c>
      <c r="D2422" s="107">
        <v>3</v>
      </c>
      <c r="E2422" s="107" t="s">
        <v>291</v>
      </c>
      <c r="F2422" s="107" t="s">
        <v>705</v>
      </c>
      <c r="G2422" s="107">
        <v>30</v>
      </c>
      <c r="H2422" s="107">
        <v>0</v>
      </c>
      <c r="I2422" s="107">
        <v>0</v>
      </c>
      <c r="J2422" s="107">
        <f t="shared" si="38"/>
        <v>10</v>
      </c>
      <c r="K2422" s="107">
        <v>4013</v>
      </c>
      <c r="L2422" s="107">
        <v>1816</v>
      </c>
      <c r="M2422" s="107">
        <v>742</v>
      </c>
      <c r="N2422" s="107"/>
    </row>
    <row r="2423" spans="1:14" x14ac:dyDescent="0.15">
      <c r="A2423" s="107">
        <v>1705</v>
      </c>
      <c r="B2423" s="107" t="s">
        <v>197</v>
      </c>
      <c r="C2423" s="107" t="s">
        <v>268</v>
      </c>
      <c r="D2423" s="25">
        <v>51</v>
      </c>
      <c r="E2423" s="107" t="s">
        <v>212</v>
      </c>
      <c r="F2423" s="107" t="s">
        <v>705</v>
      </c>
      <c r="G2423" s="107">
        <v>5</v>
      </c>
      <c r="H2423" s="107">
        <v>2</v>
      </c>
      <c r="I2423" s="107">
        <v>0</v>
      </c>
      <c r="J2423" s="107">
        <f t="shared" si="38"/>
        <v>9.9999999999999992E-2</v>
      </c>
      <c r="K2423" s="107">
        <v>5536</v>
      </c>
      <c r="L2423" s="107"/>
      <c r="M2423" s="107"/>
      <c r="N2423" s="107" t="s">
        <v>706</v>
      </c>
    </row>
    <row r="2424" spans="1:14" x14ac:dyDescent="0.15">
      <c r="A2424" s="107">
        <v>1706</v>
      </c>
      <c r="B2424" s="107" t="s">
        <v>260</v>
      </c>
      <c r="C2424" s="107" t="s">
        <v>268</v>
      </c>
      <c r="D2424" s="25">
        <v>51</v>
      </c>
      <c r="E2424" s="107" t="s">
        <v>212</v>
      </c>
      <c r="F2424" s="107" t="s">
        <v>705</v>
      </c>
      <c r="G2424" s="107">
        <v>5</v>
      </c>
      <c r="H2424" s="107">
        <v>2</v>
      </c>
      <c r="I2424" s="107">
        <v>0</v>
      </c>
      <c r="J2424" s="107">
        <f t="shared" si="38"/>
        <v>9.9999999999999992E-2</v>
      </c>
      <c r="K2424" s="107">
        <v>5550</v>
      </c>
      <c r="L2424" s="107"/>
      <c r="M2424" s="107"/>
      <c r="N2424" s="107" t="s">
        <v>707</v>
      </c>
    </row>
    <row r="2425" spans="1:14" x14ac:dyDescent="0.15">
      <c r="A2425" s="107">
        <v>1708</v>
      </c>
      <c r="B2425" s="107" t="s">
        <v>253</v>
      </c>
      <c r="C2425" s="107" t="s">
        <v>268</v>
      </c>
      <c r="D2425" s="25">
        <v>40</v>
      </c>
      <c r="E2425" s="107" t="s">
        <v>212</v>
      </c>
      <c r="F2425" s="107" t="s">
        <v>705</v>
      </c>
      <c r="G2425" s="107">
        <v>8</v>
      </c>
      <c r="H2425" s="107">
        <v>0</v>
      </c>
      <c r="I2425" s="107">
        <v>0</v>
      </c>
      <c r="J2425" s="107">
        <f t="shared" si="38"/>
        <v>0.2</v>
      </c>
      <c r="K2425" s="107">
        <v>5571</v>
      </c>
      <c r="L2425" s="107"/>
      <c r="M2425" s="107"/>
      <c r="N2425" s="107"/>
    </row>
    <row r="2426" spans="1:14" x14ac:dyDescent="0.15">
      <c r="A2426" s="107">
        <v>1711</v>
      </c>
      <c r="B2426" s="107" t="s">
        <v>260</v>
      </c>
      <c r="C2426" s="107" t="s">
        <v>268</v>
      </c>
      <c r="D2426" s="25">
        <v>51</v>
      </c>
      <c r="E2426" s="107" t="s">
        <v>212</v>
      </c>
      <c r="F2426" s="107" t="s">
        <v>705</v>
      </c>
      <c r="G2426" s="107">
        <v>5</v>
      </c>
      <c r="H2426" s="107">
        <v>2</v>
      </c>
      <c r="I2426" s="107">
        <v>0</v>
      </c>
      <c r="J2426" s="107">
        <f t="shared" si="38"/>
        <v>9.9999999999999992E-2</v>
      </c>
      <c r="K2426" s="107">
        <v>5612</v>
      </c>
      <c r="L2426" s="107"/>
      <c r="M2426" s="107"/>
      <c r="N2426" s="107"/>
    </row>
    <row r="2427" spans="1:14" x14ac:dyDescent="0.15">
      <c r="A2427" s="107">
        <v>1712</v>
      </c>
      <c r="B2427" s="107" t="s">
        <v>261</v>
      </c>
      <c r="C2427" s="107" t="s">
        <v>268</v>
      </c>
      <c r="D2427" s="25">
        <v>51</v>
      </c>
      <c r="E2427" s="107" t="s">
        <v>212</v>
      </c>
      <c r="F2427" s="107" t="s">
        <v>705</v>
      </c>
      <c r="G2427" s="107">
        <v>5</v>
      </c>
      <c r="H2427" s="107">
        <v>2</v>
      </c>
      <c r="I2427" s="107">
        <v>0</v>
      </c>
      <c r="J2427" s="107">
        <f t="shared" si="38"/>
        <v>9.9999999999999992E-2</v>
      </c>
      <c r="K2427" s="107">
        <v>5628</v>
      </c>
      <c r="L2427" s="107"/>
      <c r="M2427" s="107"/>
      <c r="N2427" s="107"/>
    </row>
    <row r="2428" spans="1:14" x14ac:dyDescent="0.15">
      <c r="A2428" s="107">
        <v>1713</v>
      </c>
      <c r="B2428" s="107" t="s">
        <v>236</v>
      </c>
      <c r="C2428" s="107" t="s">
        <v>268</v>
      </c>
      <c r="D2428" s="25">
        <v>102</v>
      </c>
      <c r="E2428" s="107" t="s">
        <v>212</v>
      </c>
      <c r="F2428" s="107" t="s">
        <v>705</v>
      </c>
      <c r="G2428" s="107">
        <v>10</v>
      </c>
      <c r="H2428" s="107">
        <v>4</v>
      </c>
      <c r="I2428" s="107">
        <v>0</v>
      </c>
      <c r="J2428" s="107">
        <f t="shared" si="38"/>
        <v>9.9999999999999992E-2</v>
      </c>
      <c r="K2428" s="107">
        <v>5646</v>
      </c>
      <c r="L2428" s="107"/>
      <c r="M2428" s="107"/>
      <c r="N2428" s="107"/>
    </row>
    <row r="2429" spans="1:14" x14ac:dyDescent="0.15">
      <c r="A2429" s="107">
        <v>1714</v>
      </c>
      <c r="B2429" s="107" t="s">
        <v>247</v>
      </c>
      <c r="C2429" s="107" t="s">
        <v>268</v>
      </c>
      <c r="D2429" s="25">
        <v>102</v>
      </c>
      <c r="E2429" s="107" t="s">
        <v>212</v>
      </c>
      <c r="F2429" s="107" t="s">
        <v>705</v>
      </c>
      <c r="G2429" s="107">
        <v>10</v>
      </c>
      <c r="H2429" s="107">
        <v>4</v>
      </c>
      <c r="I2429" s="107">
        <v>0</v>
      </c>
      <c r="J2429" s="107">
        <f t="shared" si="38"/>
        <v>9.9999999999999992E-2</v>
      </c>
      <c r="K2429" s="107">
        <v>5655</v>
      </c>
      <c r="L2429" s="107"/>
      <c r="M2429" s="107"/>
      <c r="N2429" s="107"/>
    </row>
    <row r="2430" spans="1:14" x14ac:dyDescent="0.15">
      <c r="A2430" s="107">
        <v>1715</v>
      </c>
      <c r="B2430" s="107" t="s">
        <v>260</v>
      </c>
      <c r="C2430" s="107" t="s">
        <v>268</v>
      </c>
      <c r="D2430" s="25">
        <v>51</v>
      </c>
      <c r="E2430" s="107" t="s">
        <v>212</v>
      </c>
      <c r="F2430" s="107" t="s">
        <v>705</v>
      </c>
      <c r="G2430" s="107">
        <v>5</v>
      </c>
      <c r="H2430" s="107">
        <v>2</v>
      </c>
      <c r="I2430" s="107">
        <v>0</v>
      </c>
      <c r="J2430" s="107">
        <f t="shared" si="38"/>
        <v>9.9999999999999992E-2</v>
      </c>
      <c r="K2430" s="107">
        <v>5664</v>
      </c>
      <c r="L2430" s="107"/>
      <c r="M2430" s="107"/>
      <c r="N2430" s="107"/>
    </row>
    <row r="2431" spans="1:14" x14ac:dyDescent="0.15">
      <c r="A2431" s="107">
        <v>1717</v>
      </c>
      <c r="B2431" s="107" t="s">
        <v>192</v>
      </c>
      <c r="C2431" s="107" t="s">
        <v>268</v>
      </c>
      <c r="D2431" s="25">
        <v>153</v>
      </c>
      <c r="E2431" s="107" t="s">
        <v>212</v>
      </c>
      <c r="F2431" s="107" t="s">
        <v>705</v>
      </c>
      <c r="G2431" s="107">
        <v>15</v>
      </c>
      <c r="H2431" s="107">
        <v>6</v>
      </c>
      <c r="I2431" s="107">
        <v>0</v>
      </c>
      <c r="J2431" s="107">
        <f t="shared" si="38"/>
        <v>0.1</v>
      </c>
      <c r="K2431" s="107">
        <v>5683</v>
      </c>
      <c r="L2431" s="107"/>
      <c r="M2431" s="107"/>
      <c r="N2431" s="107"/>
    </row>
    <row r="2432" spans="1:14" x14ac:dyDescent="0.15">
      <c r="A2432" s="107">
        <v>1720</v>
      </c>
      <c r="B2432" s="107" t="s">
        <v>253</v>
      </c>
      <c r="C2432" s="107" t="s">
        <v>268</v>
      </c>
      <c r="D2432" s="25">
        <v>153</v>
      </c>
      <c r="E2432" s="107" t="s">
        <v>212</v>
      </c>
      <c r="F2432" s="107" t="s">
        <v>705</v>
      </c>
      <c r="G2432" s="107">
        <v>15</v>
      </c>
      <c r="H2432" s="107">
        <v>6</v>
      </c>
      <c r="I2432" s="107">
        <v>0</v>
      </c>
      <c r="J2432" s="107">
        <f t="shared" si="38"/>
        <v>0.1</v>
      </c>
      <c r="K2432" s="107">
        <v>5731</v>
      </c>
      <c r="L2432" s="107"/>
      <c r="M2432" s="107"/>
      <c r="N2432" s="107"/>
    </row>
    <row r="2433" spans="1:14" x14ac:dyDescent="0.15">
      <c r="A2433" s="107">
        <v>1721</v>
      </c>
      <c r="B2433" s="107" t="s">
        <v>192</v>
      </c>
      <c r="C2433" s="107" t="s">
        <v>268</v>
      </c>
      <c r="D2433" s="25">
        <v>153</v>
      </c>
      <c r="E2433" s="107" t="s">
        <v>212</v>
      </c>
      <c r="F2433" s="107" t="s">
        <v>705</v>
      </c>
      <c r="G2433" s="107">
        <v>15</v>
      </c>
      <c r="H2433" s="107">
        <v>6</v>
      </c>
      <c r="I2433" s="107">
        <v>0</v>
      </c>
      <c r="J2433" s="107">
        <f t="shared" si="38"/>
        <v>0.1</v>
      </c>
      <c r="K2433" s="107">
        <v>5753</v>
      </c>
      <c r="L2433" s="107"/>
      <c r="M2433" s="107"/>
      <c r="N2433" s="107"/>
    </row>
    <row r="2434" spans="1:14" x14ac:dyDescent="0.15">
      <c r="A2434" s="107">
        <v>1722</v>
      </c>
      <c r="B2434" s="107" t="s">
        <v>260</v>
      </c>
      <c r="C2434" s="107" t="s">
        <v>268</v>
      </c>
      <c r="D2434" s="25">
        <v>51</v>
      </c>
      <c r="E2434" s="107" t="s">
        <v>212</v>
      </c>
      <c r="F2434" s="107" t="s">
        <v>705</v>
      </c>
      <c r="G2434" s="107">
        <v>5</v>
      </c>
      <c r="H2434" s="107">
        <v>2</v>
      </c>
      <c r="I2434" s="107">
        <v>0</v>
      </c>
      <c r="J2434" s="107">
        <f t="shared" si="38"/>
        <v>9.9999999999999992E-2</v>
      </c>
      <c r="K2434" s="107">
        <v>5772</v>
      </c>
      <c r="L2434" s="107"/>
      <c r="M2434" s="107"/>
      <c r="N2434" s="107"/>
    </row>
    <row r="2435" spans="1:14" x14ac:dyDescent="0.15">
      <c r="A2435" s="107">
        <v>1729</v>
      </c>
      <c r="B2435" s="107" t="s">
        <v>261</v>
      </c>
      <c r="C2435" s="107" t="s">
        <v>268</v>
      </c>
      <c r="D2435" s="25">
        <v>51</v>
      </c>
      <c r="E2435" s="107" t="s">
        <v>212</v>
      </c>
      <c r="F2435" s="107" t="s">
        <v>705</v>
      </c>
      <c r="G2435" s="107">
        <v>5</v>
      </c>
      <c r="H2435" s="107">
        <v>2</v>
      </c>
      <c r="I2435" s="107">
        <v>0</v>
      </c>
      <c r="J2435" s="107">
        <f t="shared" si="38"/>
        <v>9.9999999999999992E-2</v>
      </c>
      <c r="K2435" s="107">
        <v>5903</v>
      </c>
      <c r="L2435" s="107"/>
      <c r="M2435" s="107"/>
      <c r="N2435" s="107"/>
    </row>
    <row r="2436" spans="1:14" x14ac:dyDescent="0.15">
      <c r="A2436" s="107">
        <v>1732</v>
      </c>
      <c r="B2436" s="107" t="s">
        <v>186</v>
      </c>
      <c r="C2436" s="107" t="s">
        <v>268</v>
      </c>
      <c r="D2436" s="25">
        <v>51</v>
      </c>
      <c r="E2436" s="107" t="s">
        <v>212</v>
      </c>
      <c r="F2436" s="107" t="s">
        <v>705</v>
      </c>
      <c r="G2436" s="107">
        <v>5</v>
      </c>
      <c r="H2436" s="107">
        <v>2</v>
      </c>
      <c r="I2436" s="107">
        <v>0</v>
      </c>
      <c r="J2436" s="107">
        <f t="shared" si="38"/>
        <v>9.9999999999999992E-2</v>
      </c>
      <c r="K2436" s="107">
        <v>5957</v>
      </c>
      <c r="L2436" s="107"/>
      <c r="M2436" s="107"/>
      <c r="N2436" s="107"/>
    </row>
    <row r="2437" spans="1:14" x14ac:dyDescent="0.15">
      <c r="A2437" s="107">
        <v>1733</v>
      </c>
      <c r="B2437" s="107" t="s">
        <v>253</v>
      </c>
      <c r="C2437" s="107" t="s">
        <v>268</v>
      </c>
      <c r="D2437" s="25">
        <v>51</v>
      </c>
      <c r="E2437" s="107" t="s">
        <v>212</v>
      </c>
      <c r="F2437" s="107" t="s">
        <v>705</v>
      </c>
      <c r="G2437" s="107">
        <v>5</v>
      </c>
      <c r="H2437" s="107">
        <v>2</v>
      </c>
      <c r="I2437" s="107">
        <v>0</v>
      </c>
      <c r="J2437" s="107">
        <f t="shared" si="38"/>
        <v>9.9999999999999992E-2</v>
      </c>
      <c r="K2437" s="107">
        <v>5956</v>
      </c>
      <c r="L2437" s="107"/>
      <c r="M2437" s="107"/>
      <c r="N2437" s="107"/>
    </row>
    <row r="2438" spans="1:14" x14ac:dyDescent="0.15">
      <c r="A2438" s="107">
        <v>1734</v>
      </c>
      <c r="B2438" s="107" t="s">
        <v>196</v>
      </c>
      <c r="C2438" s="107" t="s">
        <v>268</v>
      </c>
      <c r="D2438" s="25">
        <v>51</v>
      </c>
      <c r="E2438" s="107" t="s">
        <v>212</v>
      </c>
      <c r="F2438" s="107" t="s">
        <v>705</v>
      </c>
      <c r="G2438" s="107">
        <v>5</v>
      </c>
      <c r="H2438" s="107">
        <v>2</v>
      </c>
      <c r="I2438" s="107">
        <v>0</v>
      </c>
      <c r="J2438" s="107">
        <f t="shared" si="38"/>
        <v>9.9999999999999992E-2</v>
      </c>
      <c r="K2438" s="107">
        <v>5981</v>
      </c>
      <c r="L2438" s="107"/>
      <c r="M2438" s="107"/>
      <c r="N2438" s="107"/>
    </row>
    <row r="2439" spans="1:14" x14ac:dyDescent="0.15">
      <c r="A2439" s="107">
        <v>1735</v>
      </c>
      <c r="B2439" s="107" t="s">
        <v>261</v>
      </c>
      <c r="C2439" s="107" t="s">
        <v>268</v>
      </c>
      <c r="D2439" s="25">
        <v>102</v>
      </c>
      <c r="E2439" s="107" t="s">
        <v>212</v>
      </c>
      <c r="F2439" s="107" t="s">
        <v>705</v>
      </c>
      <c r="G2439" s="107">
        <v>10</v>
      </c>
      <c r="H2439" s="107">
        <v>4</v>
      </c>
      <c r="I2439" s="107">
        <v>0</v>
      </c>
      <c r="J2439" s="107">
        <f t="shared" si="38"/>
        <v>9.9999999999999992E-2</v>
      </c>
      <c r="K2439" s="107">
        <v>5998</v>
      </c>
      <c r="L2439" s="107"/>
      <c r="M2439" s="107"/>
      <c r="N2439" s="107"/>
    </row>
    <row r="2440" spans="1:14" x14ac:dyDescent="0.15">
      <c r="A2440" s="107">
        <v>1737</v>
      </c>
      <c r="B2440" s="107" t="s">
        <v>226</v>
      </c>
      <c r="C2440" s="107" t="s">
        <v>268</v>
      </c>
      <c r="D2440" s="25">
        <v>51</v>
      </c>
      <c r="E2440" s="107" t="s">
        <v>212</v>
      </c>
      <c r="F2440" s="107" t="s">
        <v>705</v>
      </c>
      <c r="G2440" s="107">
        <v>5</v>
      </c>
      <c r="H2440" s="107">
        <v>2</v>
      </c>
      <c r="I2440" s="107">
        <v>0</v>
      </c>
      <c r="J2440" s="107">
        <f t="shared" si="38"/>
        <v>9.9999999999999992E-2</v>
      </c>
      <c r="K2440" s="107">
        <v>6035</v>
      </c>
      <c r="L2440" s="107"/>
      <c r="M2440" s="107"/>
      <c r="N2440" s="107"/>
    </row>
    <row r="2441" spans="1:14" x14ac:dyDescent="0.15">
      <c r="A2441" s="107">
        <v>1739</v>
      </c>
      <c r="B2441" s="107" t="s">
        <v>226</v>
      </c>
      <c r="C2441" s="107" t="s">
        <v>268</v>
      </c>
      <c r="D2441" s="25">
        <v>102</v>
      </c>
      <c r="E2441" s="107" t="s">
        <v>212</v>
      </c>
      <c r="F2441" s="107" t="s">
        <v>705</v>
      </c>
      <c r="G2441" s="107">
        <v>10</v>
      </c>
      <c r="H2441" s="107">
        <v>4</v>
      </c>
      <c r="I2441" s="107">
        <v>0</v>
      </c>
      <c r="J2441" s="107">
        <f t="shared" si="38"/>
        <v>9.9999999999999992E-2</v>
      </c>
      <c r="K2441" s="107">
        <v>6089</v>
      </c>
      <c r="L2441" s="107"/>
      <c r="M2441" s="107"/>
      <c r="N2441" s="107"/>
    </row>
    <row r="2442" spans="1:14" x14ac:dyDescent="0.15">
      <c r="A2442" s="107">
        <v>1742</v>
      </c>
      <c r="B2442" s="107" t="s">
        <v>261</v>
      </c>
      <c r="C2442" s="107" t="s">
        <v>268</v>
      </c>
      <c r="D2442" s="25">
        <v>51</v>
      </c>
      <c r="E2442" s="107" t="s">
        <v>212</v>
      </c>
      <c r="F2442" s="107" t="s">
        <v>705</v>
      </c>
      <c r="G2442" s="107">
        <v>5</v>
      </c>
      <c r="H2442" s="107">
        <v>2</v>
      </c>
      <c r="I2442" s="107">
        <v>0</v>
      </c>
      <c r="J2442" s="107">
        <f t="shared" si="38"/>
        <v>9.9999999999999992E-2</v>
      </c>
      <c r="K2442" s="107">
        <v>6122</v>
      </c>
      <c r="L2442" s="107"/>
      <c r="M2442" s="107"/>
      <c r="N2442" s="107"/>
    </row>
    <row r="2443" spans="1:14" x14ac:dyDescent="0.15">
      <c r="A2443" s="107">
        <v>1769</v>
      </c>
      <c r="B2443" s="107" t="s">
        <v>260</v>
      </c>
      <c r="C2443" s="107" t="s">
        <v>268</v>
      </c>
      <c r="D2443" s="25">
        <v>48.5</v>
      </c>
      <c r="E2443" s="107" t="s">
        <v>212</v>
      </c>
      <c r="F2443" s="107" t="s">
        <v>705</v>
      </c>
      <c r="G2443" s="107">
        <v>10</v>
      </c>
      <c r="H2443" s="107">
        <v>12</v>
      </c>
      <c r="I2443" s="107">
        <v>0</v>
      </c>
      <c r="J2443" s="107">
        <f t="shared" si="38"/>
        <v>0.21855670103092784</v>
      </c>
      <c r="K2443" s="107">
        <v>6518</v>
      </c>
      <c r="L2443" s="107"/>
      <c r="M2443" s="107"/>
      <c r="N2443" s="107"/>
    </row>
    <row r="2444" spans="1:14" x14ac:dyDescent="0.15">
      <c r="A2444" s="107">
        <v>1772</v>
      </c>
      <c r="B2444" s="107" t="s">
        <v>197</v>
      </c>
      <c r="C2444" s="107" t="s">
        <v>268</v>
      </c>
      <c r="D2444" s="25">
        <v>97</v>
      </c>
      <c r="E2444" s="107" t="s">
        <v>212</v>
      </c>
      <c r="F2444" s="107" t="s">
        <v>705</v>
      </c>
      <c r="G2444" s="107">
        <v>19</v>
      </c>
      <c r="H2444" s="107">
        <v>8</v>
      </c>
      <c r="I2444" s="107">
        <v>0</v>
      </c>
      <c r="J2444" s="107">
        <f t="shared" si="38"/>
        <v>0.19999999999999998</v>
      </c>
      <c r="K2444" s="107">
        <v>6551</v>
      </c>
      <c r="L2444" s="107"/>
      <c r="M2444" s="107"/>
      <c r="N2444" s="107"/>
    </row>
    <row r="2445" spans="1:14" x14ac:dyDescent="0.15">
      <c r="A2445" s="107">
        <v>1656</v>
      </c>
      <c r="B2445" s="107" t="s">
        <v>283</v>
      </c>
      <c r="C2445" s="107" t="s">
        <v>274</v>
      </c>
      <c r="D2445" s="107">
        <v>3</v>
      </c>
      <c r="E2445" s="107"/>
      <c r="F2445" s="107" t="s">
        <v>708</v>
      </c>
      <c r="G2445" s="107">
        <v>6</v>
      </c>
      <c r="H2445" s="107">
        <v>0</v>
      </c>
      <c r="I2445" s="107">
        <v>0</v>
      </c>
      <c r="J2445" s="107">
        <f t="shared" si="38"/>
        <v>2</v>
      </c>
      <c r="K2445" s="107">
        <v>3991</v>
      </c>
      <c r="L2445" s="107">
        <v>1788</v>
      </c>
      <c r="M2445" s="107">
        <v>149</v>
      </c>
      <c r="N2445" s="107" t="s">
        <v>284</v>
      </c>
    </row>
    <row r="2446" spans="1:14" x14ac:dyDescent="0.15">
      <c r="A2446" s="107">
        <v>1656</v>
      </c>
      <c r="B2446" s="107" t="s">
        <v>283</v>
      </c>
      <c r="C2446" s="107" t="s">
        <v>274</v>
      </c>
      <c r="D2446" s="107">
        <v>25</v>
      </c>
      <c r="E2446" s="107"/>
      <c r="F2446" s="107" t="s">
        <v>709</v>
      </c>
      <c r="G2446" s="107">
        <v>17</v>
      </c>
      <c r="H2446" s="107">
        <v>10</v>
      </c>
      <c r="I2446" s="107">
        <v>0</v>
      </c>
      <c r="J2446" s="107">
        <f t="shared" si="38"/>
        <v>0.7</v>
      </c>
      <c r="K2446" s="107">
        <v>3991</v>
      </c>
      <c r="L2446" s="107">
        <v>1788</v>
      </c>
      <c r="M2446" s="107">
        <v>150</v>
      </c>
      <c r="N2446" s="107" t="s">
        <v>284</v>
      </c>
    </row>
    <row r="2447" spans="1:14" x14ac:dyDescent="0.15">
      <c r="A2447" s="107">
        <v>1662</v>
      </c>
      <c r="B2447" s="107" t="s">
        <v>197</v>
      </c>
      <c r="C2447" s="107" t="s">
        <v>274</v>
      </c>
      <c r="D2447" s="107">
        <v>3.625</v>
      </c>
      <c r="E2447" s="107" t="s">
        <v>336</v>
      </c>
      <c r="F2447" s="107" t="s">
        <v>710</v>
      </c>
      <c r="G2447" s="107">
        <v>69</v>
      </c>
      <c r="H2447" s="107">
        <v>12</v>
      </c>
      <c r="I2447" s="107">
        <v>0</v>
      </c>
      <c r="J2447" s="107">
        <f t="shared" si="38"/>
        <v>19.2</v>
      </c>
      <c r="K2447" s="107">
        <v>3997</v>
      </c>
      <c r="L2447" s="107">
        <v>1795</v>
      </c>
      <c r="M2447" s="107">
        <v>303</v>
      </c>
      <c r="N2447" s="107"/>
    </row>
    <row r="2448" spans="1:14" x14ac:dyDescent="0.15">
      <c r="A2448" s="107">
        <v>1663</v>
      </c>
      <c r="B2448" s="107" t="s">
        <v>197</v>
      </c>
      <c r="C2448" s="107" t="s">
        <v>274</v>
      </c>
      <c r="D2448" s="107">
        <v>3</v>
      </c>
      <c r="E2448" s="107" t="s">
        <v>344</v>
      </c>
      <c r="F2448" s="107" t="s">
        <v>710</v>
      </c>
      <c r="G2448" s="107">
        <v>14</v>
      </c>
      <c r="H2448" s="107">
        <v>8</v>
      </c>
      <c r="I2448" s="107">
        <v>0</v>
      </c>
      <c r="J2448" s="107">
        <f t="shared" si="38"/>
        <v>4.8</v>
      </c>
      <c r="K2448" s="107">
        <v>3998</v>
      </c>
      <c r="L2448" s="107">
        <v>1797</v>
      </c>
      <c r="M2448" s="107" t="s">
        <v>290</v>
      </c>
      <c r="N2448" s="107"/>
    </row>
    <row r="2449" spans="1:15" x14ac:dyDescent="0.15">
      <c r="A2449" s="107">
        <v>1665</v>
      </c>
      <c r="B2449" s="107" t="s">
        <v>197</v>
      </c>
      <c r="C2449" s="107" t="s">
        <v>274</v>
      </c>
      <c r="D2449" s="107">
        <v>4.0625</v>
      </c>
      <c r="E2449" s="107" t="s">
        <v>188</v>
      </c>
      <c r="F2449" s="107" t="s">
        <v>710</v>
      </c>
      <c r="G2449" s="107">
        <v>78</v>
      </c>
      <c r="H2449" s="107">
        <v>0</v>
      </c>
      <c r="I2449" s="107">
        <v>0</v>
      </c>
      <c r="J2449" s="107">
        <f t="shared" si="38"/>
        <v>19.2</v>
      </c>
      <c r="K2449" s="107">
        <v>4000</v>
      </c>
      <c r="L2449" s="107">
        <v>1798</v>
      </c>
      <c r="M2449" s="107">
        <v>63</v>
      </c>
      <c r="N2449" s="107"/>
      <c r="O2449" s="107"/>
    </row>
    <row r="2450" spans="1:15" x14ac:dyDescent="0.15">
      <c r="A2450" s="107">
        <v>1666</v>
      </c>
      <c r="B2450" s="107" t="s">
        <v>197</v>
      </c>
      <c r="C2450" s="107" t="s">
        <v>274</v>
      </c>
      <c r="D2450" s="107">
        <v>3.6875</v>
      </c>
      <c r="E2450" s="107" t="s">
        <v>188</v>
      </c>
      <c r="F2450" s="107" t="s">
        <v>710</v>
      </c>
      <c r="G2450" s="107">
        <v>70</v>
      </c>
      <c r="H2450" s="107">
        <v>16</v>
      </c>
      <c r="I2450" s="107">
        <v>0</v>
      </c>
      <c r="J2450" s="107">
        <f t="shared" si="38"/>
        <v>19.2</v>
      </c>
      <c r="K2450" s="107">
        <v>4001</v>
      </c>
      <c r="L2450" s="107">
        <v>1800</v>
      </c>
      <c r="M2450" s="107">
        <v>38</v>
      </c>
      <c r="N2450" s="107"/>
      <c r="O2450" s="107"/>
    </row>
    <row r="2451" spans="1:15" x14ac:dyDescent="0.15">
      <c r="A2451" s="107">
        <v>1666</v>
      </c>
      <c r="B2451" s="107" t="s">
        <v>196</v>
      </c>
      <c r="C2451" s="107" t="s">
        <v>274</v>
      </c>
      <c r="D2451" s="107">
        <v>1</v>
      </c>
      <c r="E2451" s="107" t="s">
        <v>344</v>
      </c>
      <c r="F2451" s="107" t="s">
        <v>710</v>
      </c>
      <c r="G2451" s="107">
        <v>4</v>
      </c>
      <c r="H2451" s="107">
        <v>16</v>
      </c>
      <c r="I2451" s="107">
        <v>0</v>
      </c>
      <c r="J2451" s="107">
        <f t="shared" si="38"/>
        <v>4.8</v>
      </c>
      <c r="K2451" s="107">
        <v>4001</v>
      </c>
      <c r="L2451" s="107">
        <v>1800</v>
      </c>
      <c r="M2451" s="107">
        <v>47</v>
      </c>
      <c r="N2451" s="107"/>
      <c r="O2451" s="107"/>
    </row>
    <row r="2452" spans="1:15" x14ac:dyDescent="0.15">
      <c r="A2452" s="107">
        <v>1700</v>
      </c>
      <c r="B2452" s="107" t="s">
        <v>200</v>
      </c>
      <c r="C2452" s="107" t="s">
        <v>271</v>
      </c>
      <c r="D2452" s="107">
        <v>302</v>
      </c>
      <c r="E2452" s="107" t="s">
        <v>193</v>
      </c>
      <c r="F2452" s="107" t="s">
        <v>711</v>
      </c>
      <c r="G2452" s="107">
        <v>120</v>
      </c>
      <c r="H2452" s="107">
        <v>16</v>
      </c>
      <c r="I2452" s="107">
        <v>0</v>
      </c>
      <c r="J2452" s="107">
        <f t="shared" si="38"/>
        <v>0.39999999999999997</v>
      </c>
      <c r="K2452" s="107">
        <v>4047</v>
      </c>
      <c r="L2452" s="107">
        <v>1855</v>
      </c>
      <c r="M2452" s="107">
        <v>524</v>
      </c>
      <c r="N2452" s="107" t="s">
        <v>272</v>
      </c>
      <c r="O2452" s="107"/>
    </row>
    <row r="2453" spans="1:15" x14ac:dyDescent="0.15">
      <c r="A2453" s="107">
        <v>1701</v>
      </c>
      <c r="B2453" s="107" t="s">
        <v>197</v>
      </c>
      <c r="C2453" s="107" t="s">
        <v>271</v>
      </c>
      <c r="D2453" s="107">
        <v>360</v>
      </c>
      <c r="E2453" s="107" t="s">
        <v>193</v>
      </c>
      <c r="F2453" s="107" t="s">
        <v>711</v>
      </c>
      <c r="G2453" s="107">
        <v>144</v>
      </c>
      <c r="H2453" s="107">
        <v>0</v>
      </c>
      <c r="I2453" s="107">
        <v>0</v>
      </c>
      <c r="J2453" s="107">
        <f t="shared" si="38"/>
        <v>0.4</v>
      </c>
      <c r="K2453" s="107">
        <v>4047</v>
      </c>
      <c r="L2453" s="107">
        <v>1855</v>
      </c>
      <c r="M2453" s="107">
        <v>554</v>
      </c>
      <c r="N2453" s="107" t="s">
        <v>294</v>
      </c>
      <c r="O2453" s="107"/>
    </row>
    <row r="2454" spans="1:15" x14ac:dyDescent="0.15">
      <c r="A2454" s="107">
        <v>1674</v>
      </c>
      <c r="B2454" s="107" t="s">
        <v>197</v>
      </c>
      <c r="C2454" s="107" t="s">
        <v>274</v>
      </c>
      <c r="D2454" s="107">
        <v>100</v>
      </c>
      <c r="E2454" s="107" t="s">
        <v>193</v>
      </c>
      <c r="F2454" s="107" t="s">
        <v>712</v>
      </c>
      <c r="G2454" s="107">
        <v>87</v>
      </c>
      <c r="H2454" s="107">
        <v>11</v>
      </c>
      <c r="I2454" s="107">
        <v>4</v>
      </c>
      <c r="J2454" s="107">
        <f t="shared" si="38"/>
        <v>0.87562499999999999</v>
      </c>
      <c r="K2454" s="107">
        <v>4011</v>
      </c>
      <c r="L2454" s="107">
        <v>1814</v>
      </c>
      <c r="M2454" s="107">
        <v>594</v>
      </c>
      <c r="N2454" s="107" t="s">
        <v>294</v>
      </c>
      <c r="O2454" s="107"/>
    </row>
    <row r="2455" spans="1:15" x14ac:dyDescent="0.15">
      <c r="A2455" s="107">
        <v>1674</v>
      </c>
      <c r="B2455" s="107" t="s">
        <v>196</v>
      </c>
      <c r="C2455" s="107" t="s">
        <v>274</v>
      </c>
      <c r="D2455" s="107">
        <v>100</v>
      </c>
      <c r="E2455" s="107" t="s">
        <v>193</v>
      </c>
      <c r="F2455" s="107" t="s">
        <v>712</v>
      </c>
      <c r="G2455" s="107">
        <v>84</v>
      </c>
      <c r="H2455" s="107">
        <v>16</v>
      </c>
      <c r="I2455" s="107">
        <v>4</v>
      </c>
      <c r="J2455" s="107">
        <f t="shared" si="38"/>
        <v>0.84812500000000002</v>
      </c>
      <c r="K2455" s="107">
        <v>4011</v>
      </c>
      <c r="L2455" s="107">
        <v>1814</v>
      </c>
      <c r="M2455" s="107">
        <v>599</v>
      </c>
      <c r="N2455" s="107" t="s">
        <v>294</v>
      </c>
      <c r="O2455" s="107"/>
    </row>
    <row r="2456" spans="1:15" x14ac:dyDescent="0.15">
      <c r="A2456" s="107">
        <v>1700</v>
      </c>
      <c r="B2456" s="107" t="s">
        <v>200</v>
      </c>
      <c r="C2456" s="107" t="s">
        <v>271</v>
      </c>
      <c r="D2456" s="107">
        <v>22</v>
      </c>
      <c r="E2456" s="107" t="s">
        <v>193</v>
      </c>
      <c r="F2456" s="107" t="s">
        <v>712</v>
      </c>
      <c r="G2456" s="107">
        <v>8</v>
      </c>
      <c r="H2456" s="107">
        <v>16</v>
      </c>
      <c r="I2456" s="107">
        <v>0</v>
      </c>
      <c r="J2456" s="107">
        <f t="shared" si="38"/>
        <v>0.4</v>
      </c>
      <c r="K2456" s="107">
        <v>4047</v>
      </c>
      <c r="L2456" s="107">
        <v>1855</v>
      </c>
      <c r="M2456" s="107">
        <v>526</v>
      </c>
      <c r="N2456" s="107" t="s">
        <v>272</v>
      </c>
      <c r="O2456" s="107"/>
    </row>
    <row r="2457" spans="1:15" x14ac:dyDescent="0.15">
      <c r="A2457" s="107">
        <v>1700</v>
      </c>
      <c r="B2457" s="107" t="s">
        <v>200</v>
      </c>
      <c r="C2457" s="107" t="s">
        <v>271</v>
      </c>
      <c r="D2457" s="107">
        <v>62</v>
      </c>
      <c r="E2457" s="107" t="s">
        <v>193</v>
      </c>
      <c r="F2457" s="107" t="s">
        <v>713</v>
      </c>
      <c r="G2457" s="107">
        <v>31</v>
      </c>
      <c r="H2457" s="107">
        <v>0</v>
      </c>
      <c r="I2457" s="107">
        <v>0</v>
      </c>
      <c r="J2457" s="107">
        <f t="shared" si="38"/>
        <v>0.5</v>
      </c>
      <c r="K2457" s="107">
        <v>4047</v>
      </c>
      <c r="L2457" s="107">
        <v>1855</v>
      </c>
      <c r="M2457" s="107">
        <v>524</v>
      </c>
      <c r="N2457" s="107" t="s">
        <v>272</v>
      </c>
      <c r="O2457" s="107"/>
    </row>
    <row r="2458" spans="1:15" x14ac:dyDescent="0.15">
      <c r="A2458" s="107">
        <v>1701</v>
      </c>
      <c r="B2458" s="107" t="s">
        <v>197</v>
      </c>
      <c r="C2458" s="107" t="s">
        <v>271</v>
      </c>
      <c r="D2458" s="107">
        <v>154</v>
      </c>
      <c r="E2458" s="107" t="s">
        <v>193</v>
      </c>
      <c r="F2458" s="107" t="s">
        <v>713</v>
      </c>
      <c r="G2458" s="107">
        <v>77</v>
      </c>
      <c r="H2458" s="107">
        <v>0</v>
      </c>
      <c r="I2458" s="107">
        <v>0</v>
      </c>
      <c r="J2458" s="107">
        <f t="shared" si="38"/>
        <v>0.5</v>
      </c>
      <c r="K2458" s="107">
        <v>4047</v>
      </c>
      <c r="L2458" s="107">
        <v>1855</v>
      </c>
      <c r="M2458" s="107">
        <v>554</v>
      </c>
      <c r="N2458" s="107" t="s">
        <v>294</v>
      </c>
      <c r="O2458" s="107"/>
    </row>
    <row r="2459" spans="1:15" x14ac:dyDescent="0.15">
      <c r="A2459" s="107">
        <v>1673</v>
      </c>
      <c r="B2459" s="107" t="s">
        <v>197</v>
      </c>
      <c r="C2459" s="107" t="s">
        <v>274</v>
      </c>
      <c r="D2459" s="107">
        <v>17</v>
      </c>
      <c r="E2459" s="107" t="s">
        <v>204</v>
      </c>
      <c r="F2459" s="107" t="s">
        <v>714</v>
      </c>
      <c r="G2459" s="107">
        <v>34</v>
      </c>
      <c r="H2459" s="107">
        <v>0</v>
      </c>
      <c r="I2459" s="107">
        <v>0</v>
      </c>
      <c r="J2459" s="107">
        <f t="shared" si="38"/>
        <v>2</v>
      </c>
      <c r="K2459" s="107">
        <v>4010</v>
      </c>
      <c r="L2459" s="107">
        <v>1812</v>
      </c>
      <c r="M2459" s="107">
        <v>701</v>
      </c>
      <c r="N2459" s="107"/>
      <c r="O2459" s="107"/>
    </row>
    <row r="2460" spans="1:15" x14ac:dyDescent="0.15">
      <c r="A2460" s="107">
        <v>1701</v>
      </c>
      <c r="B2460" s="107" t="s">
        <v>197</v>
      </c>
      <c r="C2460" s="107" t="s">
        <v>271</v>
      </c>
      <c r="D2460" s="107">
        <v>1180</v>
      </c>
      <c r="E2460" s="107" t="s">
        <v>193</v>
      </c>
      <c r="F2460" s="107" t="s">
        <v>715</v>
      </c>
      <c r="G2460" s="107">
        <v>184</v>
      </c>
      <c r="H2460" s="107">
        <v>7</v>
      </c>
      <c r="I2460" s="107">
        <v>8</v>
      </c>
      <c r="J2460" s="107">
        <f t="shared" si="38"/>
        <v>0.15625</v>
      </c>
      <c r="K2460" s="107">
        <v>4047</v>
      </c>
      <c r="L2460" s="107">
        <v>1855</v>
      </c>
      <c r="M2460" s="107">
        <v>556</v>
      </c>
      <c r="N2460" s="107" t="s">
        <v>273</v>
      </c>
      <c r="O2460" s="107"/>
    </row>
    <row r="2461" spans="1:15" x14ac:dyDescent="0.15">
      <c r="A2461" s="107">
        <v>1654</v>
      </c>
      <c r="B2461" s="107" t="s">
        <v>186</v>
      </c>
      <c r="C2461" s="107" t="s">
        <v>274</v>
      </c>
      <c r="D2461" s="107">
        <v>42</v>
      </c>
      <c r="E2461" s="107" t="s">
        <v>193</v>
      </c>
      <c r="F2461" s="107" t="s">
        <v>716</v>
      </c>
      <c r="G2461" s="107">
        <v>21</v>
      </c>
      <c r="H2461" s="107">
        <v>0</v>
      </c>
      <c r="I2461" s="107">
        <v>0</v>
      </c>
      <c r="J2461" s="107">
        <f t="shared" si="38"/>
        <v>0.5</v>
      </c>
      <c r="K2461" s="107">
        <v>3990</v>
      </c>
      <c r="L2461" s="107">
        <v>1788</v>
      </c>
      <c r="M2461" s="107">
        <v>202</v>
      </c>
      <c r="N2461" s="107"/>
      <c r="O2461" s="107" t="s">
        <v>717</v>
      </c>
    </row>
    <row r="2462" spans="1:15" x14ac:dyDescent="0.15">
      <c r="A2462" s="107">
        <v>1654</v>
      </c>
      <c r="B2462" s="107" t="s">
        <v>186</v>
      </c>
      <c r="C2462" s="107" t="s">
        <v>274</v>
      </c>
      <c r="D2462" s="107">
        <v>60</v>
      </c>
      <c r="E2462" s="107" t="s">
        <v>193</v>
      </c>
      <c r="F2462" s="107" t="s">
        <v>716</v>
      </c>
      <c r="G2462" s="107">
        <v>30</v>
      </c>
      <c r="H2462" s="107">
        <v>0</v>
      </c>
      <c r="I2462" s="107">
        <v>0</v>
      </c>
      <c r="J2462" s="107">
        <f t="shared" si="38"/>
        <v>0.5</v>
      </c>
      <c r="K2462" s="107">
        <v>3990</v>
      </c>
      <c r="L2462" s="107">
        <v>1788</v>
      </c>
      <c r="M2462" s="107">
        <v>202</v>
      </c>
      <c r="N2462" s="107"/>
      <c r="O2462" s="107" t="s">
        <v>717</v>
      </c>
    </row>
    <row r="2463" spans="1:15" x14ac:dyDescent="0.15">
      <c r="A2463" s="107">
        <v>1655</v>
      </c>
      <c r="B2463" s="107" t="s">
        <v>192</v>
      </c>
      <c r="C2463" s="107" t="s">
        <v>274</v>
      </c>
      <c r="D2463" s="107">
        <v>18</v>
      </c>
      <c r="E2463" s="107" t="s">
        <v>193</v>
      </c>
      <c r="F2463" s="107" t="s">
        <v>716</v>
      </c>
      <c r="G2463" s="107">
        <v>9</v>
      </c>
      <c r="H2463" s="107">
        <v>0</v>
      </c>
      <c r="I2463" s="107">
        <v>0</v>
      </c>
      <c r="J2463" s="107">
        <f t="shared" si="38"/>
        <v>0.5</v>
      </c>
      <c r="K2463" s="107">
        <v>3990</v>
      </c>
      <c r="L2463" s="107">
        <v>1788</v>
      </c>
      <c r="M2463" s="107">
        <v>227</v>
      </c>
      <c r="N2463" s="107" t="s">
        <v>287</v>
      </c>
      <c r="O2463" s="107" t="s">
        <v>507</v>
      </c>
    </row>
    <row r="2464" spans="1:15" x14ac:dyDescent="0.15">
      <c r="A2464" s="107">
        <v>1655</v>
      </c>
      <c r="B2464" s="107" t="s">
        <v>186</v>
      </c>
      <c r="C2464" s="107" t="s">
        <v>274</v>
      </c>
      <c r="D2464" s="107">
        <v>23.5</v>
      </c>
      <c r="E2464" s="107" t="s">
        <v>193</v>
      </c>
      <c r="F2464" s="107" t="s">
        <v>716</v>
      </c>
      <c r="G2464" s="107">
        <v>11</v>
      </c>
      <c r="H2464" s="107">
        <v>15</v>
      </c>
      <c r="I2464" s="107">
        <v>0</v>
      </c>
      <c r="J2464" s="107">
        <f t="shared" si="38"/>
        <v>0.5</v>
      </c>
      <c r="K2464" s="107">
        <v>3990</v>
      </c>
      <c r="L2464" s="107">
        <v>1788</v>
      </c>
      <c r="M2464" s="107">
        <v>228</v>
      </c>
      <c r="N2464" s="107" t="s">
        <v>287</v>
      </c>
      <c r="O2464" s="107" t="s">
        <v>718</v>
      </c>
    </row>
    <row r="2465" spans="1:14" x14ac:dyDescent="0.15">
      <c r="A2465" s="107">
        <v>1700</v>
      </c>
      <c r="B2465" s="107" t="s">
        <v>200</v>
      </c>
      <c r="C2465" s="107" t="s">
        <v>271</v>
      </c>
      <c r="D2465" s="107">
        <v>10</v>
      </c>
      <c r="E2465" s="107" t="s">
        <v>193</v>
      </c>
      <c r="F2465" s="107" t="s">
        <v>719</v>
      </c>
      <c r="G2465" s="107">
        <v>2</v>
      </c>
      <c r="H2465" s="107">
        <v>15</v>
      </c>
      <c r="I2465" s="107">
        <v>0</v>
      </c>
      <c r="J2465" s="107">
        <f t="shared" si="38"/>
        <v>0.27500000000000002</v>
      </c>
      <c r="K2465" s="107">
        <v>4047</v>
      </c>
      <c r="L2465" s="107">
        <v>1855</v>
      </c>
      <c r="M2465" s="107">
        <v>528</v>
      </c>
      <c r="N2465" s="107" t="s">
        <v>272</v>
      </c>
    </row>
    <row r="2466" spans="1:14" x14ac:dyDescent="0.15">
      <c r="A2466" s="107">
        <v>1701</v>
      </c>
      <c r="B2466" s="107" t="s">
        <v>197</v>
      </c>
      <c r="C2466" s="107" t="s">
        <v>271</v>
      </c>
      <c r="D2466" s="107">
        <v>9</v>
      </c>
      <c r="E2466" s="107" t="s">
        <v>193</v>
      </c>
      <c r="F2466" s="107" t="s">
        <v>719</v>
      </c>
      <c r="G2466" s="107">
        <v>2</v>
      </c>
      <c r="H2466" s="107">
        <v>9</v>
      </c>
      <c r="I2466" s="107">
        <v>8</v>
      </c>
      <c r="J2466" s="107">
        <f t="shared" si="38"/>
        <v>0.27500000000000002</v>
      </c>
      <c r="K2466" s="107">
        <v>4047</v>
      </c>
      <c r="L2466" s="107">
        <v>1855</v>
      </c>
      <c r="M2466" s="107">
        <v>557</v>
      </c>
      <c r="N2466" s="107" t="s">
        <v>273</v>
      </c>
    </row>
    <row r="2467" spans="1:14" x14ac:dyDescent="0.15">
      <c r="A2467" s="107">
        <v>1655</v>
      </c>
      <c r="B2467" s="107" t="s">
        <v>236</v>
      </c>
      <c r="C2467" s="107" t="s">
        <v>274</v>
      </c>
      <c r="D2467" s="107">
        <v>100</v>
      </c>
      <c r="E2467" s="107" t="s">
        <v>720</v>
      </c>
      <c r="F2467" s="107" t="s">
        <v>721</v>
      </c>
      <c r="G2467" s="107">
        <v>264</v>
      </c>
      <c r="H2467" s="107">
        <v>0</v>
      </c>
      <c r="I2467" s="107">
        <v>0</v>
      </c>
      <c r="J2467" s="107">
        <f t="shared" si="38"/>
        <v>2.64</v>
      </c>
      <c r="K2467" s="107">
        <v>3990</v>
      </c>
      <c r="L2467" s="107">
        <v>1788</v>
      </c>
      <c r="M2467" s="107">
        <v>204</v>
      </c>
      <c r="N2467" s="107" t="s">
        <v>349</v>
      </c>
    </row>
    <row r="2468" spans="1:14" x14ac:dyDescent="0.15">
      <c r="A2468" s="107">
        <v>1657</v>
      </c>
      <c r="B2468" s="107" t="s">
        <v>261</v>
      </c>
      <c r="C2468" s="107" t="s">
        <v>274</v>
      </c>
      <c r="D2468" s="107">
        <v>16</v>
      </c>
      <c r="E2468" s="107" t="s">
        <v>193</v>
      </c>
      <c r="F2468" s="107" t="s">
        <v>722</v>
      </c>
      <c r="G2468" s="107">
        <v>1</v>
      </c>
      <c r="H2468" s="107">
        <v>4</v>
      </c>
      <c r="I2468" s="107">
        <v>0</v>
      </c>
      <c r="J2468" s="107">
        <f t="shared" si="38"/>
        <v>7.4999999999999997E-2</v>
      </c>
      <c r="K2468" s="107">
        <v>3992</v>
      </c>
      <c r="L2468" s="107">
        <v>1789</v>
      </c>
      <c r="M2468" s="107">
        <v>240</v>
      </c>
      <c r="N2468" s="107"/>
    </row>
    <row r="2469" spans="1:14" x14ac:dyDescent="0.15">
      <c r="A2469" s="107">
        <v>1658</v>
      </c>
      <c r="B2469" s="107" t="s">
        <v>236</v>
      </c>
      <c r="C2469" s="107" t="s">
        <v>274</v>
      </c>
      <c r="D2469" s="107">
        <v>4934</v>
      </c>
      <c r="E2469" s="107" t="s">
        <v>193</v>
      </c>
      <c r="F2469" s="107" t="s">
        <v>722</v>
      </c>
      <c r="G2469" s="107">
        <v>140</v>
      </c>
      <c r="H2469" s="107">
        <v>0</v>
      </c>
      <c r="I2469" s="107">
        <v>12</v>
      </c>
      <c r="J2469" s="107">
        <f t="shared" si="38"/>
        <v>2.8382144304823671E-2</v>
      </c>
      <c r="K2469" s="107">
        <v>3993</v>
      </c>
      <c r="L2469" s="107">
        <v>1791</v>
      </c>
      <c r="M2469" s="107">
        <v>318</v>
      </c>
      <c r="N2469" s="107"/>
    </row>
    <row r="2470" spans="1:14" x14ac:dyDescent="0.15">
      <c r="A2470" s="107">
        <v>1659</v>
      </c>
      <c r="B2470" s="107" t="s">
        <v>197</v>
      </c>
      <c r="C2470" s="107" t="s">
        <v>274</v>
      </c>
      <c r="D2470" s="107">
        <v>1745</v>
      </c>
      <c r="E2470" s="107" t="s">
        <v>193</v>
      </c>
      <c r="F2470" s="107" t="s">
        <v>722</v>
      </c>
      <c r="G2470" s="107">
        <v>65</v>
      </c>
      <c r="H2470" s="107">
        <v>10</v>
      </c>
      <c r="I2470" s="107">
        <v>0</v>
      </c>
      <c r="J2470" s="107">
        <f t="shared" si="38"/>
        <v>3.7535816618911172E-2</v>
      </c>
      <c r="K2470" s="107">
        <v>3994</v>
      </c>
      <c r="L2470" s="107">
        <v>1792</v>
      </c>
      <c r="M2470" s="107">
        <v>169</v>
      </c>
      <c r="N2470" s="107"/>
    </row>
    <row r="2471" spans="1:14" x14ac:dyDescent="0.15">
      <c r="A2471" s="107">
        <v>1660</v>
      </c>
      <c r="B2471" s="107" t="s">
        <v>197</v>
      </c>
      <c r="C2471" s="107" t="s">
        <v>274</v>
      </c>
      <c r="D2471" s="107">
        <v>2761</v>
      </c>
      <c r="E2471" s="107" t="s">
        <v>193</v>
      </c>
      <c r="F2471" s="107" t="s">
        <v>722</v>
      </c>
      <c r="G2471" s="107">
        <v>71</v>
      </c>
      <c r="H2471" s="107">
        <v>2</v>
      </c>
      <c r="I2471" s="107">
        <v>0</v>
      </c>
      <c r="J2471" s="107">
        <f t="shared" si="38"/>
        <v>2.5751539297356029E-2</v>
      </c>
      <c r="K2471" s="107">
        <v>3995</v>
      </c>
      <c r="L2471" s="107">
        <v>1793</v>
      </c>
      <c r="M2471" s="107">
        <v>196</v>
      </c>
      <c r="N2471" s="107"/>
    </row>
    <row r="2472" spans="1:14" x14ac:dyDescent="0.15">
      <c r="A2472" s="107">
        <v>1661</v>
      </c>
      <c r="B2472" s="107" t="s">
        <v>197</v>
      </c>
      <c r="C2472" s="107" t="s">
        <v>274</v>
      </c>
      <c r="D2472" s="107">
        <v>950</v>
      </c>
      <c r="E2472" s="107" t="s">
        <v>193</v>
      </c>
      <c r="F2472" s="107" t="s">
        <v>722</v>
      </c>
      <c r="G2472" s="107">
        <v>45</v>
      </c>
      <c r="H2472" s="107">
        <v>12</v>
      </c>
      <c r="I2472" s="107">
        <v>0</v>
      </c>
      <c r="J2472" s="107">
        <f t="shared" si="38"/>
        <v>4.8000000000000001E-2</v>
      </c>
      <c r="K2472" s="107">
        <v>3996</v>
      </c>
      <c r="L2472" s="107">
        <v>1794</v>
      </c>
      <c r="M2472" s="107" t="s">
        <v>290</v>
      </c>
      <c r="N2472" s="107"/>
    </row>
    <row r="2473" spans="1:14" x14ac:dyDescent="0.15">
      <c r="A2473" s="107">
        <v>1662</v>
      </c>
      <c r="B2473" s="107" t="s">
        <v>197</v>
      </c>
      <c r="C2473" s="107" t="s">
        <v>274</v>
      </c>
      <c r="D2473" s="107">
        <v>2425</v>
      </c>
      <c r="E2473" s="107" t="s">
        <v>193</v>
      </c>
      <c r="F2473" s="107" t="s">
        <v>722</v>
      </c>
      <c r="G2473" s="107">
        <v>101</v>
      </c>
      <c r="H2473" s="107">
        <v>2</v>
      </c>
      <c r="I2473" s="107">
        <v>0</v>
      </c>
      <c r="J2473" s="107">
        <f t="shared" si="38"/>
        <v>4.1690721649484536E-2</v>
      </c>
      <c r="K2473" s="107">
        <v>3997</v>
      </c>
      <c r="L2473" s="107">
        <v>1795</v>
      </c>
      <c r="M2473" s="107">
        <v>303</v>
      </c>
      <c r="N2473" s="107"/>
    </row>
    <row r="2474" spans="1:14" x14ac:dyDescent="0.15">
      <c r="A2474" s="107">
        <v>1663</v>
      </c>
      <c r="B2474" s="107" t="s">
        <v>197</v>
      </c>
      <c r="C2474" s="107" t="s">
        <v>274</v>
      </c>
      <c r="D2474" s="107">
        <v>698</v>
      </c>
      <c r="E2474" s="107" t="s">
        <v>193</v>
      </c>
      <c r="F2474" s="107" t="s">
        <v>722</v>
      </c>
      <c r="G2474" s="107">
        <v>33</v>
      </c>
      <c r="H2474" s="107">
        <v>10</v>
      </c>
      <c r="I2474" s="107">
        <v>0</v>
      </c>
      <c r="J2474" s="107">
        <f t="shared" si="38"/>
        <v>4.7994269340974213E-2</v>
      </c>
      <c r="K2474" s="107">
        <v>3998</v>
      </c>
      <c r="L2474" s="107">
        <v>1797</v>
      </c>
      <c r="M2474" s="107" t="s">
        <v>290</v>
      </c>
      <c r="N2474" s="107"/>
    </row>
    <row r="2475" spans="1:14" x14ac:dyDescent="0.15">
      <c r="A2475" s="107">
        <v>1665</v>
      </c>
      <c r="B2475" s="107" t="s">
        <v>197</v>
      </c>
      <c r="C2475" s="107" t="s">
        <v>274</v>
      </c>
      <c r="D2475" s="107">
        <v>949</v>
      </c>
      <c r="E2475" s="107" t="s">
        <v>193</v>
      </c>
      <c r="F2475" s="107" t="s">
        <v>722</v>
      </c>
      <c r="G2475" s="107">
        <v>28</v>
      </c>
      <c r="H2475" s="107">
        <v>9</v>
      </c>
      <c r="I2475" s="107">
        <v>6</v>
      </c>
      <c r="J2475" s="107">
        <f t="shared" si="38"/>
        <v>2.9998682824025291E-2</v>
      </c>
      <c r="K2475" s="107">
        <v>4000</v>
      </c>
      <c r="L2475" s="107">
        <v>1798</v>
      </c>
      <c r="M2475" s="107">
        <v>63</v>
      </c>
      <c r="N2475" s="107"/>
    </row>
    <row r="2476" spans="1:14" x14ac:dyDescent="0.15">
      <c r="A2476" s="107">
        <v>1666</v>
      </c>
      <c r="B2476" s="107" t="s">
        <v>197</v>
      </c>
      <c r="C2476" s="107" t="s">
        <v>274</v>
      </c>
      <c r="D2476" s="107">
        <v>1440</v>
      </c>
      <c r="E2476" s="107" t="s">
        <v>193</v>
      </c>
      <c r="F2476" s="107" t="s">
        <v>722</v>
      </c>
      <c r="G2476" s="107">
        <v>43</v>
      </c>
      <c r="H2476" s="107">
        <v>12</v>
      </c>
      <c r="I2476" s="107">
        <v>0</v>
      </c>
      <c r="J2476" s="107">
        <f t="shared" si="38"/>
        <v>3.0277777777777778E-2</v>
      </c>
      <c r="K2476" s="107">
        <v>4001</v>
      </c>
      <c r="L2476" s="107">
        <v>1800</v>
      </c>
      <c r="M2476" s="107">
        <v>38</v>
      </c>
      <c r="N2476" s="107"/>
    </row>
    <row r="2477" spans="1:14" x14ac:dyDescent="0.15">
      <c r="A2477" s="107">
        <v>1667</v>
      </c>
      <c r="B2477" s="107" t="s">
        <v>197</v>
      </c>
      <c r="C2477" s="107" t="s">
        <v>274</v>
      </c>
      <c r="D2477" s="107">
        <v>2174</v>
      </c>
      <c r="E2477" s="107" t="s">
        <v>193</v>
      </c>
      <c r="F2477" s="107" t="s">
        <v>722</v>
      </c>
      <c r="G2477" s="107">
        <v>65</v>
      </c>
      <c r="H2477" s="107">
        <v>4</v>
      </c>
      <c r="I2477" s="107">
        <v>6</v>
      </c>
      <c r="J2477" s="107">
        <f t="shared" si="38"/>
        <v>2.9999425022999082E-2</v>
      </c>
      <c r="K2477" s="107">
        <v>4002</v>
      </c>
      <c r="L2477" s="107">
        <v>1802</v>
      </c>
      <c r="M2477" s="107">
        <v>760</v>
      </c>
      <c r="N2477" s="107"/>
    </row>
    <row r="2478" spans="1:14" x14ac:dyDescent="0.15">
      <c r="A2478" s="107">
        <v>1668</v>
      </c>
      <c r="B2478" s="107" t="s">
        <v>197</v>
      </c>
      <c r="C2478" s="107" t="s">
        <v>274</v>
      </c>
      <c r="D2478" s="107">
        <v>50</v>
      </c>
      <c r="E2478" s="107" t="s">
        <v>193</v>
      </c>
      <c r="F2478" s="107" t="s">
        <v>722</v>
      </c>
      <c r="G2478" s="107">
        <v>2</v>
      </c>
      <c r="H2478" s="107">
        <v>1</v>
      </c>
      <c r="I2478" s="107">
        <v>10</v>
      </c>
      <c r="J2478" s="107">
        <f t="shared" si="38"/>
        <v>4.1624999999999995E-2</v>
      </c>
      <c r="K2478" s="107">
        <v>4003</v>
      </c>
      <c r="L2478" s="107">
        <v>1802</v>
      </c>
      <c r="M2478" s="107">
        <v>42</v>
      </c>
      <c r="N2478" s="107"/>
    </row>
    <row r="2479" spans="1:14" x14ac:dyDescent="0.15">
      <c r="A2479" s="107">
        <v>1669</v>
      </c>
      <c r="B2479" s="107" t="s">
        <v>197</v>
      </c>
      <c r="C2479" s="107" t="s">
        <v>274</v>
      </c>
      <c r="D2479" s="107">
        <v>12898</v>
      </c>
      <c r="E2479" s="107" t="s">
        <v>193</v>
      </c>
      <c r="F2479" s="107" t="s">
        <v>722</v>
      </c>
      <c r="G2479" s="107">
        <v>230</v>
      </c>
      <c r="H2479" s="107">
        <v>19</v>
      </c>
      <c r="I2479" s="107">
        <v>1</v>
      </c>
      <c r="J2479" s="107">
        <f t="shared" si="38"/>
        <v>1.7906119165762135E-2</v>
      </c>
      <c r="K2479" s="107">
        <v>4004</v>
      </c>
      <c r="L2479" s="107">
        <v>1805</v>
      </c>
      <c r="M2479" s="107">
        <v>558</v>
      </c>
      <c r="N2479" s="107"/>
    </row>
    <row r="2480" spans="1:14" x14ac:dyDescent="0.15">
      <c r="A2480" s="107">
        <v>1671</v>
      </c>
      <c r="B2480" s="107" t="s">
        <v>197</v>
      </c>
      <c r="C2480" s="107" t="s">
        <v>274</v>
      </c>
      <c r="D2480" s="107">
        <v>12</v>
      </c>
      <c r="E2480" s="107" t="s">
        <v>193</v>
      </c>
      <c r="F2480" s="107" t="s">
        <v>722</v>
      </c>
      <c r="G2480" s="107">
        <v>0</v>
      </c>
      <c r="H2480" s="107">
        <v>6</v>
      </c>
      <c r="I2480" s="107">
        <v>0</v>
      </c>
      <c r="J2480" s="107">
        <f t="shared" ref="J2480:J2543" si="39">(G2480+H2480/20+I2480/320)/D2480</f>
        <v>2.4999999999999998E-2</v>
      </c>
      <c r="K2480" s="107">
        <v>4008</v>
      </c>
      <c r="L2480" s="107">
        <v>1810</v>
      </c>
      <c r="M2480" s="107">
        <v>412</v>
      </c>
      <c r="N2480" s="107"/>
    </row>
    <row r="2481" spans="1:15" x14ac:dyDescent="0.15">
      <c r="A2481" s="107">
        <v>1672</v>
      </c>
      <c r="B2481" s="107" t="s">
        <v>253</v>
      </c>
      <c r="C2481" s="107" t="s">
        <v>274</v>
      </c>
      <c r="D2481" s="107">
        <v>10</v>
      </c>
      <c r="E2481" s="107" t="s">
        <v>324</v>
      </c>
      <c r="F2481" s="107" t="s">
        <v>722</v>
      </c>
      <c r="G2481" s="107">
        <v>118</v>
      </c>
      <c r="H2481" s="107">
        <v>0</v>
      </c>
      <c r="I2481" s="107">
        <v>0</v>
      </c>
      <c r="J2481" s="107">
        <f t="shared" si="39"/>
        <v>11.8</v>
      </c>
      <c r="K2481" s="107">
        <v>4008</v>
      </c>
      <c r="L2481" s="107">
        <v>1810</v>
      </c>
      <c r="M2481" s="107">
        <v>537</v>
      </c>
      <c r="N2481" s="107"/>
      <c r="O2481" s="107"/>
    </row>
    <row r="2482" spans="1:15" x14ac:dyDescent="0.15">
      <c r="A2482" s="107">
        <v>1673</v>
      </c>
      <c r="B2482" s="107" t="s">
        <v>197</v>
      </c>
      <c r="C2482" s="107" t="s">
        <v>274</v>
      </c>
      <c r="D2482" s="107">
        <v>2665</v>
      </c>
      <c r="E2482" s="107" t="s">
        <v>193</v>
      </c>
      <c r="F2482" s="107" t="s">
        <v>722</v>
      </c>
      <c r="G2482" s="107">
        <v>66</v>
      </c>
      <c r="H2482" s="107">
        <v>12</v>
      </c>
      <c r="I2482" s="107">
        <v>8</v>
      </c>
      <c r="J2482" s="107">
        <f t="shared" si="39"/>
        <v>2.5000000000000001E-2</v>
      </c>
      <c r="K2482" s="107">
        <v>4010</v>
      </c>
      <c r="L2482" s="107">
        <v>1812</v>
      </c>
      <c r="M2482" s="107">
        <v>548</v>
      </c>
      <c r="N2482" s="107"/>
      <c r="O2482" s="107"/>
    </row>
    <row r="2483" spans="1:15" x14ac:dyDescent="0.15">
      <c r="A2483" s="107">
        <v>1676</v>
      </c>
      <c r="B2483" s="107" t="s">
        <v>197</v>
      </c>
      <c r="C2483" s="107" t="s">
        <v>274</v>
      </c>
      <c r="D2483" s="107">
        <v>1851.25</v>
      </c>
      <c r="E2483" s="107" t="s">
        <v>193</v>
      </c>
      <c r="F2483" s="107" t="s">
        <v>722</v>
      </c>
      <c r="G2483" s="107">
        <v>69</v>
      </c>
      <c r="H2483" s="107">
        <v>8</v>
      </c>
      <c r="I2483" s="107">
        <v>7</v>
      </c>
      <c r="J2483" s="107">
        <f t="shared" si="39"/>
        <v>3.7499999999999999E-2</v>
      </c>
      <c r="K2483" s="107">
        <v>4012</v>
      </c>
      <c r="L2483" s="107">
        <v>1814</v>
      </c>
      <c r="M2483" s="107">
        <v>426</v>
      </c>
      <c r="N2483" s="107"/>
      <c r="O2483" s="107"/>
    </row>
    <row r="2484" spans="1:15" x14ac:dyDescent="0.15">
      <c r="A2484" s="107">
        <v>1677</v>
      </c>
      <c r="B2484" s="107" t="s">
        <v>253</v>
      </c>
      <c r="C2484" s="107" t="s">
        <v>274</v>
      </c>
      <c r="D2484" s="107">
        <v>12</v>
      </c>
      <c r="E2484" s="107" t="s">
        <v>193</v>
      </c>
      <c r="F2484" s="107" t="s">
        <v>722</v>
      </c>
      <c r="G2484" s="107">
        <v>12</v>
      </c>
      <c r="H2484" s="107">
        <v>0</v>
      </c>
      <c r="I2484" s="107">
        <v>0</v>
      </c>
      <c r="J2484" s="107">
        <f t="shared" si="39"/>
        <v>1</v>
      </c>
      <c r="K2484" s="107">
        <v>4013</v>
      </c>
      <c r="L2484" s="107">
        <v>1816</v>
      </c>
      <c r="M2484" s="107">
        <v>782</v>
      </c>
      <c r="N2484" s="107"/>
      <c r="O2484" s="107"/>
    </row>
    <row r="2485" spans="1:15" x14ac:dyDescent="0.15">
      <c r="A2485" s="107">
        <v>1681</v>
      </c>
      <c r="B2485" s="107" t="s">
        <v>260</v>
      </c>
      <c r="C2485" s="107" t="s">
        <v>271</v>
      </c>
      <c r="D2485" s="107">
        <v>4860</v>
      </c>
      <c r="E2485" s="107" t="s">
        <v>193</v>
      </c>
      <c r="F2485" s="107" t="s">
        <v>722</v>
      </c>
      <c r="G2485" s="107">
        <v>174</v>
      </c>
      <c r="H2485" s="107">
        <v>19</v>
      </c>
      <c r="I2485" s="107">
        <v>3</v>
      </c>
      <c r="J2485" s="107">
        <f t="shared" si="39"/>
        <v>3.5999871399176951E-2</v>
      </c>
      <c r="K2485" s="107">
        <v>4017</v>
      </c>
      <c r="L2485" s="107">
        <v>1819</v>
      </c>
      <c r="M2485" s="107">
        <v>460</v>
      </c>
      <c r="N2485" s="107"/>
      <c r="O2485" s="107"/>
    </row>
    <row r="2486" spans="1:15" x14ac:dyDescent="0.15">
      <c r="A2486" s="107">
        <v>1683</v>
      </c>
      <c r="B2486" s="107" t="s">
        <v>253</v>
      </c>
      <c r="C2486" s="107" t="s">
        <v>271</v>
      </c>
      <c r="D2486" s="107">
        <v>5058</v>
      </c>
      <c r="E2486" s="107" t="s">
        <v>193</v>
      </c>
      <c r="F2486" s="107" t="s">
        <v>722</v>
      </c>
      <c r="G2486" s="107">
        <v>182</v>
      </c>
      <c r="H2486" s="107">
        <v>1</v>
      </c>
      <c r="I2486" s="107">
        <v>14</v>
      </c>
      <c r="J2486" s="107">
        <f t="shared" si="39"/>
        <v>3.6001136812969556E-2</v>
      </c>
      <c r="K2486" s="107">
        <v>4019</v>
      </c>
      <c r="L2486" s="107">
        <v>1822</v>
      </c>
      <c r="M2486" s="107">
        <v>616</v>
      </c>
      <c r="N2486" s="107"/>
      <c r="O2486" s="107"/>
    </row>
    <row r="2487" spans="1:15" x14ac:dyDescent="0.15">
      <c r="A2487" s="107">
        <v>1684</v>
      </c>
      <c r="B2487" s="107" t="s">
        <v>196</v>
      </c>
      <c r="C2487" s="107" t="s">
        <v>271</v>
      </c>
      <c r="D2487" s="107">
        <v>5267.75</v>
      </c>
      <c r="E2487" s="107" t="s">
        <v>193</v>
      </c>
      <c r="F2487" s="107" t="s">
        <v>722</v>
      </c>
      <c r="G2487" s="107">
        <v>189</v>
      </c>
      <c r="H2487" s="107">
        <v>12</v>
      </c>
      <c r="I2487" s="107">
        <v>4</v>
      </c>
      <c r="J2487" s="107">
        <f t="shared" si="39"/>
        <v>3.5994969389207911E-2</v>
      </c>
      <c r="K2487" s="107">
        <v>4021</v>
      </c>
      <c r="L2487" s="107">
        <v>1825</v>
      </c>
      <c r="M2487" s="107">
        <v>678</v>
      </c>
      <c r="N2487" s="107"/>
      <c r="O2487" s="107"/>
    </row>
    <row r="2488" spans="1:15" x14ac:dyDescent="0.15">
      <c r="A2488" s="107">
        <v>1674</v>
      </c>
      <c r="B2488" s="107" t="s">
        <v>196</v>
      </c>
      <c r="C2488" s="107" t="s">
        <v>274</v>
      </c>
      <c r="D2488" s="107">
        <v>405</v>
      </c>
      <c r="E2488" s="107" t="s">
        <v>193</v>
      </c>
      <c r="F2488" s="107" t="s">
        <v>723</v>
      </c>
      <c r="G2488" s="107">
        <v>15</v>
      </c>
      <c r="H2488" s="107">
        <v>3</v>
      </c>
      <c r="I2488" s="107">
        <v>12</v>
      </c>
      <c r="J2488" s="107">
        <f t="shared" si="39"/>
        <v>3.7499999999999999E-2</v>
      </c>
      <c r="K2488" s="107">
        <v>4011</v>
      </c>
      <c r="L2488" s="107">
        <v>1814</v>
      </c>
      <c r="M2488" s="107">
        <v>600</v>
      </c>
      <c r="N2488" s="107" t="s">
        <v>294</v>
      </c>
      <c r="O2488" s="107"/>
    </row>
    <row r="2489" spans="1:15" x14ac:dyDescent="0.15">
      <c r="A2489" s="107">
        <v>1674</v>
      </c>
      <c r="B2489" s="107" t="s">
        <v>196</v>
      </c>
      <c r="C2489" s="107" t="s">
        <v>274</v>
      </c>
      <c r="D2489" s="107">
        <v>2175</v>
      </c>
      <c r="E2489" s="107" t="s">
        <v>193</v>
      </c>
      <c r="F2489" s="107" t="s">
        <v>723</v>
      </c>
      <c r="G2489" s="107">
        <v>81</v>
      </c>
      <c r="H2489" s="107">
        <v>11</v>
      </c>
      <c r="I2489" s="107">
        <v>4</v>
      </c>
      <c r="J2489" s="107">
        <f t="shared" si="39"/>
        <v>3.7499999999999999E-2</v>
      </c>
      <c r="K2489" s="107">
        <v>4011</v>
      </c>
      <c r="L2489" s="107">
        <v>1814</v>
      </c>
      <c r="M2489" s="107">
        <v>603</v>
      </c>
      <c r="N2489" s="107" t="s">
        <v>380</v>
      </c>
      <c r="O2489" s="107"/>
    </row>
    <row r="2490" spans="1:15" x14ac:dyDescent="0.15">
      <c r="A2490" s="107">
        <v>1717</v>
      </c>
      <c r="B2490" s="107" t="s">
        <v>192</v>
      </c>
      <c r="C2490" s="107" t="s">
        <v>268</v>
      </c>
      <c r="D2490" s="25">
        <v>35</v>
      </c>
      <c r="E2490" s="107" t="s">
        <v>193</v>
      </c>
      <c r="F2490" s="107" t="s">
        <v>724</v>
      </c>
      <c r="G2490" s="107">
        <v>2</v>
      </c>
      <c r="H2490" s="107">
        <v>3</v>
      </c>
      <c r="I2490" s="107">
        <v>8</v>
      </c>
      <c r="J2490" s="107">
        <f t="shared" si="39"/>
        <v>6.2142857142857139E-2</v>
      </c>
      <c r="K2490" s="107">
        <v>5683</v>
      </c>
      <c r="L2490" s="107"/>
      <c r="M2490" s="107"/>
      <c r="N2490" s="107"/>
      <c r="O2490" s="107"/>
    </row>
    <row r="2491" spans="1:15" x14ac:dyDescent="0.15">
      <c r="A2491" s="107">
        <v>1653</v>
      </c>
      <c r="B2491" s="107" t="s">
        <v>197</v>
      </c>
      <c r="C2491" s="107" t="s">
        <v>274</v>
      </c>
      <c r="D2491" s="107">
        <v>0.5</v>
      </c>
      <c r="E2491" s="107" t="s">
        <v>324</v>
      </c>
      <c r="F2491" s="107" t="s">
        <v>194</v>
      </c>
      <c r="G2491" s="107">
        <v>5</v>
      </c>
      <c r="H2491" s="107">
        <v>0</v>
      </c>
      <c r="I2491" s="107">
        <v>0</v>
      </c>
      <c r="J2491" s="107">
        <f t="shared" si="39"/>
        <v>10</v>
      </c>
      <c r="K2491" s="107">
        <v>3989</v>
      </c>
      <c r="L2491" s="107">
        <v>1784</v>
      </c>
      <c r="M2491" s="107">
        <v>182</v>
      </c>
      <c r="N2491" s="107"/>
      <c r="O2491" s="107"/>
    </row>
    <row r="2492" spans="1:15" x14ac:dyDescent="0.15">
      <c r="A2492" s="107">
        <v>1655</v>
      </c>
      <c r="B2492" s="107" t="s">
        <v>236</v>
      </c>
      <c r="C2492" s="107" t="s">
        <v>274</v>
      </c>
      <c r="D2492" s="107">
        <v>5</v>
      </c>
      <c r="E2492" s="107" t="s">
        <v>324</v>
      </c>
      <c r="F2492" s="107" t="s">
        <v>194</v>
      </c>
      <c r="G2492" s="107">
        <v>480</v>
      </c>
      <c r="H2492" s="107">
        <v>0</v>
      </c>
      <c r="I2492" s="107">
        <v>0</v>
      </c>
      <c r="J2492" s="107">
        <f t="shared" si="39"/>
        <v>96</v>
      </c>
      <c r="K2492" s="107">
        <v>3990</v>
      </c>
      <c r="L2492" s="107">
        <v>1788</v>
      </c>
      <c r="M2492" s="107">
        <v>204</v>
      </c>
      <c r="N2492" s="107" t="s">
        <v>286</v>
      </c>
      <c r="O2492" s="107"/>
    </row>
    <row r="2493" spans="1:15" x14ac:dyDescent="0.15">
      <c r="A2493" s="107">
        <v>1655</v>
      </c>
      <c r="B2493" s="107" t="s">
        <v>196</v>
      </c>
      <c r="C2493" s="107" t="s">
        <v>274</v>
      </c>
      <c r="D2493" s="107">
        <v>1</v>
      </c>
      <c r="E2493" s="107" t="s">
        <v>324</v>
      </c>
      <c r="F2493" s="107" t="s">
        <v>194</v>
      </c>
      <c r="G2493" s="107">
        <v>120</v>
      </c>
      <c r="H2493" s="107">
        <v>0</v>
      </c>
      <c r="I2493" s="107">
        <v>0</v>
      </c>
      <c r="J2493" s="107">
        <f t="shared" si="39"/>
        <v>120</v>
      </c>
      <c r="K2493" s="107">
        <v>3990</v>
      </c>
      <c r="L2493" s="107">
        <v>1788</v>
      </c>
      <c r="M2493" s="107">
        <v>206</v>
      </c>
      <c r="N2493" s="107" t="s">
        <v>288</v>
      </c>
      <c r="O2493" s="107" t="s">
        <v>277</v>
      </c>
    </row>
    <row r="2494" spans="1:15" x14ac:dyDescent="0.15">
      <c r="A2494" s="107">
        <v>1655</v>
      </c>
      <c r="B2494" s="107" t="s">
        <v>247</v>
      </c>
      <c r="C2494" s="107" t="s">
        <v>274</v>
      </c>
      <c r="D2494" s="107">
        <v>1</v>
      </c>
      <c r="E2494" s="107" t="s">
        <v>324</v>
      </c>
      <c r="F2494" s="107" t="s">
        <v>194</v>
      </c>
      <c r="G2494" s="107">
        <v>120</v>
      </c>
      <c r="H2494" s="107">
        <v>0</v>
      </c>
      <c r="I2494" s="107">
        <v>0</v>
      </c>
      <c r="J2494" s="107">
        <f t="shared" si="39"/>
        <v>120</v>
      </c>
      <c r="K2494" s="107">
        <v>3990</v>
      </c>
      <c r="L2494" s="107">
        <v>1788</v>
      </c>
      <c r="M2494" s="107">
        <v>207</v>
      </c>
      <c r="N2494" s="107" t="s">
        <v>276</v>
      </c>
      <c r="O2494" s="107" t="s">
        <v>277</v>
      </c>
    </row>
    <row r="2495" spans="1:15" x14ac:dyDescent="0.15">
      <c r="A2495" s="107">
        <v>1655</v>
      </c>
      <c r="B2495" s="107" t="s">
        <v>260</v>
      </c>
      <c r="C2495" s="107" t="s">
        <v>274</v>
      </c>
      <c r="D2495" s="107">
        <v>1</v>
      </c>
      <c r="E2495" s="107" t="s">
        <v>324</v>
      </c>
      <c r="F2495" s="107" t="s">
        <v>194</v>
      </c>
      <c r="G2495" s="107">
        <v>120</v>
      </c>
      <c r="H2495" s="107">
        <v>0</v>
      </c>
      <c r="I2495" s="107">
        <v>0</v>
      </c>
      <c r="J2495" s="107">
        <f t="shared" si="39"/>
        <v>120</v>
      </c>
      <c r="K2495" s="107">
        <v>3990</v>
      </c>
      <c r="L2495" s="107">
        <v>1788</v>
      </c>
      <c r="M2495" s="107">
        <v>210</v>
      </c>
      <c r="N2495" s="107" t="s">
        <v>281</v>
      </c>
      <c r="O2495" s="107" t="s">
        <v>282</v>
      </c>
    </row>
    <row r="2496" spans="1:15" x14ac:dyDescent="0.15">
      <c r="A2496" s="107">
        <v>1655</v>
      </c>
      <c r="B2496" s="107" t="s">
        <v>192</v>
      </c>
      <c r="C2496" s="107" t="s">
        <v>274</v>
      </c>
      <c r="D2496" s="107">
        <v>1</v>
      </c>
      <c r="E2496" s="107" t="s">
        <v>324</v>
      </c>
      <c r="F2496" s="107" t="s">
        <v>194</v>
      </c>
      <c r="G2496" s="107">
        <v>120</v>
      </c>
      <c r="H2496" s="107">
        <v>0</v>
      </c>
      <c r="I2496" s="107">
        <v>0</v>
      </c>
      <c r="J2496" s="107">
        <f t="shared" si="39"/>
        <v>120</v>
      </c>
      <c r="K2496" s="107">
        <v>3990</v>
      </c>
      <c r="L2496" s="107">
        <v>1788</v>
      </c>
      <c r="M2496" s="107">
        <v>227</v>
      </c>
      <c r="N2496" s="107" t="s">
        <v>287</v>
      </c>
      <c r="O2496" s="107" t="s">
        <v>507</v>
      </c>
    </row>
    <row r="2497" spans="1:13" x14ac:dyDescent="0.15">
      <c r="A2497" s="107">
        <v>1655</v>
      </c>
      <c r="B2497" s="107" t="s">
        <v>197</v>
      </c>
      <c r="C2497" s="107" t="s">
        <v>274</v>
      </c>
      <c r="D2497" s="107">
        <v>17</v>
      </c>
      <c r="E2497" s="107" t="s">
        <v>324</v>
      </c>
      <c r="F2497" s="107" t="s">
        <v>194</v>
      </c>
      <c r="G2497" s="107">
        <v>960</v>
      </c>
      <c r="H2497" s="107">
        <v>0</v>
      </c>
      <c r="I2497" s="107">
        <v>0</v>
      </c>
      <c r="J2497" s="107">
        <f t="shared" si="39"/>
        <v>56.470588235294116</v>
      </c>
      <c r="K2497" s="107">
        <v>3990</v>
      </c>
      <c r="L2497" s="107">
        <v>1788</v>
      </c>
      <c r="M2497" s="107">
        <v>149</v>
      </c>
    </row>
    <row r="2498" spans="1:13" x14ac:dyDescent="0.15">
      <c r="A2498" s="107">
        <v>1656</v>
      </c>
      <c r="B2498" s="107" t="s">
        <v>244</v>
      </c>
      <c r="C2498" s="107" t="s">
        <v>274</v>
      </c>
      <c r="D2498" s="107">
        <v>42</v>
      </c>
      <c r="E2498" s="107" t="s">
        <v>193</v>
      </c>
      <c r="F2498" s="107" t="s">
        <v>194</v>
      </c>
      <c r="G2498" s="107">
        <v>12</v>
      </c>
      <c r="H2498" s="107">
        <v>12</v>
      </c>
      <c r="I2498" s="107">
        <v>0</v>
      </c>
      <c r="J2498" s="107">
        <f t="shared" si="39"/>
        <v>0.3</v>
      </c>
      <c r="K2498" s="107">
        <v>3991</v>
      </c>
      <c r="L2498" s="107">
        <v>1788</v>
      </c>
      <c r="M2498" s="107">
        <v>162</v>
      </c>
    </row>
    <row r="2499" spans="1:13" x14ac:dyDescent="0.15">
      <c r="A2499" s="107">
        <v>1657</v>
      </c>
      <c r="B2499" s="107" t="s">
        <v>253</v>
      </c>
      <c r="C2499" s="107" t="s">
        <v>274</v>
      </c>
      <c r="D2499" s="107">
        <v>10</v>
      </c>
      <c r="E2499" s="107" t="s">
        <v>193</v>
      </c>
      <c r="F2499" s="107" t="s">
        <v>194</v>
      </c>
      <c r="G2499" s="107">
        <v>3</v>
      </c>
      <c r="H2499" s="107">
        <v>0</v>
      </c>
      <c r="I2499" s="107">
        <v>0</v>
      </c>
      <c r="J2499" s="107">
        <f t="shared" si="39"/>
        <v>0.3</v>
      </c>
      <c r="K2499" s="107">
        <v>3992</v>
      </c>
      <c r="L2499" s="107">
        <v>1789</v>
      </c>
      <c r="M2499" s="107">
        <v>238</v>
      </c>
    </row>
    <row r="2500" spans="1:13" x14ac:dyDescent="0.15">
      <c r="A2500" s="107">
        <v>1658</v>
      </c>
      <c r="B2500" s="107" t="s">
        <v>253</v>
      </c>
      <c r="C2500" s="107" t="s">
        <v>274</v>
      </c>
      <c r="D2500" s="107">
        <v>1</v>
      </c>
      <c r="E2500" s="107" t="s">
        <v>351</v>
      </c>
      <c r="F2500" s="107" t="s">
        <v>194</v>
      </c>
      <c r="G2500" s="107">
        <v>90</v>
      </c>
      <c r="H2500" s="107">
        <v>0</v>
      </c>
      <c r="I2500" s="107">
        <v>0</v>
      </c>
      <c r="J2500" s="107">
        <f t="shared" si="39"/>
        <v>90</v>
      </c>
      <c r="K2500" s="107">
        <v>3993</v>
      </c>
      <c r="L2500" s="107">
        <v>1791</v>
      </c>
      <c r="M2500" s="107">
        <v>438</v>
      </c>
    </row>
    <row r="2501" spans="1:13" x14ac:dyDescent="0.15">
      <c r="A2501" s="107">
        <v>1660</v>
      </c>
      <c r="B2501" s="107" t="s">
        <v>186</v>
      </c>
      <c r="C2501" s="107" t="s">
        <v>274</v>
      </c>
      <c r="D2501" s="107">
        <v>1613</v>
      </c>
      <c r="E2501" s="107" t="s">
        <v>193</v>
      </c>
      <c r="F2501" s="107" t="s">
        <v>194</v>
      </c>
      <c r="G2501" s="107">
        <v>483</v>
      </c>
      <c r="H2501" s="107">
        <v>18</v>
      </c>
      <c r="I2501" s="107">
        <v>0</v>
      </c>
      <c r="J2501" s="107">
        <f t="shared" si="39"/>
        <v>0.3</v>
      </c>
      <c r="K2501" s="107">
        <v>3995</v>
      </c>
      <c r="L2501" s="107">
        <v>1793</v>
      </c>
      <c r="M2501" s="107">
        <v>232</v>
      </c>
    </row>
    <row r="2502" spans="1:13" x14ac:dyDescent="0.15">
      <c r="A2502" s="107">
        <v>1661</v>
      </c>
      <c r="B2502" s="107" t="s">
        <v>260</v>
      </c>
      <c r="C2502" s="107" t="s">
        <v>274</v>
      </c>
      <c r="D2502" s="107">
        <v>52</v>
      </c>
      <c r="E2502" s="107" t="s">
        <v>193</v>
      </c>
      <c r="F2502" s="107" t="s">
        <v>194</v>
      </c>
      <c r="G2502" s="107">
        <v>15</v>
      </c>
      <c r="H2502" s="107">
        <v>12</v>
      </c>
      <c r="I2502" s="107">
        <v>0</v>
      </c>
      <c r="J2502" s="107">
        <f t="shared" si="39"/>
        <v>0.3</v>
      </c>
      <c r="K2502" s="107">
        <v>3996</v>
      </c>
      <c r="L2502" s="107">
        <v>1794</v>
      </c>
      <c r="M2502" s="107" t="s">
        <v>290</v>
      </c>
    </row>
    <row r="2503" spans="1:13" x14ac:dyDescent="0.15">
      <c r="A2503" s="107">
        <v>1662</v>
      </c>
      <c r="B2503" s="107" t="s">
        <v>261</v>
      </c>
      <c r="C2503" s="107" t="s">
        <v>274</v>
      </c>
      <c r="D2503" s="107">
        <v>30</v>
      </c>
      <c r="E2503" s="107" t="s">
        <v>193</v>
      </c>
      <c r="F2503" s="107" t="s">
        <v>194</v>
      </c>
      <c r="G2503" s="107">
        <v>9</v>
      </c>
      <c r="H2503" s="107">
        <v>0</v>
      </c>
      <c r="I2503" s="107">
        <v>0</v>
      </c>
      <c r="J2503" s="107">
        <f t="shared" si="39"/>
        <v>0.3</v>
      </c>
      <c r="K2503" s="107">
        <v>3997</v>
      </c>
      <c r="L2503" s="107">
        <v>1795</v>
      </c>
      <c r="M2503" s="107" t="s">
        <v>290</v>
      </c>
    </row>
    <row r="2504" spans="1:13" x14ac:dyDescent="0.15">
      <c r="A2504" s="107">
        <v>1663</v>
      </c>
      <c r="B2504" s="107" t="s">
        <v>197</v>
      </c>
      <c r="C2504" s="107" t="s">
        <v>274</v>
      </c>
      <c r="D2504" s="107">
        <v>130</v>
      </c>
      <c r="E2504" s="107" t="s">
        <v>324</v>
      </c>
      <c r="F2504" s="107" t="s">
        <v>194</v>
      </c>
      <c r="G2504" s="107">
        <v>15600</v>
      </c>
      <c r="H2504" s="107">
        <v>0</v>
      </c>
      <c r="I2504" s="107">
        <v>0</v>
      </c>
      <c r="J2504" s="107">
        <f t="shared" si="39"/>
        <v>120</v>
      </c>
      <c r="K2504" s="107">
        <v>3998</v>
      </c>
      <c r="L2504" s="107">
        <v>1797</v>
      </c>
      <c r="M2504" s="107" t="s">
        <v>290</v>
      </c>
    </row>
    <row r="2505" spans="1:13" x14ac:dyDescent="0.15">
      <c r="A2505" s="107">
        <v>1665</v>
      </c>
      <c r="B2505" s="107" t="s">
        <v>244</v>
      </c>
      <c r="C2505" s="107" t="s">
        <v>274</v>
      </c>
      <c r="D2505" s="107">
        <v>22</v>
      </c>
      <c r="E2505" s="107" t="s">
        <v>193</v>
      </c>
      <c r="F2505" s="107" t="s">
        <v>194</v>
      </c>
      <c r="G2505" s="107">
        <v>6</v>
      </c>
      <c r="H2505" s="107">
        <v>12</v>
      </c>
      <c r="I2505" s="107">
        <v>0</v>
      </c>
      <c r="J2505" s="107">
        <f t="shared" si="39"/>
        <v>0.3</v>
      </c>
      <c r="K2505" s="107">
        <v>4000</v>
      </c>
      <c r="L2505" s="107">
        <v>1798</v>
      </c>
      <c r="M2505" s="107">
        <v>104</v>
      </c>
    </row>
    <row r="2506" spans="1:13" x14ac:dyDescent="0.15">
      <c r="A2506" s="107">
        <v>1666</v>
      </c>
      <c r="B2506" s="107" t="s">
        <v>197</v>
      </c>
      <c r="C2506" s="107" t="s">
        <v>274</v>
      </c>
      <c r="D2506" s="107">
        <v>12</v>
      </c>
      <c r="E2506" s="107" t="s">
        <v>324</v>
      </c>
      <c r="F2506" s="107" t="s">
        <v>194</v>
      </c>
      <c r="G2506" s="107">
        <v>1080</v>
      </c>
      <c r="H2506" s="107">
        <v>0</v>
      </c>
      <c r="I2506" s="107">
        <v>0</v>
      </c>
      <c r="J2506" s="107">
        <f t="shared" si="39"/>
        <v>90</v>
      </c>
      <c r="K2506" s="107">
        <v>4001</v>
      </c>
      <c r="L2506" s="107">
        <v>1800</v>
      </c>
      <c r="M2506" s="107">
        <v>40</v>
      </c>
    </row>
    <row r="2507" spans="1:13" x14ac:dyDescent="0.15">
      <c r="A2507" s="107">
        <v>1667</v>
      </c>
      <c r="B2507" s="107" t="s">
        <v>197</v>
      </c>
      <c r="C2507" s="107" t="s">
        <v>274</v>
      </c>
      <c r="D2507" s="107">
        <v>3.1666666666666665</v>
      </c>
      <c r="E2507" s="107" t="s">
        <v>324</v>
      </c>
      <c r="F2507" s="107" t="s">
        <v>194</v>
      </c>
      <c r="G2507" s="107">
        <v>285</v>
      </c>
      <c r="H2507" s="107">
        <v>0</v>
      </c>
      <c r="I2507" s="107">
        <v>0</v>
      </c>
      <c r="J2507" s="107">
        <f t="shared" si="39"/>
        <v>90</v>
      </c>
      <c r="K2507" s="107">
        <v>4002</v>
      </c>
      <c r="L2507" s="107">
        <v>1802</v>
      </c>
      <c r="M2507" s="107">
        <v>760</v>
      </c>
    </row>
    <row r="2508" spans="1:13" x14ac:dyDescent="0.15">
      <c r="A2508" s="107">
        <v>1668</v>
      </c>
      <c r="B2508" s="107" t="s">
        <v>197</v>
      </c>
      <c r="C2508" s="107" t="s">
        <v>274</v>
      </c>
      <c r="D2508" s="107">
        <v>1206</v>
      </c>
      <c r="E2508" s="107" t="s">
        <v>193</v>
      </c>
      <c r="F2508" s="107" t="s">
        <v>194</v>
      </c>
      <c r="G2508" s="107">
        <v>361</v>
      </c>
      <c r="H2508" s="107">
        <v>16</v>
      </c>
      <c r="I2508" s="107">
        <v>0</v>
      </c>
      <c r="J2508" s="107">
        <f t="shared" si="39"/>
        <v>0.3</v>
      </c>
      <c r="K2508" s="107">
        <v>4003</v>
      </c>
      <c r="L2508" s="107">
        <v>1802</v>
      </c>
      <c r="M2508" s="107">
        <v>42</v>
      </c>
    </row>
    <row r="2509" spans="1:13" x14ac:dyDescent="0.15">
      <c r="A2509" s="107">
        <v>1669</v>
      </c>
      <c r="B2509" s="107" t="s">
        <v>196</v>
      </c>
      <c r="C2509" s="107" t="s">
        <v>274</v>
      </c>
      <c r="D2509" s="107">
        <v>100</v>
      </c>
      <c r="E2509" s="107" t="s">
        <v>193</v>
      </c>
      <c r="F2509" s="107" t="s">
        <v>194</v>
      </c>
      <c r="G2509" s="107">
        <v>30</v>
      </c>
      <c r="H2509" s="107">
        <v>0</v>
      </c>
      <c r="I2509" s="107">
        <v>0</v>
      </c>
      <c r="J2509" s="107">
        <f t="shared" si="39"/>
        <v>0.3</v>
      </c>
      <c r="K2509" s="107">
        <v>4004</v>
      </c>
      <c r="L2509" s="107">
        <v>1805</v>
      </c>
      <c r="M2509" s="107">
        <v>570</v>
      </c>
    </row>
    <row r="2510" spans="1:13" x14ac:dyDescent="0.15">
      <c r="A2510" s="107">
        <v>1670</v>
      </c>
      <c r="B2510" s="107" t="s">
        <v>197</v>
      </c>
      <c r="C2510" s="107" t="s">
        <v>274</v>
      </c>
      <c r="D2510" s="107">
        <v>2</v>
      </c>
      <c r="E2510" s="107" t="s">
        <v>324</v>
      </c>
      <c r="F2510" s="107" t="s">
        <v>194</v>
      </c>
      <c r="G2510" s="107">
        <v>240</v>
      </c>
      <c r="H2510" s="107">
        <v>0</v>
      </c>
      <c r="I2510" s="107">
        <v>0</v>
      </c>
      <c r="J2510" s="107">
        <f t="shared" si="39"/>
        <v>120</v>
      </c>
      <c r="K2510" s="107">
        <v>4006</v>
      </c>
      <c r="L2510" s="107">
        <v>1808</v>
      </c>
      <c r="M2510" s="107">
        <v>635</v>
      </c>
    </row>
    <row r="2511" spans="1:13" x14ac:dyDescent="0.15">
      <c r="A2511" s="107">
        <v>1671</v>
      </c>
      <c r="B2511" s="107" t="s">
        <v>197</v>
      </c>
      <c r="C2511" s="107" t="s">
        <v>274</v>
      </c>
      <c r="D2511" s="107">
        <v>6</v>
      </c>
      <c r="E2511" s="107" t="s">
        <v>193</v>
      </c>
      <c r="F2511" s="107" t="s">
        <v>194</v>
      </c>
      <c r="G2511" s="107">
        <v>1</v>
      </c>
      <c r="H2511" s="107">
        <v>16</v>
      </c>
      <c r="I2511" s="107">
        <v>0</v>
      </c>
      <c r="J2511" s="107">
        <f t="shared" si="39"/>
        <v>0.3</v>
      </c>
      <c r="K2511" s="107">
        <v>4008</v>
      </c>
      <c r="L2511" s="107">
        <v>1810</v>
      </c>
      <c r="M2511" s="107">
        <v>412</v>
      </c>
    </row>
    <row r="2512" spans="1:13" x14ac:dyDescent="0.15">
      <c r="A2512" s="107">
        <v>1673</v>
      </c>
      <c r="B2512" s="107" t="s">
        <v>197</v>
      </c>
      <c r="C2512" s="107" t="s">
        <v>274</v>
      </c>
      <c r="D2512" s="107">
        <v>60</v>
      </c>
      <c r="E2512" s="107" t="s">
        <v>193</v>
      </c>
      <c r="F2512" s="107" t="s">
        <v>194</v>
      </c>
      <c r="G2512" s="107">
        <v>18</v>
      </c>
      <c r="H2512" s="107">
        <v>0</v>
      </c>
      <c r="I2512" s="107">
        <v>0</v>
      </c>
      <c r="J2512" s="107">
        <f t="shared" si="39"/>
        <v>0.3</v>
      </c>
      <c r="K2512" s="107">
        <v>4010</v>
      </c>
      <c r="L2512" s="107">
        <v>1812</v>
      </c>
      <c r="M2512" s="107">
        <v>548</v>
      </c>
    </row>
    <row r="2513" spans="1:14" x14ac:dyDescent="0.15">
      <c r="A2513" s="107">
        <v>1676</v>
      </c>
      <c r="B2513" s="107" t="s">
        <v>197</v>
      </c>
      <c r="C2513" s="107" t="s">
        <v>274</v>
      </c>
      <c r="D2513" s="107">
        <v>1297.5</v>
      </c>
      <c r="E2513" s="107" t="s">
        <v>193</v>
      </c>
      <c r="F2513" s="107" t="s">
        <v>194</v>
      </c>
      <c r="G2513" s="107">
        <v>64</v>
      </c>
      <c r="H2513" s="107">
        <v>17</v>
      </c>
      <c r="I2513" s="107">
        <v>8</v>
      </c>
      <c r="J2513" s="107">
        <f t="shared" si="39"/>
        <v>0.05</v>
      </c>
      <c r="K2513" s="107">
        <v>4012</v>
      </c>
      <c r="L2513" s="107">
        <v>1814</v>
      </c>
      <c r="M2513" s="107">
        <v>426</v>
      </c>
      <c r="N2513" s="107"/>
    </row>
    <row r="2514" spans="1:14" x14ac:dyDescent="0.15">
      <c r="A2514" s="107">
        <v>1677</v>
      </c>
      <c r="B2514" s="107" t="s">
        <v>197</v>
      </c>
      <c r="C2514" s="107" t="s">
        <v>274</v>
      </c>
      <c r="D2514" s="107">
        <v>4</v>
      </c>
      <c r="E2514" s="107" t="s">
        <v>324</v>
      </c>
      <c r="F2514" s="107" t="s">
        <v>194</v>
      </c>
      <c r="G2514" s="107">
        <v>480</v>
      </c>
      <c r="H2514" s="107">
        <v>0</v>
      </c>
      <c r="I2514" s="107">
        <v>0</v>
      </c>
      <c r="J2514" s="107">
        <f t="shared" si="39"/>
        <v>120</v>
      </c>
      <c r="K2514" s="107">
        <v>4013</v>
      </c>
      <c r="L2514" s="107">
        <v>1816</v>
      </c>
      <c r="M2514" s="107">
        <v>742</v>
      </c>
      <c r="N2514" s="107"/>
    </row>
    <row r="2515" spans="1:14" x14ac:dyDescent="0.15">
      <c r="A2515" s="107">
        <v>1681</v>
      </c>
      <c r="B2515" s="107" t="s">
        <v>197</v>
      </c>
      <c r="C2515" s="107" t="s">
        <v>271</v>
      </c>
      <c r="D2515" s="107">
        <v>2223</v>
      </c>
      <c r="E2515" s="107" t="s">
        <v>193</v>
      </c>
      <c r="F2515" s="107" t="s">
        <v>194</v>
      </c>
      <c r="G2515" s="107">
        <v>58</v>
      </c>
      <c r="H2515" s="107">
        <v>3</v>
      </c>
      <c r="I2515" s="107">
        <v>0</v>
      </c>
      <c r="J2515" s="107">
        <f t="shared" si="39"/>
        <v>2.6158344579397211E-2</v>
      </c>
      <c r="K2515" s="107">
        <v>4017</v>
      </c>
      <c r="L2515" s="107">
        <v>1819</v>
      </c>
      <c r="M2515" s="107">
        <v>425</v>
      </c>
      <c r="N2515" s="107"/>
    </row>
    <row r="2516" spans="1:14" x14ac:dyDescent="0.15">
      <c r="A2516" s="107">
        <v>1682</v>
      </c>
      <c r="B2516" s="107" t="s">
        <v>197</v>
      </c>
      <c r="C2516" s="107" t="s">
        <v>271</v>
      </c>
      <c r="D2516" s="107">
        <v>12</v>
      </c>
      <c r="E2516" s="107" t="s">
        <v>193</v>
      </c>
      <c r="F2516" s="107" t="s">
        <v>194</v>
      </c>
      <c r="G2516" s="107">
        <v>3</v>
      </c>
      <c r="H2516" s="107">
        <v>12</v>
      </c>
      <c r="I2516" s="107">
        <v>0</v>
      </c>
      <c r="J2516" s="107">
        <f t="shared" si="39"/>
        <v>0.3</v>
      </c>
      <c r="K2516" s="107">
        <v>4018</v>
      </c>
      <c r="L2516" s="107">
        <v>1820</v>
      </c>
      <c r="M2516" s="107">
        <v>756</v>
      </c>
      <c r="N2516" s="107" t="s">
        <v>294</v>
      </c>
    </row>
    <row r="2517" spans="1:14" x14ac:dyDescent="0.15">
      <c r="A2517" s="107">
        <v>1683</v>
      </c>
      <c r="B2517" s="107" t="s">
        <v>197</v>
      </c>
      <c r="C2517" s="107" t="s">
        <v>271</v>
      </c>
      <c r="D2517" s="107">
        <v>8</v>
      </c>
      <c r="E2517" s="107" t="s">
        <v>193</v>
      </c>
      <c r="F2517" s="107" t="s">
        <v>194</v>
      </c>
      <c r="G2517" s="107">
        <v>2</v>
      </c>
      <c r="H2517" s="107">
        <v>8</v>
      </c>
      <c r="I2517" s="107">
        <v>0</v>
      </c>
      <c r="J2517" s="107">
        <f t="shared" si="39"/>
        <v>0.3</v>
      </c>
      <c r="K2517" s="107">
        <v>4019</v>
      </c>
      <c r="L2517" s="107">
        <v>1822</v>
      </c>
      <c r="M2517" s="107">
        <v>600</v>
      </c>
      <c r="N2517" s="107"/>
    </row>
    <row r="2518" spans="1:14" x14ac:dyDescent="0.15">
      <c r="A2518" s="107">
        <v>1684</v>
      </c>
      <c r="B2518" s="107" t="s">
        <v>197</v>
      </c>
      <c r="C2518" s="107" t="s">
        <v>271</v>
      </c>
      <c r="D2518" s="107">
        <v>12</v>
      </c>
      <c r="E2518" s="107" t="s">
        <v>193</v>
      </c>
      <c r="F2518" s="107" t="s">
        <v>194</v>
      </c>
      <c r="G2518" s="107">
        <v>3</v>
      </c>
      <c r="H2518" s="107">
        <v>12</v>
      </c>
      <c r="I2518" s="107">
        <v>0</v>
      </c>
      <c r="J2518" s="107">
        <f t="shared" si="39"/>
        <v>0.3</v>
      </c>
      <c r="K2518" s="107">
        <v>4021</v>
      </c>
      <c r="L2518" s="107">
        <v>1825</v>
      </c>
      <c r="M2518" s="107">
        <v>666</v>
      </c>
      <c r="N2518" s="107"/>
    </row>
    <row r="2519" spans="1:14" x14ac:dyDescent="0.15">
      <c r="A2519" s="107">
        <v>1685</v>
      </c>
      <c r="B2519" s="107" t="s">
        <v>196</v>
      </c>
      <c r="C2519" s="107" t="s">
        <v>271</v>
      </c>
      <c r="D2519" s="107">
        <v>1</v>
      </c>
      <c r="E2519" s="107" t="s">
        <v>351</v>
      </c>
      <c r="F2519" s="107" t="s">
        <v>194</v>
      </c>
      <c r="G2519" s="107">
        <v>120</v>
      </c>
      <c r="H2519" s="107">
        <v>0</v>
      </c>
      <c r="I2519" s="107">
        <v>0</v>
      </c>
      <c r="J2519" s="107">
        <f t="shared" si="39"/>
        <v>120</v>
      </c>
      <c r="K2519" s="107">
        <v>4022</v>
      </c>
      <c r="L2519" s="107">
        <v>1827</v>
      </c>
      <c r="M2519" s="107">
        <v>601</v>
      </c>
      <c r="N2519" s="107"/>
    </row>
    <row r="2520" spans="1:14" x14ac:dyDescent="0.15">
      <c r="A2520" s="107">
        <v>1688</v>
      </c>
      <c r="B2520" s="107" t="s">
        <v>260</v>
      </c>
      <c r="C2520" s="107" t="s">
        <v>271</v>
      </c>
      <c r="D2520" s="107">
        <v>1</v>
      </c>
      <c r="E2520" s="107" t="s">
        <v>324</v>
      </c>
      <c r="F2520" s="107" t="s">
        <v>194</v>
      </c>
      <c r="G2520" s="107">
        <v>120</v>
      </c>
      <c r="H2520" s="107">
        <v>0</v>
      </c>
      <c r="I2520" s="107">
        <v>0</v>
      </c>
      <c r="J2520" s="107">
        <f t="shared" si="39"/>
        <v>120</v>
      </c>
      <c r="K2520" s="107">
        <v>4025</v>
      </c>
      <c r="L2520" s="107">
        <v>1831</v>
      </c>
      <c r="M2520" s="107">
        <v>579</v>
      </c>
      <c r="N2520" s="107"/>
    </row>
    <row r="2521" spans="1:14" x14ac:dyDescent="0.15">
      <c r="A2521" s="107">
        <v>1690</v>
      </c>
      <c r="B2521" s="107" t="s">
        <v>247</v>
      </c>
      <c r="C2521" s="107" t="s">
        <v>271</v>
      </c>
      <c r="D2521" s="107">
        <v>2</v>
      </c>
      <c r="E2521" s="107" t="s">
        <v>324</v>
      </c>
      <c r="F2521" s="107" t="s">
        <v>194</v>
      </c>
      <c r="G2521" s="107">
        <v>220</v>
      </c>
      <c r="H2521" s="107">
        <v>0</v>
      </c>
      <c r="I2521" s="107">
        <v>0</v>
      </c>
      <c r="J2521" s="107">
        <f t="shared" si="39"/>
        <v>110</v>
      </c>
      <c r="K2521" s="107">
        <v>4028</v>
      </c>
      <c r="L2521" s="107">
        <v>1834</v>
      </c>
      <c r="M2521" s="107">
        <v>398</v>
      </c>
      <c r="N2521" s="107"/>
    </row>
    <row r="2522" spans="1:14" x14ac:dyDescent="0.15">
      <c r="A2522" s="107">
        <v>1691</v>
      </c>
      <c r="B2522" s="107" t="s">
        <v>244</v>
      </c>
      <c r="C2522" s="107" t="s">
        <v>271</v>
      </c>
      <c r="D2522" s="107">
        <v>2</v>
      </c>
      <c r="E2522" s="107" t="s">
        <v>324</v>
      </c>
      <c r="F2522" s="107" t="s">
        <v>194</v>
      </c>
      <c r="G2522" s="107">
        <v>309</v>
      </c>
      <c r="H2522" s="107">
        <v>0</v>
      </c>
      <c r="I2522" s="107">
        <v>0</v>
      </c>
      <c r="J2522" s="107">
        <f t="shared" si="39"/>
        <v>154.5</v>
      </c>
      <c r="K2522" s="107">
        <v>4028</v>
      </c>
      <c r="L2522" s="107">
        <v>1834</v>
      </c>
      <c r="M2522" s="107">
        <v>379</v>
      </c>
      <c r="N2522" s="107"/>
    </row>
    <row r="2523" spans="1:14" x14ac:dyDescent="0.15">
      <c r="A2523" s="107">
        <v>1692</v>
      </c>
      <c r="B2523" s="107" t="s">
        <v>200</v>
      </c>
      <c r="C2523" s="107" t="s">
        <v>271</v>
      </c>
      <c r="D2523" s="107">
        <v>12</v>
      </c>
      <c r="E2523" s="107" t="s">
        <v>193</v>
      </c>
      <c r="F2523" s="107" t="s">
        <v>194</v>
      </c>
      <c r="G2523" s="107">
        <v>5</v>
      </c>
      <c r="H2523" s="107">
        <v>2</v>
      </c>
      <c r="I2523" s="107">
        <v>0</v>
      </c>
      <c r="J2523" s="107">
        <f t="shared" si="39"/>
        <v>0.42499999999999999</v>
      </c>
      <c r="K2523" s="107">
        <v>4030</v>
      </c>
      <c r="L2523" s="107">
        <v>1836</v>
      </c>
      <c r="M2523" s="107">
        <v>240</v>
      </c>
      <c r="N2523" s="107"/>
    </row>
    <row r="2524" spans="1:14" x14ac:dyDescent="0.15">
      <c r="A2524" s="107">
        <v>1693</v>
      </c>
      <c r="B2524" s="107" t="s">
        <v>261</v>
      </c>
      <c r="C2524" s="107" t="s">
        <v>271</v>
      </c>
      <c r="D2524" s="107">
        <v>850</v>
      </c>
      <c r="E2524" s="107" t="s">
        <v>193</v>
      </c>
      <c r="F2524" s="107" t="s">
        <v>194</v>
      </c>
      <c r="G2524" s="107">
        <v>340</v>
      </c>
      <c r="H2524" s="107">
        <v>0</v>
      </c>
      <c r="I2524" s="107">
        <v>0</v>
      </c>
      <c r="J2524" s="107">
        <f t="shared" si="39"/>
        <v>0.4</v>
      </c>
      <c r="K2524" s="107">
        <v>4032</v>
      </c>
      <c r="L2524" s="107">
        <v>1839</v>
      </c>
      <c r="M2524" s="107">
        <v>260</v>
      </c>
      <c r="N2524" s="107"/>
    </row>
    <row r="2525" spans="1:14" x14ac:dyDescent="0.15">
      <c r="A2525" s="107">
        <v>1695</v>
      </c>
      <c r="B2525" s="107" t="s">
        <v>197</v>
      </c>
      <c r="C2525" s="107" t="s">
        <v>271</v>
      </c>
      <c r="D2525" s="107">
        <v>2</v>
      </c>
      <c r="E2525" s="107" t="s">
        <v>324</v>
      </c>
      <c r="F2525" s="107" t="s">
        <v>194</v>
      </c>
      <c r="G2525" s="107">
        <v>312</v>
      </c>
      <c r="H2525" s="107">
        <v>0</v>
      </c>
      <c r="I2525" s="107">
        <v>0</v>
      </c>
      <c r="J2525" s="107">
        <f t="shared" si="39"/>
        <v>156</v>
      </c>
      <c r="K2525" s="107">
        <v>4035</v>
      </c>
      <c r="L2525" s="107">
        <v>1841</v>
      </c>
      <c r="M2525" s="107">
        <v>65</v>
      </c>
      <c r="N2525" s="107"/>
    </row>
    <row r="2526" spans="1:14" x14ac:dyDescent="0.15">
      <c r="A2526" s="107">
        <v>1696</v>
      </c>
      <c r="B2526" s="107" t="s">
        <v>226</v>
      </c>
      <c r="C2526" s="107" t="s">
        <v>271</v>
      </c>
      <c r="D2526" s="107">
        <v>1</v>
      </c>
      <c r="E2526" s="107" t="s">
        <v>351</v>
      </c>
      <c r="F2526" s="107" t="s">
        <v>194</v>
      </c>
      <c r="G2526" s="107">
        <v>160</v>
      </c>
      <c r="H2526" s="107">
        <v>0</v>
      </c>
      <c r="I2526" s="107">
        <v>0</v>
      </c>
      <c r="J2526" s="107">
        <f t="shared" si="39"/>
        <v>160</v>
      </c>
      <c r="K2526" s="107">
        <v>4037</v>
      </c>
      <c r="L2526" s="107">
        <v>1844</v>
      </c>
      <c r="M2526" s="107">
        <v>1392</v>
      </c>
      <c r="N2526" s="107"/>
    </row>
    <row r="2527" spans="1:14" x14ac:dyDescent="0.15">
      <c r="A2527" s="107">
        <v>1697</v>
      </c>
      <c r="B2527" s="107" t="s">
        <v>197</v>
      </c>
      <c r="C2527" s="107" t="s">
        <v>271</v>
      </c>
      <c r="D2527" s="107">
        <v>120</v>
      </c>
      <c r="E2527" s="107" t="s">
        <v>193</v>
      </c>
      <c r="F2527" s="107" t="s">
        <v>194</v>
      </c>
      <c r="G2527" s="107">
        <v>48</v>
      </c>
      <c r="H2527" s="107">
        <v>0</v>
      </c>
      <c r="I2527" s="107">
        <v>0</v>
      </c>
      <c r="J2527" s="107">
        <f t="shared" si="39"/>
        <v>0.4</v>
      </c>
      <c r="K2527" s="107">
        <v>4038</v>
      </c>
      <c r="L2527" s="107">
        <v>1846</v>
      </c>
      <c r="M2527" s="107">
        <v>717</v>
      </c>
      <c r="N2527" s="107" t="s">
        <v>273</v>
      </c>
    </row>
    <row r="2528" spans="1:14" x14ac:dyDescent="0.15">
      <c r="A2528" s="107">
        <v>1698</v>
      </c>
      <c r="B2528" s="107" t="s">
        <v>200</v>
      </c>
      <c r="C2528" s="107" t="s">
        <v>271</v>
      </c>
      <c r="D2528" s="107">
        <v>21</v>
      </c>
      <c r="E2528" s="107" t="s">
        <v>193</v>
      </c>
      <c r="F2528" s="107" t="s">
        <v>194</v>
      </c>
      <c r="G2528" s="107">
        <v>8</v>
      </c>
      <c r="H2528" s="107">
        <v>8</v>
      </c>
      <c r="I2528" s="107">
        <v>0</v>
      </c>
      <c r="J2528" s="107">
        <f t="shared" si="39"/>
        <v>0.4</v>
      </c>
      <c r="K2528" s="107">
        <v>4043</v>
      </c>
      <c r="L2528" s="107">
        <v>1851</v>
      </c>
      <c r="M2528" s="107">
        <v>829</v>
      </c>
      <c r="N2528" s="107"/>
    </row>
    <row r="2529" spans="1:13" x14ac:dyDescent="0.15">
      <c r="A2529" s="107">
        <v>1702</v>
      </c>
      <c r="B2529" s="107" t="s">
        <v>244</v>
      </c>
      <c r="C2529" s="107" t="s">
        <v>271</v>
      </c>
      <c r="D2529" s="107">
        <v>2396</v>
      </c>
      <c r="E2529" s="107" t="s">
        <v>193</v>
      </c>
      <c r="F2529" s="107" t="s">
        <v>194</v>
      </c>
      <c r="G2529" s="107">
        <v>358</v>
      </c>
      <c r="H2529" s="107">
        <v>15</v>
      </c>
      <c r="I2529" s="107">
        <v>0</v>
      </c>
      <c r="J2529" s="107">
        <f t="shared" si="39"/>
        <v>0.14972871452420702</v>
      </c>
      <c r="K2529" s="107">
        <v>4049</v>
      </c>
      <c r="L2529" s="107">
        <v>1856</v>
      </c>
      <c r="M2529" s="107">
        <v>497</v>
      </c>
    </row>
    <row r="2530" spans="1:13" x14ac:dyDescent="0.15">
      <c r="A2530" s="107">
        <v>1703</v>
      </c>
      <c r="B2530" s="107" t="s">
        <v>253</v>
      </c>
      <c r="C2530" s="107" t="s">
        <v>271</v>
      </c>
      <c r="D2530" s="107">
        <v>1554</v>
      </c>
      <c r="E2530" s="107" t="s">
        <v>193</v>
      </c>
      <c r="F2530" s="107" t="s">
        <v>194</v>
      </c>
      <c r="G2530" s="107">
        <v>212</v>
      </c>
      <c r="H2530" s="107">
        <v>16</v>
      </c>
      <c r="I2530" s="107">
        <v>10</v>
      </c>
      <c r="J2530" s="107">
        <f t="shared" si="39"/>
        <v>0.13695704633204633</v>
      </c>
      <c r="K2530" s="107">
        <v>4049</v>
      </c>
      <c r="L2530" s="107">
        <v>1856</v>
      </c>
      <c r="M2530" s="107">
        <v>537</v>
      </c>
    </row>
    <row r="2531" spans="1:13" x14ac:dyDescent="0.15">
      <c r="A2531" s="107">
        <v>1704</v>
      </c>
      <c r="B2531" s="107" t="s">
        <v>253</v>
      </c>
      <c r="C2531" s="107" t="s">
        <v>271</v>
      </c>
      <c r="D2531" s="107">
        <v>2276</v>
      </c>
      <c r="E2531" s="107" t="s">
        <v>193</v>
      </c>
      <c r="F2531" s="107" t="s">
        <v>194</v>
      </c>
      <c r="G2531" s="107">
        <v>355</v>
      </c>
      <c r="H2531" s="107">
        <v>12</v>
      </c>
      <c r="I2531" s="107">
        <v>8</v>
      </c>
      <c r="J2531" s="107">
        <f t="shared" si="39"/>
        <v>0.15625</v>
      </c>
      <c r="K2531" s="107">
        <v>4050</v>
      </c>
      <c r="L2531" s="107">
        <v>1858</v>
      </c>
      <c r="M2531" s="107">
        <v>502</v>
      </c>
    </row>
    <row r="2532" spans="1:13" x14ac:dyDescent="0.15">
      <c r="A2532" s="107">
        <v>1705</v>
      </c>
      <c r="B2532" s="107" t="s">
        <v>260</v>
      </c>
      <c r="C2532" s="107" t="s">
        <v>271</v>
      </c>
      <c r="D2532" s="107">
        <v>1612</v>
      </c>
      <c r="E2532" s="107" t="s">
        <v>193</v>
      </c>
      <c r="F2532" s="107" t="s">
        <v>194</v>
      </c>
      <c r="G2532" s="107">
        <v>251</v>
      </c>
      <c r="H2532" s="107">
        <v>17</v>
      </c>
      <c r="I2532" s="107">
        <v>8</v>
      </c>
      <c r="J2532" s="107">
        <f t="shared" si="39"/>
        <v>0.15625</v>
      </c>
      <c r="K2532" s="107">
        <v>4051</v>
      </c>
      <c r="L2532" s="107">
        <v>1860</v>
      </c>
      <c r="M2532" s="107">
        <v>675</v>
      </c>
    </row>
    <row r="2533" spans="1:13" x14ac:dyDescent="0.15">
      <c r="A2533" s="107">
        <v>1710</v>
      </c>
      <c r="B2533" s="107" t="s">
        <v>186</v>
      </c>
      <c r="C2533" s="107" t="s">
        <v>268</v>
      </c>
      <c r="D2533" s="25">
        <v>2160</v>
      </c>
      <c r="E2533" s="107" t="s">
        <v>193</v>
      </c>
      <c r="F2533" s="107" t="s">
        <v>194</v>
      </c>
      <c r="G2533" s="107">
        <v>219</v>
      </c>
      <c r="H2533" s="107">
        <v>7</v>
      </c>
      <c r="I2533" s="107">
        <v>8</v>
      </c>
      <c r="J2533" s="107">
        <f t="shared" si="39"/>
        <v>0.1015625</v>
      </c>
      <c r="K2533" s="107">
        <v>5611</v>
      </c>
      <c r="L2533" s="107"/>
      <c r="M2533" s="107"/>
    </row>
    <row r="2534" spans="1:13" x14ac:dyDescent="0.15">
      <c r="A2534" s="107">
        <v>1716</v>
      </c>
      <c r="B2534" s="107" t="s">
        <v>197</v>
      </c>
      <c r="C2534" s="107" t="s">
        <v>268</v>
      </c>
      <c r="D2534" s="25">
        <v>3000</v>
      </c>
      <c r="E2534" s="107" t="s">
        <v>193</v>
      </c>
      <c r="F2534" s="107" t="s">
        <v>194</v>
      </c>
      <c r="G2534" s="107">
        <v>1068</v>
      </c>
      <c r="H2534" s="107">
        <v>15</v>
      </c>
      <c r="I2534" s="107">
        <v>0</v>
      </c>
      <c r="J2534" s="107">
        <f t="shared" si="39"/>
        <v>0.35625000000000001</v>
      </c>
      <c r="K2534" s="107">
        <v>5670</v>
      </c>
      <c r="L2534" s="107"/>
      <c r="M2534" s="107"/>
    </row>
    <row r="2535" spans="1:13" x14ac:dyDescent="0.15">
      <c r="A2535" s="107">
        <v>1726</v>
      </c>
      <c r="B2535" s="107" t="s">
        <v>261</v>
      </c>
      <c r="C2535" s="107" t="s">
        <v>268</v>
      </c>
      <c r="D2535" s="25">
        <v>1566</v>
      </c>
      <c r="E2535" s="107" t="s">
        <v>193</v>
      </c>
      <c r="F2535" s="107" t="s">
        <v>194</v>
      </c>
      <c r="G2535" s="107">
        <v>195</v>
      </c>
      <c r="H2535" s="107">
        <v>15</v>
      </c>
      <c r="I2535" s="107">
        <v>0</v>
      </c>
      <c r="J2535" s="107">
        <f t="shared" si="39"/>
        <v>0.125</v>
      </c>
      <c r="K2535" s="107">
        <v>5855</v>
      </c>
      <c r="L2535" s="107"/>
      <c r="M2535" s="107"/>
    </row>
    <row r="2536" spans="1:13" x14ac:dyDescent="0.15">
      <c r="A2536" s="107">
        <v>1741</v>
      </c>
      <c r="B2536" s="107" t="s">
        <v>196</v>
      </c>
      <c r="C2536" s="107" t="s">
        <v>268</v>
      </c>
      <c r="D2536" s="25">
        <v>840</v>
      </c>
      <c r="E2536" s="107" t="s">
        <v>193</v>
      </c>
      <c r="F2536" s="107" t="s">
        <v>194</v>
      </c>
      <c r="G2536" s="107">
        <v>304</v>
      </c>
      <c r="H2536" s="107">
        <v>10</v>
      </c>
      <c r="I2536" s="107">
        <v>0</v>
      </c>
      <c r="J2536" s="107">
        <f t="shared" si="39"/>
        <v>0.36249999999999999</v>
      </c>
      <c r="K2536" s="107">
        <v>6115</v>
      </c>
      <c r="L2536" s="107"/>
      <c r="M2536" s="107"/>
    </row>
    <row r="2537" spans="1:13" x14ac:dyDescent="0.15">
      <c r="A2537" s="107">
        <v>1793</v>
      </c>
      <c r="B2537" s="107" t="s">
        <v>247</v>
      </c>
      <c r="C2537" s="107" t="s">
        <v>270</v>
      </c>
      <c r="D2537" s="25">
        <v>464</v>
      </c>
      <c r="E2537" s="107" t="s">
        <v>193</v>
      </c>
      <c r="F2537" s="107" t="s">
        <v>194</v>
      </c>
      <c r="G2537" s="107">
        <v>53</v>
      </c>
      <c r="H2537" s="107">
        <v>3</v>
      </c>
      <c r="I2537" s="107">
        <v>8</v>
      </c>
      <c r="J2537" s="107">
        <f t="shared" si="39"/>
        <v>0.11460129310344827</v>
      </c>
      <c r="K2537" s="107">
        <v>6826</v>
      </c>
      <c r="L2537" s="107"/>
      <c r="M2537" s="107"/>
    </row>
    <row r="2538" spans="1:13" x14ac:dyDescent="0.15">
      <c r="A2538" s="107">
        <v>1730</v>
      </c>
      <c r="B2538" s="107" t="s">
        <v>226</v>
      </c>
      <c r="C2538" s="107" t="s">
        <v>268</v>
      </c>
      <c r="D2538" s="25">
        <v>1602</v>
      </c>
      <c r="E2538" s="107" t="s">
        <v>193</v>
      </c>
      <c r="F2538" s="107" t="s">
        <v>725</v>
      </c>
      <c r="G2538" s="107">
        <v>137</v>
      </c>
      <c r="H2538" s="107">
        <v>13</v>
      </c>
      <c r="I2538" s="107">
        <v>8</v>
      </c>
      <c r="J2538" s="107">
        <f t="shared" si="39"/>
        <v>8.5939450686641702E-2</v>
      </c>
      <c r="K2538" s="107">
        <v>5935</v>
      </c>
      <c r="L2538" s="107"/>
      <c r="M2538" s="107"/>
    </row>
    <row r="2539" spans="1:13" x14ac:dyDescent="0.15">
      <c r="A2539" s="107">
        <v>1789</v>
      </c>
      <c r="B2539" s="107" t="s">
        <v>226</v>
      </c>
      <c r="C2539" s="107" t="s">
        <v>268</v>
      </c>
      <c r="D2539" s="25">
        <v>456</v>
      </c>
      <c r="E2539" s="107" t="s">
        <v>193</v>
      </c>
      <c r="F2539" s="107" t="s">
        <v>725</v>
      </c>
      <c r="G2539" s="107">
        <v>52</v>
      </c>
      <c r="H2539" s="107">
        <v>5</v>
      </c>
      <c r="I2539" s="107">
        <v>0</v>
      </c>
      <c r="J2539" s="107">
        <f t="shared" si="39"/>
        <v>0.11458333333333333</v>
      </c>
      <c r="K2539" s="25">
        <v>6785</v>
      </c>
      <c r="L2539" s="107"/>
      <c r="M2539" s="107"/>
    </row>
    <row r="2540" spans="1:13" x14ac:dyDescent="0.15">
      <c r="A2540" s="107">
        <v>1742</v>
      </c>
      <c r="B2540" s="107" t="s">
        <v>196</v>
      </c>
      <c r="C2540" s="107" t="s">
        <v>268</v>
      </c>
      <c r="D2540" s="25">
        <v>162</v>
      </c>
      <c r="E2540" s="107" t="s">
        <v>193</v>
      </c>
      <c r="F2540" s="107" t="s">
        <v>251</v>
      </c>
      <c r="G2540" s="107">
        <v>13</v>
      </c>
      <c r="H2540" s="107">
        <v>18</v>
      </c>
      <c r="I2540" s="107">
        <v>8</v>
      </c>
      <c r="J2540" s="107">
        <f t="shared" si="39"/>
        <v>8.5956790123456792E-2</v>
      </c>
      <c r="K2540" s="107">
        <v>6123</v>
      </c>
      <c r="L2540" s="107"/>
      <c r="M2540" s="107"/>
    </row>
    <row r="2541" spans="1:13" x14ac:dyDescent="0.15">
      <c r="A2541" s="107">
        <v>1708</v>
      </c>
      <c r="B2541" s="107" t="s">
        <v>253</v>
      </c>
      <c r="C2541" s="107" t="s">
        <v>268</v>
      </c>
      <c r="D2541" s="25">
        <v>1357</v>
      </c>
      <c r="E2541" s="107" t="s">
        <v>193</v>
      </c>
      <c r="F2541" s="107" t="s">
        <v>726</v>
      </c>
      <c r="G2541" s="107">
        <v>508</v>
      </c>
      <c r="H2541" s="107">
        <v>17</v>
      </c>
      <c r="I2541" s="107">
        <v>0</v>
      </c>
      <c r="J2541" s="107">
        <f t="shared" si="39"/>
        <v>0.37498157700810614</v>
      </c>
      <c r="K2541" s="107">
        <v>5571</v>
      </c>
      <c r="L2541" s="107"/>
      <c r="M2541" s="107"/>
    </row>
    <row r="2542" spans="1:13" x14ac:dyDescent="0.15">
      <c r="A2542" s="107">
        <v>1720</v>
      </c>
      <c r="B2542" s="107" t="s">
        <v>253</v>
      </c>
      <c r="C2542" s="107" t="s">
        <v>268</v>
      </c>
      <c r="D2542" s="25">
        <v>4212</v>
      </c>
      <c r="E2542" s="107" t="s">
        <v>193</v>
      </c>
      <c r="F2542" s="107" t="s">
        <v>726</v>
      </c>
      <c r="G2542" s="107">
        <v>1711</v>
      </c>
      <c r="H2542" s="107">
        <v>2</v>
      </c>
      <c r="I2542" s="107">
        <v>8</v>
      </c>
      <c r="J2542" s="107">
        <f t="shared" si="39"/>
        <v>0.40625</v>
      </c>
      <c r="K2542" s="107">
        <v>5731</v>
      </c>
      <c r="L2542" s="107"/>
      <c r="M2542" s="107"/>
    </row>
    <row r="2543" spans="1:13" x14ac:dyDescent="0.15">
      <c r="A2543" s="107">
        <v>1788</v>
      </c>
      <c r="B2543" s="107" t="s">
        <v>236</v>
      </c>
      <c r="C2543" s="107" t="s">
        <v>268</v>
      </c>
      <c r="D2543" s="25">
        <v>200</v>
      </c>
      <c r="E2543" s="107" t="s">
        <v>193</v>
      </c>
      <c r="F2543" s="107" t="s">
        <v>726</v>
      </c>
      <c r="G2543" s="107">
        <v>60</v>
      </c>
      <c r="H2543" s="107">
        <v>0</v>
      </c>
      <c r="I2543" s="107">
        <v>0</v>
      </c>
      <c r="J2543" s="107">
        <f t="shared" si="39"/>
        <v>0.3</v>
      </c>
      <c r="K2543" s="25">
        <v>6786</v>
      </c>
      <c r="L2543" s="107"/>
      <c r="M2543" s="107"/>
    </row>
    <row r="2544" spans="1:13" x14ac:dyDescent="0.15">
      <c r="A2544" s="107">
        <v>1702</v>
      </c>
      <c r="B2544" s="107" t="s">
        <v>226</v>
      </c>
      <c r="C2544" s="107" t="s">
        <v>268</v>
      </c>
      <c r="D2544" s="25">
        <v>1452</v>
      </c>
      <c r="E2544" s="107" t="s">
        <v>193</v>
      </c>
      <c r="F2544" s="107" t="s">
        <v>221</v>
      </c>
      <c r="G2544" s="107">
        <v>226</v>
      </c>
      <c r="H2544" s="107">
        <v>17</v>
      </c>
      <c r="I2544" s="107">
        <v>8</v>
      </c>
      <c r="J2544" s="107">
        <f t="shared" ref="J2544:J2607" si="40">(G2544+H2544/20+I2544/320)/D2544</f>
        <v>0.15625</v>
      </c>
      <c r="K2544" s="107">
        <v>5503</v>
      </c>
      <c r="L2544" s="107"/>
      <c r="M2544" s="107"/>
    </row>
    <row r="2545" spans="1:11" x14ac:dyDescent="0.15">
      <c r="A2545" s="107">
        <v>1704</v>
      </c>
      <c r="B2545" s="107" t="s">
        <v>260</v>
      </c>
      <c r="C2545" s="107" t="s">
        <v>268</v>
      </c>
      <c r="D2545" s="25">
        <v>770</v>
      </c>
      <c r="E2545" s="107" t="s">
        <v>193</v>
      </c>
      <c r="F2545" s="107" t="s">
        <v>221</v>
      </c>
      <c r="G2545" s="107">
        <v>184</v>
      </c>
      <c r="H2545" s="107">
        <v>6</v>
      </c>
      <c r="I2545" s="107">
        <v>4</v>
      </c>
      <c r="J2545" s="107">
        <f t="shared" si="40"/>
        <v>0.23936688311688312</v>
      </c>
      <c r="K2545" s="107">
        <v>5524</v>
      </c>
    </row>
    <row r="2546" spans="1:11" x14ac:dyDescent="0.15">
      <c r="A2546" s="107">
        <v>1704</v>
      </c>
      <c r="B2546" s="107" t="s">
        <v>253</v>
      </c>
      <c r="C2546" s="107" t="s">
        <v>268</v>
      </c>
      <c r="D2546" s="25">
        <v>1012</v>
      </c>
      <c r="E2546" s="107" t="s">
        <v>193</v>
      </c>
      <c r="F2546" s="107" t="s">
        <v>221</v>
      </c>
      <c r="G2546" s="107">
        <v>158</v>
      </c>
      <c r="H2546" s="107">
        <v>2</v>
      </c>
      <c r="I2546" s="107">
        <v>8</v>
      </c>
      <c r="J2546" s="107">
        <f t="shared" si="40"/>
        <v>0.15625</v>
      </c>
      <c r="K2546" s="107">
        <v>5525</v>
      </c>
    </row>
    <row r="2547" spans="1:11" x14ac:dyDescent="0.15">
      <c r="A2547" s="107">
        <v>1705</v>
      </c>
      <c r="B2547" s="107" t="s">
        <v>197</v>
      </c>
      <c r="C2547" s="107" t="s">
        <v>268</v>
      </c>
      <c r="D2547" s="25">
        <v>1568</v>
      </c>
      <c r="E2547" s="107" t="s">
        <v>193</v>
      </c>
      <c r="F2547" s="107" t="s">
        <v>221</v>
      </c>
      <c r="G2547" s="107">
        <v>245</v>
      </c>
      <c r="H2547" s="107">
        <v>0</v>
      </c>
      <c r="I2547" s="107">
        <v>0</v>
      </c>
      <c r="J2547" s="107">
        <f t="shared" si="40"/>
        <v>0.15625</v>
      </c>
      <c r="K2547" s="107">
        <v>5536</v>
      </c>
    </row>
    <row r="2548" spans="1:11" x14ac:dyDescent="0.15">
      <c r="A2548" s="107">
        <v>1706</v>
      </c>
      <c r="B2548" s="107" t="s">
        <v>186</v>
      </c>
      <c r="C2548" s="107" t="s">
        <v>268</v>
      </c>
      <c r="D2548" s="25">
        <v>2878</v>
      </c>
      <c r="E2548" s="107" t="s">
        <v>193</v>
      </c>
      <c r="F2548" s="107" t="s">
        <v>221</v>
      </c>
      <c r="G2548" s="107">
        <v>314</v>
      </c>
      <c r="H2548" s="107">
        <v>16</v>
      </c>
      <c r="I2548" s="107">
        <v>0</v>
      </c>
      <c r="J2548" s="107">
        <f t="shared" si="40"/>
        <v>0.10938151494093121</v>
      </c>
      <c r="K2548" s="107">
        <v>5558</v>
      </c>
    </row>
    <row r="2549" spans="1:11" x14ac:dyDescent="0.15">
      <c r="A2549" s="107">
        <v>1707</v>
      </c>
      <c r="B2549" s="107" t="s">
        <v>244</v>
      </c>
      <c r="C2549" s="107" t="s">
        <v>268</v>
      </c>
      <c r="D2549" s="25">
        <v>2530</v>
      </c>
      <c r="E2549" s="107" t="s">
        <v>193</v>
      </c>
      <c r="F2549" s="107" t="s">
        <v>221</v>
      </c>
      <c r="G2549" s="107">
        <v>276</v>
      </c>
      <c r="H2549" s="107">
        <v>14</v>
      </c>
      <c r="I2549" s="107">
        <v>0</v>
      </c>
      <c r="J2549" s="107">
        <f t="shared" si="40"/>
        <v>0.10936758893280632</v>
      </c>
      <c r="K2549" s="107">
        <v>5570</v>
      </c>
    </row>
    <row r="2550" spans="1:11" x14ac:dyDescent="0.15">
      <c r="A2550" s="107">
        <v>1708</v>
      </c>
      <c r="B2550" s="107" t="s">
        <v>253</v>
      </c>
      <c r="C2550" s="107" t="s">
        <v>268</v>
      </c>
      <c r="D2550" s="25">
        <v>2394</v>
      </c>
      <c r="E2550" s="107" t="s">
        <v>193</v>
      </c>
      <c r="F2550" s="107" t="s">
        <v>221</v>
      </c>
      <c r="G2550" s="107">
        <v>243</v>
      </c>
      <c r="H2550" s="107">
        <v>3</v>
      </c>
      <c r="I2550" s="107">
        <v>0</v>
      </c>
      <c r="J2550" s="107">
        <f t="shared" si="40"/>
        <v>0.10156641604010025</v>
      </c>
      <c r="K2550" s="107">
        <v>5571</v>
      </c>
    </row>
    <row r="2551" spans="1:11" x14ac:dyDescent="0.15">
      <c r="A2551" s="107">
        <v>1709</v>
      </c>
      <c r="B2551" s="107" t="s">
        <v>192</v>
      </c>
      <c r="C2551" s="107" t="s">
        <v>268</v>
      </c>
      <c r="D2551" s="25">
        <v>3396</v>
      </c>
      <c r="E2551" s="107" t="s">
        <v>193</v>
      </c>
      <c r="F2551" s="107" t="s">
        <v>221</v>
      </c>
      <c r="G2551" s="107">
        <v>344</v>
      </c>
      <c r="H2551" s="107">
        <v>18</v>
      </c>
      <c r="I2551" s="107">
        <v>0</v>
      </c>
      <c r="J2551" s="107">
        <f t="shared" si="40"/>
        <v>0.10156065959952885</v>
      </c>
      <c r="K2551" s="107">
        <v>5590</v>
      </c>
    </row>
    <row r="2552" spans="1:11" x14ac:dyDescent="0.15">
      <c r="A2552" s="107">
        <v>1710</v>
      </c>
      <c r="B2552" s="107" t="s">
        <v>196</v>
      </c>
      <c r="C2552" s="107" t="s">
        <v>268</v>
      </c>
      <c r="D2552" s="25">
        <v>1004</v>
      </c>
      <c r="E2552" s="107" t="s">
        <v>193</v>
      </c>
      <c r="F2552" s="107" t="s">
        <v>221</v>
      </c>
      <c r="G2552" s="107">
        <v>101</v>
      </c>
      <c r="H2552" s="107">
        <v>19</v>
      </c>
      <c r="I2552" s="107">
        <v>0</v>
      </c>
      <c r="J2552" s="107">
        <f t="shared" si="40"/>
        <v>0.10154382470119522</v>
      </c>
      <c r="K2552" s="107">
        <v>5601</v>
      </c>
    </row>
    <row r="2553" spans="1:11" x14ac:dyDescent="0.15">
      <c r="A2553" s="107">
        <v>1710</v>
      </c>
      <c r="B2553" s="107" t="s">
        <v>186</v>
      </c>
      <c r="C2553" s="107" t="s">
        <v>268</v>
      </c>
      <c r="D2553" s="25">
        <v>618</v>
      </c>
      <c r="E2553" s="107" t="s">
        <v>193</v>
      </c>
      <c r="F2553" s="107" t="s">
        <v>221</v>
      </c>
      <c r="G2553" s="107">
        <v>62</v>
      </c>
      <c r="H2553" s="107">
        <v>15</v>
      </c>
      <c r="I2553" s="107">
        <v>0</v>
      </c>
      <c r="J2553" s="107">
        <f t="shared" si="40"/>
        <v>0.10153721682847897</v>
      </c>
      <c r="K2553" s="107">
        <v>5611</v>
      </c>
    </row>
    <row r="2554" spans="1:11" x14ac:dyDescent="0.15">
      <c r="A2554" s="107">
        <v>1711</v>
      </c>
      <c r="B2554" s="107" t="s">
        <v>260</v>
      </c>
      <c r="C2554" s="107" t="s">
        <v>268</v>
      </c>
      <c r="D2554" s="25">
        <v>2868</v>
      </c>
      <c r="E2554" s="107" t="s">
        <v>193</v>
      </c>
      <c r="F2554" s="107" t="s">
        <v>221</v>
      </c>
      <c r="G2554" s="107">
        <v>291</v>
      </c>
      <c r="H2554" s="107">
        <v>5</v>
      </c>
      <c r="I2554" s="107">
        <v>8</v>
      </c>
      <c r="J2554" s="107">
        <f t="shared" si="40"/>
        <v>0.10156032078103207</v>
      </c>
      <c r="K2554" s="107">
        <v>5612</v>
      </c>
    </row>
    <row r="2555" spans="1:11" x14ac:dyDescent="0.15">
      <c r="A2555" s="107">
        <v>1712</v>
      </c>
      <c r="B2555" s="107" t="s">
        <v>261</v>
      </c>
      <c r="C2555" s="107" t="s">
        <v>268</v>
      </c>
      <c r="D2555" s="25">
        <v>2142</v>
      </c>
      <c r="E2555" s="107" t="s">
        <v>193</v>
      </c>
      <c r="F2555" s="107" t="s">
        <v>221</v>
      </c>
      <c r="G2555" s="107">
        <v>217</v>
      </c>
      <c r="H2555" s="107">
        <v>4</v>
      </c>
      <c r="I2555" s="107">
        <v>0</v>
      </c>
      <c r="J2555" s="107">
        <f t="shared" si="40"/>
        <v>0.10140056022408964</v>
      </c>
      <c r="K2555" s="107">
        <v>5628</v>
      </c>
    </row>
    <row r="2556" spans="1:11" x14ac:dyDescent="0.15">
      <c r="A2556" s="107">
        <v>1713</v>
      </c>
      <c r="B2556" s="107" t="s">
        <v>260</v>
      </c>
      <c r="C2556" s="107" t="s">
        <v>268</v>
      </c>
      <c r="D2556" s="25">
        <v>2944</v>
      </c>
      <c r="E2556" s="107" t="s">
        <v>193</v>
      </c>
      <c r="F2556" s="107" t="s">
        <v>221</v>
      </c>
      <c r="G2556" s="107">
        <v>229</v>
      </c>
      <c r="H2556" s="107">
        <v>0</v>
      </c>
      <c r="I2556" s="107">
        <v>0</v>
      </c>
      <c r="J2556" s="107">
        <f t="shared" si="40"/>
        <v>7.7785326086956527E-2</v>
      </c>
      <c r="K2556" s="107">
        <v>5644</v>
      </c>
    </row>
    <row r="2557" spans="1:11" x14ac:dyDescent="0.15">
      <c r="A2557" s="107">
        <v>1713</v>
      </c>
      <c r="B2557" s="107" t="s">
        <v>236</v>
      </c>
      <c r="C2557" s="107" t="s">
        <v>268</v>
      </c>
      <c r="D2557" s="25">
        <v>5695</v>
      </c>
      <c r="E2557" s="107" t="s">
        <v>193</v>
      </c>
      <c r="F2557" s="107" t="s">
        <v>221</v>
      </c>
      <c r="G2557" s="107">
        <v>578</v>
      </c>
      <c r="H2557" s="107">
        <v>8</v>
      </c>
      <c r="I2557" s="107">
        <v>0</v>
      </c>
      <c r="J2557" s="107">
        <f t="shared" si="40"/>
        <v>0.10156277436347673</v>
      </c>
      <c r="K2557" s="107">
        <v>5646</v>
      </c>
    </row>
    <row r="2558" spans="1:11" x14ac:dyDescent="0.15">
      <c r="A2558" s="107">
        <v>1714</v>
      </c>
      <c r="B2558" s="107" t="s">
        <v>247</v>
      </c>
      <c r="C2558" s="107" t="s">
        <v>268</v>
      </c>
      <c r="D2558" s="25">
        <v>3896</v>
      </c>
      <c r="E2558" s="107" t="s">
        <v>193</v>
      </c>
      <c r="F2558" s="107" t="s">
        <v>221</v>
      </c>
      <c r="G2558" s="107">
        <v>395</v>
      </c>
      <c r="H2558" s="107">
        <v>44</v>
      </c>
      <c r="I2558" s="107">
        <v>0</v>
      </c>
      <c r="J2558" s="107">
        <f t="shared" si="40"/>
        <v>0.10195071868583162</v>
      </c>
      <c r="K2558" s="107">
        <v>5655</v>
      </c>
    </row>
    <row r="2559" spans="1:11" x14ac:dyDescent="0.15">
      <c r="A2559" s="107">
        <v>1715</v>
      </c>
      <c r="B2559" s="107" t="s">
        <v>197</v>
      </c>
      <c r="C2559" s="107" t="s">
        <v>268</v>
      </c>
      <c r="D2559" s="25">
        <v>4746</v>
      </c>
      <c r="E2559" s="107" t="s">
        <v>193</v>
      </c>
      <c r="F2559" s="107" t="s">
        <v>221</v>
      </c>
      <c r="G2559" s="107">
        <v>482</v>
      </c>
      <c r="H2559" s="107">
        <v>0</v>
      </c>
      <c r="I2559" s="107">
        <v>0</v>
      </c>
      <c r="J2559" s="107">
        <f t="shared" si="40"/>
        <v>0.10155920775389803</v>
      </c>
      <c r="K2559" s="107">
        <v>5663</v>
      </c>
    </row>
    <row r="2560" spans="1:11" x14ac:dyDescent="0.15">
      <c r="A2560" s="107">
        <v>1716</v>
      </c>
      <c r="B2560" s="107" t="s">
        <v>197</v>
      </c>
      <c r="C2560" s="107" t="s">
        <v>268</v>
      </c>
      <c r="D2560" s="25">
        <v>1430</v>
      </c>
      <c r="E2560" s="107" t="s">
        <v>193</v>
      </c>
      <c r="F2560" s="107" t="s">
        <v>221</v>
      </c>
      <c r="G2560" s="107">
        <v>178</v>
      </c>
      <c r="H2560" s="107">
        <v>15</v>
      </c>
      <c r="I2560" s="107">
        <v>0</v>
      </c>
      <c r="J2560" s="107">
        <f t="shared" si="40"/>
        <v>0.125</v>
      </c>
      <c r="K2560" s="107">
        <v>5670</v>
      </c>
    </row>
    <row r="2561" spans="1:11" x14ac:dyDescent="0.15">
      <c r="A2561" s="107">
        <v>1717</v>
      </c>
      <c r="B2561" s="107" t="s">
        <v>192</v>
      </c>
      <c r="C2561" s="107" t="s">
        <v>268</v>
      </c>
      <c r="D2561" s="25">
        <v>5520</v>
      </c>
      <c r="E2561" s="107" t="s">
        <v>193</v>
      </c>
      <c r="F2561" s="107" t="s">
        <v>221</v>
      </c>
      <c r="G2561" s="107">
        <v>690</v>
      </c>
      <c r="H2561" s="107">
        <v>0</v>
      </c>
      <c r="I2561" s="107">
        <v>0</v>
      </c>
      <c r="J2561" s="107">
        <f t="shared" si="40"/>
        <v>0.125</v>
      </c>
      <c r="K2561" s="107">
        <v>5683</v>
      </c>
    </row>
    <row r="2562" spans="1:11" x14ac:dyDescent="0.15">
      <c r="A2562" s="107">
        <v>1718</v>
      </c>
      <c r="B2562" s="107" t="s">
        <v>253</v>
      </c>
      <c r="C2562" s="107" t="s">
        <v>268</v>
      </c>
      <c r="D2562" s="25">
        <v>2987</v>
      </c>
      <c r="E2562" s="107" t="s">
        <v>193</v>
      </c>
      <c r="F2562" s="107" t="s">
        <v>221</v>
      </c>
      <c r="G2562" s="107">
        <v>310</v>
      </c>
      <c r="H2562" s="107">
        <v>17</v>
      </c>
      <c r="I2562" s="107">
        <v>8</v>
      </c>
      <c r="J2562" s="107">
        <f t="shared" si="40"/>
        <v>0.10407599598259124</v>
      </c>
      <c r="K2562" s="107">
        <v>5702</v>
      </c>
    </row>
    <row r="2563" spans="1:11" x14ac:dyDescent="0.15">
      <c r="A2563" s="107">
        <v>1718</v>
      </c>
      <c r="B2563" s="107" t="s">
        <v>261</v>
      </c>
      <c r="C2563" s="107" t="s">
        <v>268</v>
      </c>
      <c r="D2563" s="25">
        <v>3383</v>
      </c>
      <c r="E2563" s="107" t="s">
        <v>193</v>
      </c>
      <c r="F2563" s="107" t="s">
        <v>221</v>
      </c>
      <c r="G2563" s="107">
        <v>422</v>
      </c>
      <c r="H2563" s="107">
        <v>17</v>
      </c>
      <c r="I2563" s="107">
        <v>8</v>
      </c>
      <c r="J2563" s="107">
        <f t="shared" si="40"/>
        <v>0.125</v>
      </c>
      <c r="K2563" s="107">
        <v>5703</v>
      </c>
    </row>
    <row r="2564" spans="1:11" x14ac:dyDescent="0.15">
      <c r="A2564" s="107">
        <v>1719</v>
      </c>
      <c r="B2564" s="107" t="s">
        <v>186</v>
      </c>
      <c r="C2564" s="107" t="s">
        <v>268</v>
      </c>
      <c r="D2564" s="25">
        <v>5418</v>
      </c>
      <c r="E2564" s="107" t="s">
        <v>193</v>
      </c>
      <c r="F2564" s="107" t="s">
        <v>221</v>
      </c>
      <c r="G2564" s="107">
        <v>1015</v>
      </c>
      <c r="H2564" s="107">
        <v>17</v>
      </c>
      <c r="I2564" s="107">
        <v>8</v>
      </c>
      <c r="J2564" s="107">
        <f t="shared" si="40"/>
        <v>0.1875</v>
      </c>
      <c r="K2564" s="107">
        <v>5732</v>
      </c>
    </row>
    <row r="2565" spans="1:11" x14ac:dyDescent="0.15">
      <c r="A2565" s="107">
        <v>1720</v>
      </c>
      <c r="B2565" s="107" t="s">
        <v>253</v>
      </c>
      <c r="C2565" s="107" t="s">
        <v>268</v>
      </c>
      <c r="D2565" s="25">
        <v>4900</v>
      </c>
      <c r="E2565" s="107" t="s">
        <v>193</v>
      </c>
      <c r="F2565" s="107" t="s">
        <v>221</v>
      </c>
      <c r="G2565" s="107">
        <v>918</v>
      </c>
      <c r="H2565" s="107">
        <v>13</v>
      </c>
      <c r="I2565" s="107">
        <v>0</v>
      </c>
      <c r="J2565" s="107">
        <f t="shared" si="40"/>
        <v>0.18747959183673468</v>
      </c>
      <c r="K2565" s="107">
        <v>5731</v>
      </c>
    </row>
    <row r="2566" spans="1:11" x14ac:dyDescent="0.15">
      <c r="A2566" s="107">
        <v>1721</v>
      </c>
      <c r="B2566" s="107" t="s">
        <v>192</v>
      </c>
      <c r="C2566" s="107" t="s">
        <v>268</v>
      </c>
      <c r="D2566" s="25">
        <v>3612</v>
      </c>
      <c r="E2566" s="107" t="s">
        <v>193</v>
      </c>
      <c r="F2566" s="107" t="s">
        <v>221</v>
      </c>
      <c r="G2566" s="107">
        <v>677</v>
      </c>
      <c r="H2566" s="107">
        <v>5</v>
      </c>
      <c r="I2566" s="107">
        <v>0</v>
      </c>
      <c r="J2566" s="107">
        <f t="shared" si="40"/>
        <v>0.1875</v>
      </c>
      <c r="K2566" s="107">
        <v>5753</v>
      </c>
    </row>
    <row r="2567" spans="1:11" x14ac:dyDescent="0.15">
      <c r="A2567" s="107">
        <v>1722</v>
      </c>
      <c r="B2567" s="107" t="s">
        <v>260</v>
      </c>
      <c r="C2567" s="107" t="s">
        <v>268</v>
      </c>
      <c r="D2567" s="25">
        <v>3562</v>
      </c>
      <c r="E2567" s="107" t="s">
        <v>193</v>
      </c>
      <c r="F2567" s="107" t="s">
        <v>221</v>
      </c>
      <c r="G2567" s="107">
        <v>667</v>
      </c>
      <c r="H2567" s="107">
        <v>17</v>
      </c>
      <c r="I2567" s="107">
        <v>8</v>
      </c>
      <c r="J2567" s="107">
        <f t="shared" si="40"/>
        <v>0.1875</v>
      </c>
      <c r="K2567" s="107">
        <v>5772</v>
      </c>
    </row>
    <row r="2568" spans="1:11" x14ac:dyDescent="0.15">
      <c r="A2568" s="107">
        <v>1723</v>
      </c>
      <c r="B2568" s="107" t="s">
        <v>236</v>
      </c>
      <c r="C2568" s="107" t="s">
        <v>268</v>
      </c>
      <c r="D2568" s="25">
        <v>2948</v>
      </c>
      <c r="E2568" s="107" t="s">
        <v>193</v>
      </c>
      <c r="F2568" s="107" t="s">
        <v>221</v>
      </c>
      <c r="G2568" s="107">
        <v>506</v>
      </c>
      <c r="H2568" s="107">
        <v>11</v>
      </c>
      <c r="I2568" s="107">
        <v>0</v>
      </c>
      <c r="J2568" s="107">
        <f t="shared" si="40"/>
        <v>0.17182835820895523</v>
      </c>
      <c r="K2568" s="107">
        <v>6808</v>
      </c>
    </row>
    <row r="2569" spans="1:11" x14ac:dyDescent="0.15">
      <c r="A2569" s="107">
        <v>1724</v>
      </c>
      <c r="B2569" s="107" t="s">
        <v>197</v>
      </c>
      <c r="C2569" s="107" t="s">
        <v>268</v>
      </c>
      <c r="D2569" s="25">
        <v>2205</v>
      </c>
      <c r="E2569" s="107" t="s">
        <v>193</v>
      </c>
      <c r="F2569" s="107" t="s">
        <v>221</v>
      </c>
      <c r="G2569" s="107">
        <v>378</v>
      </c>
      <c r="H2569" s="107">
        <v>19</v>
      </c>
      <c r="I2569" s="107">
        <v>8</v>
      </c>
      <c r="J2569" s="107">
        <f t="shared" si="40"/>
        <v>0.17187074829931973</v>
      </c>
      <c r="K2569" s="107">
        <v>6807</v>
      </c>
    </row>
    <row r="2570" spans="1:11" x14ac:dyDescent="0.15">
      <c r="A2570" s="107">
        <v>1725</v>
      </c>
      <c r="B2570" s="107" t="s">
        <v>200</v>
      </c>
      <c r="C2570" s="107" t="s">
        <v>268</v>
      </c>
      <c r="D2570" s="25">
        <v>1530</v>
      </c>
      <c r="E2570" s="107" t="s">
        <v>193</v>
      </c>
      <c r="F2570" s="107" t="s">
        <v>221</v>
      </c>
      <c r="G2570" s="107">
        <v>191</v>
      </c>
      <c r="H2570" s="107">
        <v>5</v>
      </c>
      <c r="I2570" s="107">
        <v>0</v>
      </c>
      <c r="J2570" s="107">
        <f t="shared" si="40"/>
        <v>0.125</v>
      </c>
      <c r="K2570" s="107">
        <v>5838</v>
      </c>
    </row>
    <row r="2571" spans="1:11" x14ac:dyDescent="0.15">
      <c r="A2571" s="107">
        <v>1727</v>
      </c>
      <c r="B2571" s="107" t="s">
        <v>192</v>
      </c>
      <c r="C2571" s="107" t="s">
        <v>268</v>
      </c>
      <c r="D2571" s="25">
        <v>2695</v>
      </c>
      <c r="E2571" s="107" t="s">
        <v>193</v>
      </c>
      <c r="F2571" s="107" t="s">
        <v>221</v>
      </c>
      <c r="G2571" s="107">
        <v>336</v>
      </c>
      <c r="H2571" s="107">
        <v>17</v>
      </c>
      <c r="I2571" s="107">
        <v>8</v>
      </c>
      <c r="J2571" s="107">
        <f t="shared" si="40"/>
        <v>0.125</v>
      </c>
      <c r="K2571" s="107">
        <v>5871</v>
      </c>
    </row>
    <row r="2572" spans="1:11" x14ac:dyDescent="0.15">
      <c r="A2572" s="107">
        <v>1728</v>
      </c>
      <c r="B2572" s="107" t="s">
        <v>186</v>
      </c>
      <c r="C2572" s="107" t="s">
        <v>268</v>
      </c>
      <c r="D2572" s="25">
        <v>3039</v>
      </c>
      <c r="E2572" s="107" t="s">
        <v>193</v>
      </c>
      <c r="F2572" s="107" t="s">
        <v>221</v>
      </c>
      <c r="G2572" s="107">
        <v>282</v>
      </c>
      <c r="H2572" s="107">
        <v>18</v>
      </c>
      <c r="I2572" s="107">
        <v>0</v>
      </c>
      <c r="J2572" s="107">
        <f t="shared" si="40"/>
        <v>9.3089832181638688E-2</v>
      </c>
      <c r="K2572" s="107">
        <v>5900</v>
      </c>
    </row>
    <row r="2573" spans="1:11" x14ac:dyDescent="0.15">
      <c r="A2573" s="107">
        <v>1729</v>
      </c>
      <c r="B2573" s="107" t="s">
        <v>261</v>
      </c>
      <c r="C2573" s="107" t="s">
        <v>268</v>
      </c>
      <c r="D2573" s="25">
        <v>1264</v>
      </c>
      <c r="E2573" s="107" t="s">
        <v>193</v>
      </c>
      <c r="F2573" s="107" t="s">
        <v>221</v>
      </c>
      <c r="G2573" s="107">
        <v>118</v>
      </c>
      <c r="H2573" s="107">
        <v>10</v>
      </c>
      <c r="I2573" s="107">
        <v>0</v>
      </c>
      <c r="J2573" s="107">
        <f t="shared" si="40"/>
        <v>9.375E-2</v>
      </c>
      <c r="K2573" s="107">
        <v>5903</v>
      </c>
    </row>
    <row r="2574" spans="1:11" x14ac:dyDescent="0.15">
      <c r="A2574" s="107">
        <v>1731</v>
      </c>
      <c r="B2574" s="107" t="s">
        <v>261</v>
      </c>
      <c r="C2574" s="107" t="s">
        <v>268</v>
      </c>
      <c r="D2574" s="25">
        <v>2480</v>
      </c>
      <c r="E2574" s="107" t="s">
        <v>193</v>
      </c>
      <c r="F2574" s="107" t="s">
        <v>221</v>
      </c>
      <c r="G2574" s="107">
        <v>213</v>
      </c>
      <c r="H2574" s="107">
        <v>2</v>
      </c>
      <c r="I2574" s="107">
        <v>8</v>
      </c>
      <c r="J2574" s="107">
        <f t="shared" si="40"/>
        <v>8.59375E-2</v>
      </c>
      <c r="K2574" s="107">
        <v>5938</v>
      </c>
    </row>
    <row r="2575" spans="1:11" x14ac:dyDescent="0.15">
      <c r="A2575" s="107">
        <v>1732</v>
      </c>
      <c r="B2575" s="107" t="s">
        <v>186</v>
      </c>
      <c r="C2575" s="107" t="s">
        <v>268</v>
      </c>
      <c r="D2575" s="25">
        <v>1762</v>
      </c>
      <c r="E2575" s="107" t="s">
        <v>193</v>
      </c>
      <c r="F2575" s="107" t="s">
        <v>221</v>
      </c>
      <c r="G2575" s="107">
        <v>151</v>
      </c>
      <c r="H2575" s="107">
        <v>6</v>
      </c>
      <c r="I2575" s="107">
        <v>8</v>
      </c>
      <c r="J2575" s="107">
        <f t="shared" si="40"/>
        <v>8.5882519863791154E-2</v>
      </c>
      <c r="K2575" s="107">
        <v>5957</v>
      </c>
    </row>
    <row r="2576" spans="1:11" x14ac:dyDescent="0.15">
      <c r="A2576" s="107">
        <v>1733</v>
      </c>
      <c r="B2576" s="107" t="s">
        <v>253</v>
      </c>
      <c r="C2576" s="107" t="s">
        <v>268</v>
      </c>
      <c r="D2576" s="25">
        <v>1424</v>
      </c>
      <c r="E2576" s="107" t="s">
        <v>193</v>
      </c>
      <c r="F2576" s="107" t="s">
        <v>221</v>
      </c>
      <c r="G2576" s="107">
        <v>122</v>
      </c>
      <c r="H2576" s="107">
        <v>7</v>
      </c>
      <c r="I2576" s="107">
        <v>8</v>
      </c>
      <c r="J2576" s="107">
        <f t="shared" si="40"/>
        <v>8.59375E-2</v>
      </c>
      <c r="K2576" s="107">
        <v>5956</v>
      </c>
    </row>
    <row r="2577" spans="1:14" x14ac:dyDescent="0.15">
      <c r="A2577" s="107">
        <v>1734</v>
      </c>
      <c r="B2577" s="107" t="s">
        <v>196</v>
      </c>
      <c r="C2577" s="107" t="s">
        <v>268</v>
      </c>
      <c r="D2577" s="25">
        <v>1598</v>
      </c>
      <c r="E2577" s="107" t="s">
        <v>193</v>
      </c>
      <c r="F2577" s="107" t="s">
        <v>221</v>
      </c>
      <c r="G2577" s="107">
        <v>137</v>
      </c>
      <c r="H2577" s="107">
        <v>6</v>
      </c>
      <c r="I2577" s="107">
        <v>8</v>
      </c>
      <c r="J2577" s="107">
        <f t="shared" si="40"/>
        <v>8.5935544430538177E-2</v>
      </c>
      <c r="K2577" s="107">
        <v>5981</v>
      </c>
      <c r="L2577" s="107"/>
      <c r="M2577" s="107"/>
      <c r="N2577" s="107"/>
    </row>
    <row r="2578" spans="1:14" x14ac:dyDescent="0.15">
      <c r="A2578" s="107">
        <v>1735</v>
      </c>
      <c r="B2578" s="107" t="s">
        <v>244</v>
      </c>
      <c r="C2578" s="107" t="s">
        <v>268</v>
      </c>
      <c r="D2578" s="25">
        <v>981</v>
      </c>
      <c r="E2578" s="107" t="s">
        <v>193</v>
      </c>
      <c r="F2578" s="107" t="s">
        <v>221</v>
      </c>
      <c r="G2578" s="107">
        <v>84</v>
      </c>
      <c r="H2578" s="107">
        <v>6</v>
      </c>
      <c r="I2578" s="107">
        <v>0</v>
      </c>
      <c r="J2578" s="107">
        <f t="shared" si="40"/>
        <v>8.5932721712538226E-2</v>
      </c>
      <c r="K2578" s="107">
        <v>6015</v>
      </c>
      <c r="L2578" s="107"/>
      <c r="M2578" s="107"/>
      <c r="N2578" s="107"/>
    </row>
    <row r="2579" spans="1:14" x14ac:dyDescent="0.15">
      <c r="A2579" s="107">
        <v>1736</v>
      </c>
      <c r="B2579" s="107" t="s">
        <v>261</v>
      </c>
      <c r="C2579" s="107" t="s">
        <v>268</v>
      </c>
      <c r="D2579" s="25">
        <v>1794</v>
      </c>
      <c r="E2579" s="107" t="s">
        <v>193</v>
      </c>
      <c r="F2579" s="107" t="s">
        <v>221</v>
      </c>
      <c r="G2579" s="107">
        <v>154</v>
      </c>
      <c r="H2579" s="107">
        <v>3</v>
      </c>
      <c r="I2579" s="107">
        <v>8</v>
      </c>
      <c r="J2579" s="107">
        <f t="shared" si="40"/>
        <v>8.5939241917502796E-2</v>
      </c>
      <c r="K2579" s="107">
        <v>6014</v>
      </c>
      <c r="L2579" s="107"/>
      <c r="M2579" s="107"/>
      <c r="N2579" s="107"/>
    </row>
    <row r="2580" spans="1:14" x14ac:dyDescent="0.15">
      <c r="A2580" s="107">
        <v>1737</v>
      </c>
      <c r="B2580" s="107" t="s">
        <v>226</v>
      </c>
      <c r="C2580" s="107" t="s">
        <v>268</v>
      </c>
      <c r="D2580" s="25">
        <v>2640</v>
      </c>
      <c r="E2580" s="107" t="s">
        <v>193</v>
      </c>
      <c r="F2580" s="107" t="s">
        <v>221</v>
      </c>
      <c r="G2580" s="107">
        <v>227</v>
      </c>
      <c r="H2580" s="107">
        <v>17</v>
      </c>
      <c r="I2580" s="107">
        <v>8</v>
      </c>
      <c r="J2580" s="107">
        <f t="shared" si="40"/>
        <v>8.6316287878787881E-2</v>
      </c>
      <c r="K2580" s="107">
        <v>6035</v>
      </c>
      <c r="L2580" s="107"/>
      <c r="M2580" s="107"/>
      <c r="N2580" s="107"/>
    </row>
    <row r="2581" spans="1:14" x14ac:dyDescent="0.15">
      <c r="A2581" s="107">
        <v>1738</v>
      </c>
      <c r="B2581" s="107" t="s">
        <v>196</v>
      </c>
      <c r="C2581" s="107" t="s">
        <v>268</v>
      </c>
      <c r="D2581" s="25">
        <v>1515</v>
      </c>
      <c r="E2581" s="107" t="s">
        <v>193</v>
      </c>
      <c r="F2581" s="107" t="s">
        <v>221</v>
      </c>
      <c r="G2581" s="107">
        <v>130</v>
      </c>
      <c r="H2581" s="107">
        <v>4</v>
      </c>
      <c r="I2581" s="107">
        <v>0</v>
      </c>
      <c r="J2581" s="107">
        <f t="shared" si="40"/>
        <v>8.5940594059405934E-2</v>
      </c>
      <c r="K2581" s="107">
        <v>6060</v>
      </c>
      <c r="L2581" s="107"/>
      <c r="M2581" s="107"/>
      <c r="N2581" s="107"/>
    </row>
    <row r="2582" spans="1:14" x14ac:dyDescent="0.15">
      <c r="A2582" s="107">
        <v>1739</v>
      </c>
      <c r="B2582" s="107" t="s">
        <v>226</v>
      </c>
      <c r="C2582" s="107" t="s">
        <v>268</v>
      </c>
      <c r="D2582" s="25">
        <v>2010</v>
      </c>
      <c r="E2582" s="107" t="s">
        <v>193</v>
      </c>
      <c r="F2582" s="107" t="s">
        <v>221</v>
      </c>
      <c r="G2582" s="107">
        <v>172</v>
      </c>
      <c r="H2582" s="107">
        <v>14</v>
      </c>
      <c r="I2582" s="107">
        <v>8</v>
      </c>
      <c r="J2582" s="107">
        <f t="shared" si="40"/>
        <v>8.5932835820895517E-2</v>
      </c>
      <c r="K2582" s="107">
        <v>6089</v>
      </c>
      <c r="L2582" s="107"/>
      <c r="M2582" s="107"/>
      <c r="N2582" s="107"/>
    </row>
    <row r="2583" spans="1:14" x14ac:dyDescent="0.15">
      <c r="A2583" s="107">
        <v>1740</v>
      </c>
      <c r="B2583" s="107" t="s">
        <v>197</v>
      </c>
      <c r="C2583" s="107" t="s">
        <v>268</v>
      </c>
      <c r="D2583" s="25">
        <v>1910</v>
      </c>
      <c r="E2583" s="107" t="s">
        <v>193</v>
      </c>
      <c r="F2583" s="107" t="s">
        <v>221</v>
      </c>
      <c r="G2583" s="107">
        <v>164</v>
      </c>
      <c r="H2583" s="107">
        <v>9</v>
      </c>
      <c r="I2583" s="107">
        <v>0</v>
      </c>
      <c r="J2583" s="107">
        <f t="shared" si="40"/>
        <v>8.6099476439790573E-2</v>
      </c>
      <c r="K2583" s="107">
        <v>6098</v>
      </c>
      <c r="L2583" s="107"/>
      <c r="M2583" s="107"/>
      <c r="N2583" s="107"/>
    </row>
    <row r="2584" spans="1:14" x14ac:dyDescent="0.15">
      <c r="A2584" s="107">
        <v>1741</v>
      </c>
      <c r="B2584" s="107" t="s">
        <v>196</v>
      </c>
      <c r="C2584" s="107" t="s">
        <v>268</v>
      </c>
      <c r="D2584" s="25">
        <v>1784</v>
      </c>
      <c r="E2584" s="107" t="s">
        <v>193</v>
      </c>
      <c r="F2584" s="107" t="s">
        <v>221</v>
      </c>
      <c r="G2584" s="107">
        <v>153</v>
      </c>
      <c r="H2584" s="107">
        <v>6</v>
      </c>
      <c r="I2584" s="107">
        <v>0</v>
      </c>
      <c r="J2584" s="107">
        <f t="shared" si="40"/>
        <v>8.5930493273542602E-2</v>
      </c>
      <c r="K2584" s="107">
        <v>6115</v>
      </c>
      <c r="L2584" s="107"/>
      <c r="M2584" s="107"/>
      <c r="N2584" s="107"/>
    </row>
    <row r="2585" spans="1:14" x14ac:dyDescent="0.15">
      <c r="A2585" s="107">
        <v>1742</v>
      </c>
      <c r="B2585" s="107" t="s">
        <v>261</v>
      </c>
      <c r="C2585" s="107" t="s">
        <v>268</v>
      </c>
      <c r="D2585" s="25">
        <v>1029</v>
      </c>
      <c r="E2585" s="107" t="s">
        <v>193</v>
      </c>
      <c r="F2585" s="107" t="s">
        <v>221</v>
      </c>
      <c r="G2585" s="107">
        <v>88</v>
      </c>
      <c r="H2585" s="107">
        <v>8</v>
      </c>
      <c r="I2585" s="107">
        <v>8</v>
      </c>
      <c r="J2585" s="107">
        <f t="shared" si="40"/>
        <v>8.5932944606414E-2</v>
      </c>
      <c r="K2585" s="107">
        <v>6122</v>
      </c>
      <c r="L2585" s="107"/>
      <c r="M2585" s="107"/>
      <c r="N2585" s="107"/>
    </row>
    <row r="2586" spans="1:14" x14ac:dyDescent="0.15">
      <c r="A2586" s="107">
        <v>1743</v>
      </c>
      <c r="B2586" s="107" t="s">
        <v>196</v>
      </c>
      <c r="C2586" s="107" t="s">
        <v>268</v>
      </c>
      <c r="D2586" s="25">
        <v>5272</v>
      </c>
      <c r="E2586" s="107" t="s">
        <v>193</v>
      </c>
      <c r="F2586" s="107" t="s">
        <v>221</v>
      </c>
      <c r="G2586" s="107">
        <v>204</v>
      </c>
      <c r="H2586" s="107">
        <v>19</v>
      </c>
      <c r="I2586" s="107">
        <v>0</v>
      </c>
      <c r="J2586" s="107">
        <f t="shared" si="40"/>
        <v>3.8875189681335354E-2</v>
      </c>
      <c r="K2586" s="107">
        <v>6143</v>
      </c>
      <c r="L2586" s="107"/>
      <c r="M2586" s="107"/>
      <c r="N2586" s="107"/>
    </row>
    <row r="2587" spans="1:14" x14ac:dyDescent="0.15">
      <c r="A2587" s="107">
        <v>1744</v>
      </c>
      <c r="B2587" s="107" t="s">
        <v>253</v>
      </c>
      <c r="C2587" s="107" t="s">
        <v>268</v>
      </c>
      <c r="D2587" s="25">
        <v>3960</v>
      </c>
      <c r="E2587" s="107" t="s">
        <v>193</v>
      </c>
      <c r="F2587" s="107" t="s">
        <v>221</v>
      </c>
      <c r="G2587" s="107">
        <v>123</v>
      </c>
      <c r="H2587" s="107">
        <v>15</v>
      </c>
      <c r="I2587" s="107">
        <v>0</v>
      </c>
      <c r="J2587" s="107">
        <f t="shared" si="40"/>
        <v>3.125E-2</v>
      </c>
      <c r="K2587" s="107">
        <v>6160</v>
      </c>
      <c r="L2587" s="107"/>
      <c r="M2587" s="107"/>
      <c r="N2587" s="107"/>
    </row>
    <row r="2588" spans="1:14" x14ac:dyDescent="0.15">
      <c r="A2588" s="107">
        <v>1745</v>
      </c>
      <c r="B2588" s="107" t="s">
        <v>261</v>
      </c>
      <c r="C2588" s="107" t="s">
        <v>268</v>
      </c>
      <c r="D2588" s="25">
        <v>2324</v>
      </c>
      <c r="E2588" s="107" t="s">
        <v>193</v>
      </c>
      <c r="F2588" s="107" t="s">
        <v>221</v>
      </c>
      <c r="G2588" s="107">
        <v>72</v>
      </c>
      <c r="H2588" s="107">
        <v>12</v>
      </c>
      <c r="I2588" s="107">
        <v>8</v>
      </c>
      <c r="J2588" s="107">
        <f t="shared" si="40"/>
        <v>3.125E-2</v>
      </c>
      <c r="K2588" s="107">
        <v>6176</v>
      </c>
      <c r="L2588" s="107"/>
      <c r="M2588" s="107"/>
      <c r="N2588" s="107"/>
    </row>
    <row r="2589" spans="1:14" x14ac:dyDescent="0.15">
      <c r="A2589" s="107">
        <v>1748</v>
      </c>
      <c r="B2589" s="107" t="s">
        <v>260</v>
      </c>
      <c r="C2589" s="107" t="s">
        <v>268</v>
      </c>
      <c r="D2589" s="25">
        <v>548</v>
      </c>
      <c r="E2589" s="107" t="s">
        <v>193</v>
      </c>
      <c r="F2589" s="107" t="s">
        <v>221</v>
      </c>
      <c r="G2589" s="107">
        <v>47</v>
      </c>
      <c r="H2589" s="107">
        <v>19</v>
      </c>
      <c r="I2589" s="107">
        <v>0</v>
      </c>
      <c r="J2589" s="107">
        <f t="shared" si="40"/>
        <v>8.7500000000000008E-2</v>
      </c>
      <c r="K2589" s="107">
        <v>6218</v>
      </c>
      <c r="L2589" s="107"/>
      <c r="M2589" s="107"/>
      <c r="N2589" s="107"/>
    </row>
    <row r="2590" spans="1:14" x14ac:dyDescent="0.15">
      <c r="A2590" s="107">
        <v>1748</v>
      </c>
      <c r="B2590" s="107" t="s">
        <v>260</v>
      </c>
      <c r="C2590" s="107" t="s">
        <v>268</v>
      </c>
      <c r="D2590" s="25">
        <v>4110</v>
      </c>
      <c r="E2590" s="107" t="s">
        <v>193</v>
      </c>
      <c r="F2590" s="107" t="s">
        <v>221</v>
      </c>
      <c r="G2590" s="107">
        <v>179</v>
      </c>
      <c r="H2590" s="107">
        <v>16</v>
      </c>
      <c r="I2590" s="107">
        <v>0</v>
      </c>
      <c r="J2590" s="107">
        <f t="shared" si="40"/>
        <v>4.3746958637469587E-2</v>
      </c>
      <c r="K2590" s="107">
        <v>6218</v>
      </c>
      <c r="L2590" s="107"/>
      <c r="M2590" s="107"/>
      <c r="N2590" s="107" t="s">
        <v>727</v>
      </c>
    </row>
    <row r="2591" spans="1:14" x14ac:dyDescent="0.15">
      <c r="A2591" s="107">
        <v>1749</v>
      </c>
      <c r="B2591" s="107" t="s">
        <v>253</v>
      </c>
      <c r="C2591" s="107" t="s">
        <v>268</v>
      </c>
      <c r="D2591" s="25">
        <v>1885</v>
      </c>
      <c r="E2591" s="107" t="s">
        <v>193</v>
      </c>
      <c r="F2591" s="107" t="s">
        <v>221</v>
      </c>
      <c r="G2591" s="107">
        <v>82</v>
      </c>
      <c r="H2591" s="107">
        <v>9</v>
      </c>
      <c r="I2591" s="107">
        <v>8</v>
      </c>
      <c r="J2591" s="107">
        <f t="shared" si="40"/>
        <v>4.3753315649867376E-2</v>
      </c>
      <c r="K2591" s="107">
        <v>6233</v>
      </c>
      <c r="L2591" s="107"/>
      <c r="M2591" s="107"/>
      <c r="N2591" s="107"/>
    </row>
    <row r="2592" spans="1:14" x14ac:dyDescent="0.15">
      <c r="A2592" s="107">
        <v>1750</v>
      </c>
      <c r="B2592" s="107" t="s">
        <v>197</v>
      </c>
      <c r="C2592" s="107" t="s">
        <v>268</v>
      </c>
      <c r="D2592" s="25">
        <v>3856</v>
      </c>
      <c r="E2592" s="107" t="s">
        <v>193</v>
      </c>
      <c r="F2592" s="107" t="s">
        <v>221</v>
      </c>
      <c r="G2592" s="107">
        <v>265</v>
      </c>
      <c r="H2592" s="107">
        <v>3</v>
      </c>
      <c r="I2592" s="107">
        <v>8</v>
      </c>
      <c r="J2592" s="107">
        <f t="shared" si="40"/>
        <v>6.8769450207468871E-2</v>
      </c>
      <c r="K2592" s="107">
        <v>6254</v>
      </c>
      <c r="L2592" s="107"/>
      <c r="M2592" s="107"/>
      <c r="N2592" s="107"/>
    </row>
    <row r="2593" spans="1:11" x14ac:dyDescent="0.15">
      <c r="A2593" s="107">
        <v>1751</v>
      </c>
      <c r="B2593" s="107" t="s">
        <v>196</v>
      </c>
      <c r="C2593" s="107" t="s">
        <v>268</v>
      </c>
      <c r="D2593" s="25">
        <v>3584</v>
      </c>
      <c r="E2593" s="107" t="s">
        <v>193</v>
      </c>
      <c r="F2593" s="107" t="s">
        <v>221</v>
      </c>
      <c r="G2593" s="107">
        <v>246</v>
      </c>
      <c r="H2593" s="107">
        <v>8</v>
      </c>
      <c r="I2593" s="107">
        <v>0</v>
      </c>
      <c r="J2593" s="107">
        <f t="shared" si="40"/>
        <v>6.8750000000000006E-2</v>
      </c>
      <c r="K2593" s="107">
        <v>6270</v>
      </c>
    </row>
    <row r="2594" spans="1:11" x14ac:dyDescent="0.15">
      <c r="A2594" s="107">
        <v>1752</v>
      </c>
      <c r="B2594" s="107" t="s">
        <v>260</v>
      </c>
      <c r="C2594" s="107" t="s">
        <v>268</v>
      </c>
      <c r="D2594" s="25">
        <v>4573</v>
      </c>
      <c r="E2594" s="107" t="s">
        <v>193</v>
      </c>
      <c r="F2594" s="107" t="s">
        <v>221</v>
      </c>
      <c r="G2594" s="107">
        <v>314</v>
      </c>
      <c r="H2594" s="107">
        <v>8</v>
      </c>
      <c r="I2594" s="107">
        <v>0</v>
      </c>
      <c r="J2594" s="107">
        <f t="shared" si="40"/>
        <v>6.875136671769079E-2</v>
      </c>
      <c r="K2594" s="107">
        <v>6286</v>
      </c>
    </row>
    <row r="2595" spans="1:11" x14ac:dyDescent="0.15">
      <c r="A2595" s="107">
        <v>1753</v>
      </c>
      <c r="B2595" s="107" t="s">
        <v>196</v>
      </c>
      <c r="C2595" s="107" t="s">
        <v>268</v>
      </c>
      <c r="D2595" s="25">
        <v>2448</v>
      </c>
      <c r="E2595" s="107" t="s">
        <v>193</v>
      </c>
      <c r="F2595" s="107" t="s">
        <v>221</v>
      </c>
      <c r="G2595" s="107">
        <v>168</v>
      </c>
      <c r="H2595" s="107">
        <v>6</v>
      </c>
      <c r="I2595" s="107">
        <v>0</v>
      </c>
      <c r="J2595" s="107">
        <f t="shared" si="40"/>
        <v>6.8750000000000006E-2</v>
      </c>
      <c r="K2595" s="107">
        <v>6303</v>
      </c>
    </row>
    <row r="2596" spans="1:11" x14ac:dyDescent="0.15">
      <c r="A2596" s="107">
        <v>1754</v>
      </c>
      <c r="B2596" s="107" t="s">
        <v>196</v>
      </c>
      <c r="C2596" s="107" t="s">
        <v>268</v>
      </c>
      <c r="D2596" s="25">
        <v>7633</v>
      </c>
      <c r="E2596" s="107" t="s">
        <v>193</v>
      </c>
      <c r="F2596" s="107" t="s">
        <v>221</v>
      </c>
      <c r="G2596" s="107">
        <v>524</v>
      </c>
      <c r="H2596" s="107">
        <v>15</v>
      </c>
      <c r="I2596" s="107">
        <v>8</v>
      </c>
      <c r="J2596" s="107">
        <f t="shared" si="40"/>
        <v>6.8750818813048606E-2</v>
      </c>
      <c r="K2596" s="107">
        <v>6314</v>
      </c>
    </row>
    <row r="2597" spans="1:11" x14ac:dyDescent="0.15">
      <c r="A2597" s="107">
        <v>1755</v>
      </c>
      <c r="B2597" s="107" t="s">
        <v>226</v>
      </c>
      <c r="C2597" s="107" t="s">
        <v>268</v>
      </c>
      <c r="D2597" s="25">
        <v>5719</v>
      </c>
      <c r="E2597" s="107" t="s">
        <v>193</v>
      </c>
      <c r="F2597" s="107" t="s">
        <v>221</v>
      </c>
      <c r="G2597" s="107">
        <v>178</v>
      </c>
      <c r="H2597" s="107">
        <v>14</v>
      </c>
      <c r="I2597" s="107">
        <v>8</v>
      </c>
      <c r="J2597" s="107">
        <f t="shared" si="40"/>
        <v>3.1251092848400067E-2</v>
      </c>
      <c r="K2597" s="107">
        <v>6316</v>
      </c>
    </row>
    <row r="2598" spans="1:11" x14ac:dyDescent="0.15">
      <c r="A2598" s="107">
        <v>1756</v>
      </c>
      <c r="B2598" s="107" t="s">
        <v>197</v>
      </c>
      <c r="C2598" s="107" t="s">
        <v>268</v>
      </c>
      <c r="D2598" s="25">
        <v>3373</v>
      </c>
      <c r="E2598" s="107" t="s">
        <v>193</v>
      </c>
      <c r="F2598" s="107" t="s">
        <v>221</v>
      </c>
      <c r="G2598" s="107">
        <v>105</v>
      </c>
      <c r="H2598" s="107">
        <v>8</v>
      </c>
      <c r="I2598" s="107">
        <v>0</v>
      </c>
      <c r="J2598" s="107">
        <f t="shared" si="40"/>
        <v>3.1248147050103765E-2</v>
      </c>
      <c r="K2598" s="107">
        <v>6333</v>
      </c>
    </row>
    <row r="2599" spans="1:11" x14ac:dyDescent="0.15">
      <c r="A2599" s="107">
        <v>1757</v>
      </c>
      <c r="B2599" s="107" t="s">
        <v>186</v>
      </c>
      <c r="C2599" s="107" t="s">
        <v>268</v>
      </c>
      <c r="D2599" s="25">
        <v>4499</v>
      </c>
      <c r="E2599" s="107" t="s">
        <v>193</v>
      </c>
      <c r="F2599" s="107" t="s">
        <v>221</v>
      </c>
      <c r="G2599" s="107">
        <v>140</v>
      </c>
      <c r="H2599" s="107">
        <v>12</v>
      </c>
      <c r="I2599" s="107">
        <v>0</v>
      </c>
      <c r="J2599" s="107">
        <f t="shared" si="40"/>
        <v>3.1251389197599462E-2</v>
      </c>
      <c r="K2599" s="107">
        <v>6354</v>
      </c>
    </row>
    <row r="2600" spans="1:11" x14ac:dyDescent="0.15">
      <c r="A2600" s="107">
        <v>1759</v>
      </c>
      <c r="B2600" s="107" t="s">
        <v>261</v>
      </c>
      <c r="C2600" s="107" t="s">
        <v>268</v>
      </c>
      <c r="D2600" s="25">
        <v>2376</v>
      </c>
      <c r="E2600" s="107" t="s">
        <v>193</v>
      </c>
      <c r="F2600" s="107" t="s">
        <v>221</v>
      </c>
      <c r="G2600" s="107">
        <v>74</v>
      </c>
      <c r="H2600" s="107">
        <v>5</v>
      </c>
      <c r="I2600" s="107">
        <v>0</v>
      </c>
      <c r="J2600" s="107">
        <f t="shared" si="40"/>
        <v>3.125E-2</v>
      </c>
      <c r="K2600" s="107">
        <v>6364</v>
      </c>
    </row>
    <row r="2601" spans="1:11" x14ac:dyDescent="0.15">
      <c r="A2601" s="107">
        <v>1759</v>
      </c>
      <c r="B2601" s="107" t="s">
        <v>261</v>
      </c>
      <c r="C2601" s="107" t="s">
        <v>268</v>
      </c>
      <c r="D2601" s="25">
        <v>2005</v>
      </c>
      <c r="E2601" s="107" t="s">
        <v>193</v>
      </c>
      <c r="F2601" s="107" t="s">
        <v>221</v>
      </c>
      <c r="G2601" s="107">
        <v>62</v>
      </c>
      <c r="H2601" s="107">
        <v>13</v>
      </c>
      <c r="I2601" s="107">
        <v>0</v>
      </c>
      <c r="J2601" s="107">
        <f t="shared" si="40"/>
        <v>3.1246882793017454E-2</v>
      </c>
      <c r="K2601" s="107">
        <v>6374</v>
      </c>
    </row>
    <row r="2602" spans="1:11" x14ac:dyDescent="0.15">
      <c r="A2602" s="107">
        <v>1760</v>
      </c>
      <c r="B2602" s="107" t="s">
        <v>253</v>
      </c>
      <c r="C2602" s="107" t="s">
        <v>268</v>
      </c>
      <c r="D2602" s="25">
        <v>2391</v>
      </c>
      <c r="E2602" s="107" t="s">
        <v>193</v>
      </c>
      <c r="F2602" s="107" t="s">
        <v>221</v>
      </c>
      <c r="G2602" s="107">
        <v>89</v>
      </c>
      <c r="H2602" s="107">
        <v>13</v>
      </c>
      <c r="I2602" s="107">
        <v>0</v>
      </c>
      <c r="J2602" s="107">
        <f t="shared" si="40"/>
        <v>3.7494772061898787E-2</v>
      </c>
      <c r="K2602" s="107">
        <v>6387</v>
      </c>
    </row>
    <row r="2603" spans="1:11" x14ac:dyDescent="0.15">
      <c r="A2603" s="107">
        <v>1760</v>
      </c>
      <c r="B2603" s="107" t="s">
        <v>244</v>
      </c>
      <c r="C2603" s="107" t="s">
        <v>268</v>
      </c>
      <c r="D2603" s="25">
        <v>2114</v>
      </c>
      <c r="E2603" s="107" t="s">
        <v>193</v>
      </c>
      <c r="F2603" s="107" t="s">
        <v>221</v>
      </c>
      <c r="G2603" s="107">
        <v>78</v>
      </c>
      <c r="H2603" s="107">
        <v>5</v>
      </c>
      <c r="I2603" s="107">
        <v>8</v>
      </c>
      <c r="J2603" s="107">
        <f t="shared" si="40"/>
        <v>3.7026963103122049E-2</v>
      </c>
      <c r="K2603" s="107">
        <v>6374</v>
      </c>
    </row>
    <row r="2604" spans="1:11" x14ac:dyDescent="0.15">
      <c r="A2604" s="107">
        <v>1761</v>
      </c>
      <c r="B2604" s="107" t="s">
        <v>260</v>
      </c>
      <c r="C2604" s="107" t="s">
        <v>268</v>
      </c>
      <c r="D2604" s="25">
        <v>990</v>
      </c>
      <c r="E2604" s="107" t="s">
        <v>193</v>
      </c>
      <c r="F2604" s="107" t="s">
        <v>221</v>
      </c>
      <c r="G2604" s="107">
        <v>37</v>
      </c>
      <c r="H2604" s="107">
        <v>2</v>
      </c>
      <c r="I2604" s="107">
        <v>8</v>
      </c>
      <c r="J2604" s="107">
        <f t="shared" si="40"/>
        <v>3.7499999999999999E-2</v>
      </c>
      <c r="K2604" s="107">
        <v>6388</v>
      </c>
    </row>
    <row r="2605" spans="1:11" x14ac:dyDescent="0.15">
      <c r="A2605" s="107">
        <v>1761</v>
      </c>
      <c r="B2605" s="107" t="s">
        <v>261</v>
      </c>
      <c r="C2605" s="107" t="s">
        <v>268</v>
      </c>
      <c r="D2605" s="25">
        <v>828</v>
      </c>
      <c r="E2605" s="107" t="s">
        <v>193</v>
      </c>
      <c r="F2605" s="107" t="s">
        <v>221</v>
      </c>
      <c r="G2605" s="107">
        <v>31</v>
      </c>
      <c r="H2605" s="107">
        <v>1</v>
      </c>
      <c r="I2605" s="107">
        <v>0</v>
      </c>
      <c r="J2605" s="107">
        <f t="shared" si="40"/>
        <v>3.7499999999999999E-2</v>
      </c>
      <c r="K2605" s="107">
        <v>6387</v>
      </c>
    </row>
    <row r="2606" spans="1:11" x14ac:dyDescent="0.15">
      <c r="A2606" s="107">
        <v>1761</v>
      </c>
      <c r="B2606" s="107" t="s">
        <v>260</v>
      </c>
      <c r="C2606" s="107" t="s">
        <v>268</v>
      </c>
      <c r="D2606" s="25">
        <v>1974</v>
      </c>
      <c r="E2606" s="107" t="s">
        <v>193</v>
      </c>
      <c r="F2606" s="107" t="s">
        <v>221</v>
      </c>
      <c r="G2606" s="107">
        <v>74</v>
      </c>
      <c r="H2606" s="107">
        <v>8</v>
      </c>
      <c r="I2606" s="107">
        <v>0</v>
      </c>
      <c r="J2606" s="107">
        <f t="shared" si="40"/>
        <v>3.7689969604863226E-2</v>
      </c>
      <c r="K2606" s="107">
        <v>6394</v>
      </c>
    </row>
    <row r="2607" spans="1:11" x14ac:dyDescent="0.15">
      <c r="A2607" s="107">
        <v>1762</v>
      </c>
      <c r="B2607" s="107" t="s">
        <v>261</v>
      </c>
      <c r="C2607" s="107" t="s">
        <v>268</v>
      </c>
      <c r="D2607" s="25">
        <v>1705</v>
      </c>
      <c r="E2607" s="107" t="s">
        <v>193</v>
      </c>
      <c r="F2607" s="107" t="s">
        <v>221</v>
      </c>
      <c r="G2607" s="107">
        <v>63</v>
      </c>
      <c r="H2607" s="107">
        <v>19</v>
      </c>
      <c r="I2607" s="107">
        <v>0</v>
      </c>
      <c r="J2607" s="107">
        <f t="shared" si="40"/>
        <v>3.7507331378299119E-2</v>
      </c>
      <c r="K2607" s="107">
        <v>6394</v>
      </c>
    </row>
    <row r="2608" spans="1:11" x14ac:dyDescent="0.15">
      <c r="A2608" s="107">
        <v>1763</v>
      </c>
      <c r="B2608" s="107" t="s">
        <v>197</v>
      </c>
      <c r="C2608" s="107" t="s">
        <v>268</v>
      </c>
      <c r="D2608" s="25">
        <v>3886</v>
      </c>
      <c r="E2608" s="107" t="s">
        <v>193</v>
      </c>
      <c r="F2608" s="107" t="s">
        <v>221</v>
      </c>
      <c r="G2608" s="107">
        <v>145</v>
      </c>
      <c r="H2608" s="107">
        <v>14</v>
      </c>
      <c r="I2608" s="107">
        <v>8</v>
      </c>
      <c r="J2608" s="107">
        <f t="shared" ref="J2608:J2671" si="41">(G2608+H2608/20+I2608/320)/D2608</f>
        <v>3.7499999999999999E-2</v>
      </c>
      <c r="K2608" s="107">
        <v>6423</v>
      </c>
    </row>
    <row r="2609" spans="1:11" x14ac:dyDescent="0.15">
      <c r="A2609" s="107">
        <v>1763</v>
      </c>
      <c r="B2609" s="107" t="s">
        <v>244</v>
      </c>
      <c r="C2609" s="107" t="s">
        <v>268</v>
      </c>
      <c r="D2609" s="25">
        <v>1530</v>
      </c>
      <c r="E2609" s="107" t="s">
        <v>193</v>
      </c>
      <c r="F2609" s="107" t="s">
        <v>221</v>
      </c>
      <c r="G2609" s="107">
        <v>57</v>
      </c>
      <c r="H2609" s="107">
        <v>7</v>
      </c>
      <c r="I2609" s="107">
        <v>8</v>
      </c>
      <c r="J2609" s="107">
        <f t="shared" si="41"/>
        <v>3.7499999999999999E-2</v>
      </c>
      <c r="K2609" s="107">
        <v>6413</v>
      </c>
    </row>
    <row r="2610" spans="1:11" x14ac:dyDescent="0.15">
      <c r="A2610" s="107">
        <v>1764</v>
      </c>
      <c r="B2610" s="107" t="s">
        <v>244</v>
      </c>
      <c r="C2610" s="107" t="s">
        <v>268</v>
      </c>
      <c r="D2610" s="25">
        <v>3405</v>
      </c>
      <c r="E2610" s="107" t="s">
        <v>193</v>
      </c>
      <c r="F2610" s="107" t="s">
        <v>221</v>
      </c>
      <c r="G2610" s="107">
        <v>170</v>
      </c>
      <c r="H2610" s="107">
        <v>5</v>
      </c>
      <c r="I2610" s="107">
        <v>0</v>
      </c>
      <c r="J2610" s="107">
        <f t="shared" si="41"/>
        <v>0.05</v>
      </c>
      <c r="K2610" s="107">
        <v>6419</v>
      </c>
    </row>
    <row r="2611" spans="1:11" x14ac:dyDescent="0.15">
      <c r="A2611" s="107">
        <v>1764</v>
      </c>
      <c r="B2611" s="107" t="s">
        <v>261</v>
      </c>
      <c r="C2611" s="107" t="s">
        <v>268</v>
      </c>
      <c r="D2611" s="25">
        <v>1065</v>
      </c>
      <c r="E2611" s="107" t="s">
        <v>193</v>
      </c>
      <c r="F2611" s="107" t="s">
        <v>221</v>
      </c>
      <c r="G2611" s="107">
        <v>39</v>
      </c>
      <c r="H2611" s="107">
        <v>19</v>
      </c>
      <c r="I2611" s="107">
        <v>0</v>
      </c>
      <c r="J2611" s="107">
        <f t="shared" si="41"/>
        <v>3.7511737089201878E-2</v>
      </c>
      <c r="K2611" s="107">
        <v>6423</v>
      </c>
    </row>
    <row r="2612" spans="1:11" x14ac:dyDescent="0.15">
      <c r="A2612" s="107">
        <v>1765</v>
      </c>
      <c r="B2612" s="107" t="s">
        <v>196</v>
      </c>
      <c r="C2612" s="107" t="s">
        <v>268</v>
      </c>
      <c r="D2612" s="25">
        <v>3316</v>
      </c>
      <c r="E2612" s="107" t="s">
        <v>193</v>
      </c>
      <c r="F2612" s="107" t="s">
        <v>221</v>
      </c>
      <c r="G2612" s="107">
        <v>165</v>
      </c>
      <c r="H2612" s="107">
        <v>16</v>
      </c>
      <c r="I2612" s="107">
        <v>0</v>
      </c>
      <c r="J2612" s="107">
        <f t="shared" si="41"/>
        <v>0.05</v>
      </c>
      <c r="K2612" s="107">
        <v>6454</v>
      </c>
    </row>
    <row r="2613" spans="1:11" x14ac:dyDescent="0.15">
      <c r="A2613" s="107">
        <v>1766</v>
      </c>
      <c r="B2613" s="107" t="s">
        <v>261</v>
      </c>
      <c r="C2613" s="107" t="s">
        <v>268</v>
      </c>
      <c r="D2613" s="25">
        <v>1933</v>
      </c>
      <c r="E2613" s="107" t="s">
        <v>193</v>
      </c>
      <c r="F2613" s="107" t="s">
        <v>221</v>
      </c>
      <c r="G2613" s="107">
        <v>96</v>
      </c>
      <c r="H2613" s="107">
        <v>13</v>
      </c>
      <c r="I2613" s="107">
        <v>0</v>
      </c>
      <c r="J2613" s="107">
        <f t="shared" si="41"/>
        <v>0.05</v>
      </c>
      <c r="K2613" s="107">
        <v>6457</v>
      </c>
    </row>
    <row r="2614" spans="1:11" x14ac:dyDescent="0.15">
      <c r="A2614" s="107">
        <v>1767</v>
      </c>
      <c r="B2614" s="107" t="s">
        <v>197</v>
      </c>
      <c r="C2614" s="107" t="s">
        <v>268</v>
      </c>
      <c r="D2614" s="25">
        <v>4332</v>
      </c>
      <c r="E2614" s="107" t="s">
        <v>193</v>
      </c>
      <c r="F2614" s="107" t="s">
        <v>221</v>
      </c>
      <c r="G2614" s="107">
        <v>216</v>
      </c>
      <c r="H2614" s="107">
        <v>12</v>
      </c>
      <c r="I2614" s="107">
        <v>0</v>
      </c>
      <c r="J2614" s="107">
        <f t="shared" si="41"/>
        <v>4.9999999999999996E-2</v>
      </c>
      <c r="K2614" s="107">
        <v>6475</v>
      </c>
    </row>
    <row r="2615" spans="1:11" x14ac:dyDescent="0.15">
      <c r="A2615" s="107">
        <v>1768</v>
      </c>
      <c r="B2615" s="107" t="s">
        <v>260</v>
      </c>
      <c r="C2615" s="107" t="s">
        <v>268</v>
      </c>
      <c r="D2615" s="25">
        <v>7159</v>
      </c>
      <c r="E2615" s="107" t="s">
        <v>193</v>
      </c>
      <c r="F2615" s="107" t="s">
        <v>221</v>
      </c>
      <c r="G2615" s="107">
        <v>357</v>
      </c>
      <c r="H2615" s="107">
        <v>19</v>
      </c>
      <c r="I2615" s="107">
        <v>0</v>
      </c>
      <c r="J2615" s="107">
        <f t="shared" si="41"/>
        <v>4.9999999999999996E-2</v>
      </c>
      <c r="K2615" s="107">
        <v>6489</v>
      </c>
    </row>
    <row r="2616" spans="1:11" x14ac:dyDescent="0.15">
      <c r="A2616" s="107">
        <v>1769</v>
      </c>
      <c r="B2616" s="107" t="s">
        <v>260</v>
      </c>
      <c r="C2616" s="107" t="s">
        <v>268</v>
      </c>
      <c r="D2616" s="25">
        <v>2098</v>
      </c>
      <c r="E2616" s="107" t="s">
        <v>193</v>
      </c>
      <c r="F2616" s="107" t="s">
        <v>221</v>
      </c>
      <c r="G2616" s="107">
        <v>104</v>
      </c>
      <c r="H2616" s="107">
        <v>18</v>
      </c>
      <c r="I2616" s="107">
        <v>0</v>
      </c>
      <c r="J2616" s="107">
        <f t="shared" si="41"/>
        <v>0.05</v>
      </c>
      <c r="K2616" s="107">
        <v>6518</v>
      </c>
    </row>
    <row r="2617" spans="1:11" x14ac:dyDescent="0.15">
      <c r="A2617" s="107">
        <v>1770</v>
      </c>
      <c r="B2617" s="107" t="s">
        <v>200</v>
      </c>
      <c r="C2617" s="107" t="s">
        <v>268</v>
      </c>
      <c r="D2617" s="25">
        <v>2702</v>
      </c>
      <c r="E2617" s="107" t="s">
        <v>193</v>
      </c>
      <c r="F2617" s="107" t="s">
        <v>221</v>
      </c>
      <c r="G2617" s="107">
        <v>77</v>
      </c>
      <c r="H2617" s="107">
        <v>8</v>
      </c>
      <c r="I2617" s="107">
        <v>0</v>
      </c>
      <c r="J2617" s="107">
        <f t="shared" si="41"/>
        <v>2.8645447816432273E-2</v>
      </c>
      <c r="K2617" s="107">
        <v>6535</v>
      </c>
    </row>
    <row r="2618" spans="1:11" x14ac:dyDescent="0.15">
      <c r="A2618" s="107">
        <v>1771</v>
      </c>
      <c r="B2618" s="107" t="s">
        <v>261</v>
      </c>
      <c r="C2618" s="107" t="s">
        <v>268</v>
      </c>
      <c r="D2618" s="25">
        <v>6931</v>
      </c>
      <c r="E2618" s="107" t="s">
        <v>193</v>
      </c>
      <c r="F2618" s="107" t="s">
        <v>221</v>
      </c>
      <c r="G2618" s="107">
        <v>198</v>
      </c>
      <c r="H2618" s="107">
        <v>11</v>
      </c>
      <c r="I2618" s="107">
        <v>0</v>
      </c>
      <c r="J2618" s="107">
        <f t="shared" si="41"/>
        <v>2.8646659933631514E-2</v>
      </c>
      <c r="K2618" s="107">
        <v>6540</v>
      </c>
    </row>
    <row r="2619" spans="1:11" x14ac:dyDescent="0.15">
      <c r="A2619" s="107">
        <v>1772</v>
      </c>
      <c r="B2619" s="107" t="s">
        <v>197</v>
      </c>
      <c r="C2619" s="107" t="s">
        <v>268</v>
      </c>
      <c r="D2619" s="25">
        <v>5956</v>
      </c>
      <c r="E2619" s="107" t="s">
        <v>193</v>
      </c>
      <c r="F2619" s="107" t="s">
        <v>221</v>
      </c>
      <c r="G2619" s="107">
        <v>170</v>
      </c>
      <c r="H2619" s="107">
        <v>12</v>
      </c>
      <c r="I2619" s="107">
        <v>8</v>
      </c>
      <c r="J2619" s="107">
        <f t="shared" si="41"/>
        <v>2.8647582269979852E-2</v>
      </c>
      <c r="K2619" s="107">
        <v>6551</v>
      </c>
    </row>
    <row r="2620" spans="1:11" x14ac:dyDescent="0.15">
      <c r="A2620" s="107">
        <v>1773</v>
      </c>
      <c r="B2620" s="107" t="s">
        <v>260</v>
      </c>
      <c r="C2620" s="107" t="s">
        <v>268</v>
      </c>
      <c r="D2620" s="25">
        <v>4480</v>
      </c>
      <c r="E2620" s="107" t="s">
        <v>193</v>
      </c>
      <c r="F2620" s="107" t="s">
        <v>221</v>
      </c>
      <c r="G2620" s="107">
        <v>128</v>
      </c>
      <c r="H2620" s="107">
        <v>6</v>
      </c>
      <c r="I2620" s="107">
        <v>8</v>
      </c>
      <c r="J2620" s="107">
        <f t="shared" si="41"/>
        <v>2.8643973214285717E-2</v>
      </c>
      <c r="K2620" s="107">
        <v>6566</v>
      </c>
    </row>
    <row r="2621" spans="1:11" x14ac:dyDescent="0.15">
      <c r="A2621" s="107">
        <v>1774</v>
      </c>
      <c r="B2621" s="107" t="s">
        <v>260</v>
      </c>
      <c r="C2621" s="107" t="s">
        <v>268</v>
      </c>
      <c r="D2621" s="25">
        <v>2477</v>
      </c>
      <c r="E2621" s="107" t="s">
        <v>193</v>
      </c>
      <c r="F2621" s="107" t="s">
        <v>221</v>
      </c>
      <c r="G2621" s="107">
        <v>42</v>
      </c>
      <c r="H2621" s="107">
        <v>11</v>
      </c>
      <c r="I2621" s="107">
        <v>8</v>
      </c>
      <c r="J2621" s="107">
        <f t="shared" si="41"/>
        <v>1.7188130803391197E-2</v>
      </c>
      <c r="K2621" s="25">
        <v>6589</v>
      </c>
    </row>
    <row r="2622" spans="1:11" x14ac:dyDescent="0.15">
      <c r="A2622" s="107">
        <v>1775</v>
      </c>
      <c r="B2622" s="107" t="s">
        <v>196</v>
      </c>
      <c r="C2622" s="107" t="s">
        <v>268</v>
      </c>
      <c r="D2622" s="25">
        <v>3192</v>
      </c>
      <c r="E2622" s="107" t="s">
        <v>193</v>
      </c>
      <c r="F2622" s="107" t="s">
        <v>221</v>
      </c>
      <c r="G2622" s="107">
        <v>54</v>
      </c>
      <c r="H2622" s="107">
        <v>17</v>
      </c>
      <c r="I2622" s="107">
        <v>0</v>
      </c>
      <c r="J2622" s="107">
        <f t="shared" si="41"/>
        <v>1.7183583959899749E-2</v>
      </c>
      <c r="K2622" s="107">
        <v>6611</v>
      </c>
    </row>
    <row r="2623" spans="1:11" x14ac:dyDescent="0.15">
      <c r="A2623" s="107">
        <v>1776</v>
      </c>
      <c r="B2623" s="107" t="s">
        <v>253</v>
      </c>
      <c r="C2623" s="107" t="s">
        <v>268</v>
      </c>
      <c r="D2623" s="25">
        <v>12874</v>
      </c>
      <c r="E2623" s="107" t="s">
        <v>193</v>
      </c>
      <c r="F2623" s="107" t="s">
        <v>221</v>
      </c>
      <c r="G2623" s="107">
        <v>221</v>
      </c>
      <c r="H2623" s="107">
        <v>5</v>
      </c>
      <c r="I2623" s="107">
        <v>8</v>
      </c>
      <c r="J2623" s="107">
        <f t="shared" si="41"/>
        <v>1.7187742737299984E-2</v>
      </c>
      <c r="K2623" s="107">
        <v>6627</v>
      </c>
    </row>
    <row r="2624" spans="1:11" x14ac:dyDescent="0.15">
      <c r="A2624" s="107">
        <v>1777</v>
      </c>
      <c r="B2624" s="107" t="s">
        <v>253</v>
      </c>
      <c r="C2624" s="107" t="s">
        <v>268</v>
      </c>
      <c r="D2624" s="25">
        <v>9225</v>
      </c>
      <c r="E2624" s="107" t="s">
        <v>193</v>
      </c>
      <c r="F2624" s="107" t="s">
        <v>221</v>
      </c>
      <c r="G2624" s="107">
        <v>158</v>
      </c>
      <c r="H2624" s="107">
        <v>9</v>
      </c>
      <c r="I2624" s="107">
        <v>8</v>
      </c>
      <c r="J2624" s="107">
        <f t="shared" si="41"/>
        <v>1.7178861788617886E-2</v>
      </c>
      <c r="K2624" s="107">
        <v>6643</v>
      </c>
    </row>
    <row r="2625" spans="1:11" x14ac:dyDescent="0.15">
      <c r="A2625" s="107">
        <v>1778</v>
      </c>
      <c r="B2625" s="107" t="s">
        <v>192</v>
      </c>
      <c r="C2625" s="107" t="s">
        <v>268</v>
      </c>
      <c r="D2625" s="25">
        <v>3719</v>
      </c>
      <c r="E2625" s="107" t="s">
        <v>193</v>
      </c>
      <c r="F2625" s="107" t="s">
        <v>221</v>
      </c>
      <c r="G2625" s="107">
        <v>63</v>
      </c>
      <c r="H2625" s="107">
        <v>18</v>
      </c>
      <c r="I2625" s="107">
        <v>8</v>
      </c>
      <c r="J2625" s="107">
        <f t="shared" si="41"/>
        <v>1.7188760419467597E-2</v>
      </c>
      <c r="K2625" s="107">
        <v>6663</v>
      </c>
    </row>
    <row r="2626" spans="1:11" x14ac:dyDescent="0.15">
      <c r="A2626" s="107">
        <v>1779</v>
      </c>
      <c r="B2626" s="107" t="s">
        <v>260</v>
      </c>
      <c r="C2626" s="107" t="s">
        <v>268</v>
      </c>
      <c r="D2626" s="25">
        <v>500</v>
      </c>
      <c r="E2626" s="107" t="s">
        <v>193</v>
      </c>
      <c r="F2626" s="107" t="s">
        <v>221</v>
      </c>
      <c r="G2626" s="107">
        <v>11</v>
      </c>
      <c r="H2626" s="107">
        <v>9</v>
      </c>
      <c r="I2626" s="107">
        <v>0</v>
      </c>
      <c r="J2626" s="107">
        <f t="shared" si="41"/>
        <v>2.29E-2</v>
      </c>
      <c r="K2626" s="107">
        <v>6669</v>
      </c>
    </row>
    <row r="2627" spans="1:11" x14ac:dyDescent="0.15">
      <c r="A2627" s="107">
        <v>1780</v>
      </c>
      <c r="B2627" s="107" t="s">
        <v>196</v>
      </c>
      <c r="C2627" s="107" t="s">
        <v>268</v>
      </c>
      <c r="D2627" s="25">
        <v>4854</v>
      </c>
      <c r="E2627" s="107" t="s">
        <v>193</v>
      </c>
      <c r="F2627" s="107" t="s">
        <v>221</v>
      </c>
      <c r="G2627" s="107">
        <v>111</v>
      </c>
      <c r="H2627" s="107">
        <v>5</v>
      </c>
      <c r="I2627" s="107">
        <v>0</v>
      </c>
      <c r="J2627" s="107">
        <f t="shared" si="41"/>
        <v>2.2919241862381541E-2</v>
      </c>
      <c r="K2627" s="107">
        <v>6679</v>
      </c>
    </row>
    <row r="2628" spans="1:11" x14ac:dyDescent="0.15">
      <c r="A2628" s="107">
        <v>1780</v>
      </c>
      <c r="B2628" s="107" t="s">
        <v>200</v>
      </c>
      <c r="C2628" s="107" t="s">
        <v>268</v>
      </c>
      <c r="D2628" s="25">
        <v>4287</v>
      </c>
      <c r="E2628" s="107" t="s">
        <v>193</v>
      </c>
      <c r="F2628" s="107" t="s">
        <v>221</v>
      </c>
      <c r="G2628" s="107">
        <v>98</v>
      </c>
      <c r="H2628" s="107">
        <v>5</v>
      </c>
      <c r="I2628" s="107">
        <v>0</v>
      </c>
      <c r="J2628" s="107">
        <f t="shared" si="41"/>
        <v>2.2918124562631211E-2</v>
      </c>
      <c r="K2628" s="107">
        <v>6689</v>
      </c>
    </row>
    <row r="2629" spans="1:11" x14ac:dyDescent="0.15">
      <c r="A2629" s="107">
        <v>1781</v>
      </c>
      <c r="B2629" s="107" t="s">
        <v>261</v>
      </c>
      <c r="C2629" s="107" t="s">
        <v>268</v>
      </c>
      <c r="D2629" s="25">
        <v>2482</v>
      </c>
      <c r="E2629" s="107" t="s">
        <v>193</v>
      </c>
      <c r="F2629" s="107" t="s">
        <v>221</v>
      </c>
      <c r="G2629" s="107">
        <v>56</v>
      </c>
      <c r="H2629" s="107">
        <v>18</v>
      </c>
      <c r="I2629" s="107">
        <v>8</v>
      </c>
      <c r="J2629" s="107">
        <f t="shared" si="41"/>
        <v>2.2935132957292506E-2</v>
      </c>
      <c r="K2629" s="107">
        <v>6699</v>
      </c>
    </row>
    <row r="2630" spans="1:11" x14ac:dyDescent="0.15">
      <c r="A2630" s="107">
        <v>1783</v>
      </c>
      <c r="B2630" s="107" t="s">
        <v>236</v>
      </c>
      <c r="C2630" s="107" t="s">
        <v>268</v>
      </c>
      <c r="D2630" s="25">
        <v>8091</v>
      </c>
      <c r="E2630" s="107" t="s">
        <v>193</v>
      </c>
      <c r="F2630" s="107" t="s">
        <v>221</v>
      </c>
      <c r="G2630" s="107">
        <v>185</v>
      </c>
      <c r="H2630" s="107">
        <v>8</v>
      </c>
      <c r="I2630" s="107">
        <v>8</v>
      </c>
      <c r="J2630" s="107">
        <f t="shared" si="41"/>
        <v>2.2917439129897417E-2</v>
      </c>
      <c r="K2630" s="107">
        <v>6714</v>
      </c>
    </row>
    <row r="2631" spans="1:11" x14ac:dyDescent="0.15">
      <c r="A2631" s="107">
        <v>1783</v>
      </c>
      <c r="B2631" s="107" t="s">
        <v>261</v>
      </c>
      <c r="C2631" s="107" t="s">
        <v>268</v>
      </c>
      <c r="D2631" s="25">
        <v>13998</v>
      </c>
      <c r="E2631" s="107" t="s">
        <v>193</v>
      </c>
      <c r="F2631" s="107" t="s">
        <v>221</v>
      </c>
      <c r="G2631" s="107">
        <v>320</v>
      </c>
      <c r="H2631" s="107">
        <v>16</v>
      </c>
      <c r="I2631" s="107">
        <v>0</v>
      </c>
      <c r="J2631" s="107">
        <f t="shared" si="41"/>
        <v>2.2917559651378771E-2</v>
      </c>
      <c r="K2631" s="107">
        <v>6701</v>
      </c>
    </row>
    <row r="2632" spans="1:11" x14ac:dyDescent="0.15">
      <c r="A2632" s="107">
        <v>1784</v>
      </c>
      <c r="B2632" s="107" t="s">
        <v>261</v>
      </c>
      <c r="C2632" s="107" t="s">
        <v>268</v>
      </c>
      <c r="D2632" s="25">
        <v>1536</v>
      </c>
      <c r="E2632" s="107" t="s">
        <v>193</v>
      </c>
      <c r="F2632" s="107" t="s">
        <v>221</v>
      </c>
      <c r="G2632" s="107">
        <v>35</v>
      </c>
      <c r="H2632" s="107">
        <v>4</v>
      </c>
      <c r="I2632" s="107">
        <v>0</v>
      </c>
      <c r="J2632" s="107">
        <f t="shared" si="41"/>
        <v>2.2916666666666669E-2</v>
      </c>
      <c r="K2632" s="25">
        <v>6705</v>
      </c>
    </row>
    <row r="2633" spans="1:11" x14ac:dyDescent="0.15">
      <c r="A2633" s="107">
        <v>1784</v>
      </c>
      <c r="B2633" s="107" t="s">
        <v>236</v>
      </c>
      <c r="C2633" s="107" t="s">
        <v>268</v>
      </c>
      <c r="D2633" s="25">
        <v>3107</v>
      </c>
      <c r="E2633" s="107" t="s">
        <v>193</v>
      </c>
      <c r="F2633" s="107" t="s">
        <v>221</v>
      </c>
      <c r="G2633" s="107">
        <v>97</v>
      </c>
      <c r="H2633" s="107">
        <v>18</v>
      </c>
      <c r="I2633" s="107">
        <v>0</v>
      </c>
      <c r="J2633" s="107">
        <f t="shared" si="41"/>
        <v>3.1509494689411006E-2</v>
      </c>
      <c r="K2633" s="107">
        <v>6733</v>
      </c>
    </row>
    <row r="2634" spans="1:11" x14ac:dyDescent="0.15">
      <c r="A2634" s="107">
        <v>1785</v>
      </c>
      <c r="B2634" s="107" t="s">
        <v>186</v>
      </c>
      <c r="C2634" s="107" t="s">
        <v>268</v>
      </c>
      <c r="D2634" s="25">
        <v>6222</v>
      </c>
      <c r="E2634" s="107" t="s">
        <v>193</v>
      </c>
      <c r="F2634" s="107" t="s">
        <v>221</v>
      </c>
      <c r="G2634" s="107">
        <v>133</v>
      </c>
      <c r="H2634" s="107">
        <v>1</v>
      </c>
      <c r="I2634" s="107">
        <v>0</v>
      </c>
      <c r="J2634" s="107">
        <f t="shared" si="41"/>
        <v>2.1383799421407911E-2</v>
      </c>
      <c r="K2634" s="107">
        <v>6736</v>
      </c>
    </row>
    <row r="2635" spans="1:11" x14ac:dyDescent="0.15">
      <c r="A2635" s="107">
        <v>1786</v>
      </c>
      <c r="B2635" s="107" t="s">
        <v>261</v>
      </c>
      <c r="C2635" s="107" t="s">
        <v>268</v>
      </c>
      <c r="D2635" s="25">
        <v>2686</v>
      </c>
      <c r="E2635" s="107" t="s">
        <v>193</v>
      </c>
      <c r="F2635" s="107" t="s">
        <v>221</v>
      </c>
      <c r="G2635" s="107">
        <v>84</v>
      </c>
      <c r="H2635" s="107">
        <v>12</v>
      </c>
      <c r="I2635" s="107">
        <v>8</v>
      </c>
      <c r="J2635" s="107">
        <f t="shared" si="41"/>
        <v>3.1505956813104988E-2</v>
      </c>
      <c r="K2635" s="107">
        <v>6746</v>
      </c>
    </row>
    <row r="2636" spans="1:11" x14ac:dyDescent="0.15">
      <c r="A2636" s="107">
        <v>1787</v>
      </c>
      <c r="B2636" s="107" t="s">
        <v>197</v>
      </c>
      <c r="C2636" s="107" t="s">
        <v>268</v>
      </c>
      <c r="D2636" s="25">
        <v>1794</v>
      </c>
      <c r="E2636" s="107" t="s">
        <v>193</v>
      </c>
      <c r="F2636" s="107" t="s">
        <v>221</v>
      </c>
      <c r="G2636" s="107">
        <v>56</v>
      </c>
      <c r="H2636" s="107">
        <v>10</v>
      </c>
      <c r="I2636" s="107">
        <v>8</v>
      </c>
      <c r="J2636" s="107">
        <f t="shared" si="41"/>
        <v>3.1507803790412486E-2</v>
      </c>
      <c r="K2636" s="107">
        <v>6752</v>
      </c>
    </row>
    <row r="2637" spans="1:11" x14ac:dyDescent="0.15">
      <c r="A2637" s="107">
        <v>1788</v>
      </c>
      <c r="B2637" s="107" t="s">
        <v>236</v>
      </c>
      <c r="C2637" s="107" t="s">
        <v>268</v>
      </c>
      <c r="D2637" s="25">
        <v>273</v>
      </c>
      <c r="E2637" s="107" t="s">
        <v>193</v>
      </c>
      <c r="F2637" s="107" t="s">
        <v>221</v>
      </c>
      <c r="G2637" s="107">
        <v>8</v>
      </c>
      <c r="H2637" s="107">
        <v>12</v>
      </c>
      <c r="I2637" s="107">
        <v>0</v>
      </c>
      <c r="J2637" s="107">
        <f t="shared" si="41"/>
        <v>3.1501831501831501E-2</v>
      </c>
      <c r="K2637" s="25">
        <v>6786</v>
      </c>
    </row>
    <row r="2638" spans="1:11" x14ac:dyDescent="0.15">
      <c r="A2638" s="107">
        <v>1789</v>
      </c>
      <c r="B2638" s="107" t="s">
        <v>253</v>
      </c>
      <c r="C2638" s="107" t="s">
        <v>268</v>
      </c>
      <c r="D2638" s="25">
        <v>189</v>
      </c>
      <c r="E2638" s="107" t="s">
        <v>193</v>
      </c>
      <c r="F2638" s="107" t="s">
        <v>221</v>
      </c>
      <c r="G2638" s="107">
        <v>5</v>
      </c>
      <c r="H2638" s="107">
        <v>19</v>
      </c>
      <c r="I2638" s="107">
        <v>0</v>
      </c>
      <c r="J2638" s="107">
        <f t="shared" si="41"/>
        <v>3.1481481481481485E-2</v>
      </c>
      <c r="K2638" s="25">
        <v>6785</v>
      </c>
    </row>
    <row r="2639" spans="1:11" x14ac:dyDescent="0.15">
      <c r="A2639" s="107">
        <v>1789</v>
      </c>
      <c r="B2639" s="107" t="s">
        <v>226</v>
      </c>
      <c r="C2639" s="107" t="s">
        <v>268</v>
      </c>
      <c r="D2639" s="25">
        <v>294</v>
      </c>
      <c r="E2639" s="107" t="s">
        <v>193</v>
      </c>
      <c r="F2639" s="107" t="s">
        <v>221</v>
      </c>
      <c r="G2639" s="107">
        <v>13</v>
      </c>
      <c r="H2639" s="107">
        <v>9</v>
      </c>
      <c r="I2639" s="107">
        <v>8</v>
      </c>
      <c r="J2639" s="107">
        <f t="shared" si="41"/>
        <v>4.583333333333333E-2</v>
      </c>
      <c r="K2639" s="25">
        <v>6785</v>
      </c>
    </row>
    <row r="2640" spans="1:11" x14ac:dyDescent="0.15">
      <c r="A2640" s="107">
        <v>1790</v>
      </c>
      <c r="B2640" s="107" t="s">
        <v>226</v>
      </c>
      <c r="C2640" s="107" t="s">
        <v>268</v>
      </c>
      <c r="D2640" s="25">
        <v>324</v>
      </c>
      <c r="E2640" s="107" t="s">
        <v>193</v>
      </c>
      <c r="F2640" s="107" t="s">
        <v>221</v>
      </c>
      <c r="G2640" s="107">
        <v>14</v>
      </c>
      <c r="H2640" s="107">
        <v>17</v>
      </c>
      <c r="I2640" s="107">
        <v>0</v>
      </c>
      <c r="J2640" s="107">
        <f t="shared" si="41"/>
        <v>4.583333333333333E-2</v>
      </c>
      <c r="K2640" s="25">
        <v>6790</v>
      </c>
    </row>
    <row r="2641" spans="1:11" x14ac:dyDescent="0.15">
      <c r="A2641" s="107">
        <v>1790</v>
      </c>
      <c r="B2641" s="107" t="s">
        <v>196</v>
      </c>
      <c r="C2641" s="107" t="s">
        <v>268</v>
      </c>
      <c r="D2641" s="25">
        <v>252</v>
      </c>
      <c r="E2641" s="107" t="s">
        <v>193</v>
      </c>
      <c r="F2641" s="107" t="s">
        <v>221</v>
      </c>
      <c r="G2641" s="107">
        <v>11</v>
      </c>
      <c r="H2641" s="107">
        <v>11</v>
      </c>
      <c r="I2641" s="107">
        <v>0</v>
      </c>
      <c r="J2641" s="107">
        <f t="shared" si="41"/>
        <v>4.5833333333333337E-2</v>
      </c>
      <c r="K2641" s="25">
        <v>6790</v>
      </c>
    </row>
    <row r="2642" spans="1:11" x14ac:dyDescent="0.15">
      <c r="A2642" s="107">
        <v>1791</v>
      </c>
      <c r="B2642" s="107" t="s">
        <v>196</v>
      </c>
      <c r="C2642" s="107" t="s">
        <v>268</v>
      </c>
      <c r="D2642" s="25">
        <v>374</v>
      </c>
      <c r="E2642" s="107" t="s">
        <v>193</v>
      </c>
      <c r="F2642" s="107" t="s">
        <v>221</v>
      </c>
      <c r="G2642" s="107">
        <v>17</v>
      </c>
      <c r="H2642" s="107">
        <v>2</v>
      </c>
      <c r="I2642" s="107">
        <v>8</v>
      </c>
      <c r="J2642" s="107">
        <f t="shared" si="41"/>
        <v>4.5788770053475938E-2</v>
      </c>
      <c r="K2642" s="107">
        <v>6805</v>
      </c>
    </row>
    <row r="2643" spans="1:11" x14ac:dyDescent="0.15">
      <c r="A2643" s="107">
        <v>1791</v>
      </c>
      <c r="B2643" s="107" t="s">
        <v>197</v>
      </c>
      <c r="C2643" s="107" t="s">
        <v>268</v>
      </c>
      <c r="D2643" s="25">
        <v>451</v>
      </c>
      <c r="E2643" s="107" t="s">
        <v>193</v>
      </c>
      <c r="F2643" s="107" t="s">
        <v>221</v>
      </c>
      <c r="G2643" s="107">
        <v>20</v>
      </c>
      <c r="H2643" s="107">
        <v>13</v>
      </c>
      <c r="I2643" s="107">
        <v>8</v>
      </c>
      <c r="J2643" s="107">
        <f t="shared" si="41"/>
        <v>4.5842572062084253E-2</v>
      </c>
      <c r="K2643" s="107">
        <v>6804</v>
      </c>
    </row>
    <row r="2644" spans="1:11" x14ac:dyDescent="0.15">
      <c r="A2644" s="107">
        <v>1792</v>
      </c>
      <c r="B2644" s="107" t="s">
        <v>196</v>
      </c>
      <c r="C2644" s="107" t="s">
        <v>268</v>
      </c>
      <c r="D2644" s="25">
        <v>200</v>
      </c>
      <c r="E2644" s="107" t="s">
        <v>193</v>
      </c>
      <c r="F2644" s="107" t="s">
        <v>221</v>
      </c>
      <c r="G2644" s="107">
        <v>9</v>
      </c>
      <c r="H2644" s="107">
        <v>3</v>
      </c>
      <c r="I2644" s="107">
        <v>8</v>
      </c>
      <c r="J2644" s="107">
        <f t="shared" si="41"/>
        <v>4.5875000000000006E-2</v>
      </c>
      <c r="K2644" s="107">
        <v>6811</v>
      </c>
    </row>
    <row r="2645" spans="1:11" x14ac:dyDescent="0.15">
      <c r="A2645" s="107">
        <v>1793</v>
      </c>
      <c r="B2645" s="107" t="s">
        <v>192</v>
      </c>
      <c r="C2645" s="107" t="s">
        <v>268</v>
      </c>
      <c r="D2645" s="25">
        <v>301</v>
      </c>
      <c r="E2645" s="107" t="s">
        <v>193</v>
      </c>
      <c r="F2645" s="107" t="s">
        <v>221</v>
      </c>
      <c r="G2645" s="107">
        <v>10</v>
      </c>
      <c r="H2645" s="107">
        <v>7</v>
      </c>
      <c r="I2645" s="107">
        <v>0</v>
      </c>
      <c r="J2645" s="107">
        <f t="shared" si="41"/>
        <v>3.4385382059800663E-2</v>
      </c>
      <c r="K2645" s="107">
        <v>6826</v>
      </c>
    </row>
    <row r="2646" spans="1:11" x14ac:dyDescent="0.15">
      <c r="A2646" s="107">
        <v>1793</v>
      </c>
      <c r="B2646" s="107" t="s">
        <v>247</v>
      </c>
      <c r="C2646" s="107" t="s">
        <v>270</v>
      </c>
      <c r="D2646" s="25">
        <v>1501</v>
      </c>
      <c r="E2646" s="107" t="s">
        <v>193</v>
      </c>
      <c r="F2646" s="107" t="s">
        <v>221</v>
      </c>
      <c r="G2646" s="107">
        <v>68</v>
      </c>
      <c r="H2646" s="107">
        <v>16</v>
      </c>
      <c r="I2646" s="107">
        <v>0</v>
      </c>
      <c r="J2646" s="107">
        <f t="shared" si="41"/>
        <v>4.5836109260493002E-2</v>
      </c>
      <c r="K2646" s="107">
        <v>6826</v>
      </c>
    </row>
    <row r="2647" spans="1:11" x14ac:dyDescent="0.15">
      <c r="A2647" s="107">
        <v>1794</v>
      </c>
      <c r="B2647" s="107" t="s">
        <v>261</v>
      </c>
      <c r="C2647" s="107" t="s">
        <v>268</v>
      </c>
      <c r="D2647" s="25">
        <v>6634</v>
      </c>
      <c r="E2647" s="107" t="s">
        <v>193</v>
      </c>
      <c r="F2647" s="107" t="s">
        <v>221</v>
      </c>
      <c r="G2647" s="107">
        <v>228</v>
      </c>
      <c r="H2647" s="107">
        <v>1</v>
      </c>
      <c r="I2647" s="107">
        <v>0</v>
      </c>
      <c r="J2647" s="107">
        <f t="shared" si="41"/>
        <v>3.4375942116370219E-2</v>
      </c>
      <c r="K2647" s="107">
        <v>6839</v>
      </c>
    </row>
    <row r="2648" spans="1:11" x14ac:dyDescent="0.15">
      <c r="A2648" s="107">
        <v>1755</v>
      </c>
      <c r="B2648" s="107" t="s">
        <v>226</v>
      </c>
      <c r="C2648" s="107" t="s">
        <v>268</v>
      </c>
      <c r="D2648" s="25">
        <v>2500</v>
      </c>
      <c r="E2648" s="107" t="s">
        <v>193</v>
      </c>
      <c r="F2648" s="107" t="s">
        <v>728</v>
      </c>
      <c r="G2648" s="107">
        <v>250</v>
      </c>
      <c r="H2648" s="107">
        <v>0</v>
      </c>
      <c r="I2648" s="107">
        <v>0</v>
      </c>
      <c r="J2648" s="107">
        <f t="shared" si="41"/>
        <v>0.1</v>
      </c>
      <c r="K2648" s="107">
        <v>6316</v>
      </c>
    </row>
    <row r="2649" spans="1:11" x14ac:dyDescent="0.15">
      <c r="A2649" s="107">
        <v>1756</v>
      </c>
      <c r="B2649" s="107" t="s">
        <v>197</v>
      </c>
      <c r="C2649" s="107" t="s">
        <v>268</v>
      </c>
      <c r="D2649" s="25">
        <v>7600</v>
      </c>
      <c r="E2649" s="107" t="s">
        <v>193</v>
      </c>
      <c r="F2649" s="107" t="s">
        <v>728</v>
      </c>
      <c r="G2649" s="107">
        <v>760</v>
      </c>
      <c r="H2649" s="107">
        <v>0</v>
      </c>
      <c r="I2649" s="107">
        <v>0</v>
      </c>
      <c r="J2649" s="107">
        <f t="shared" si="41"/>
        <v>0.1</v>
      </c>
      <c r="K2649" s="107">
        <v>6333</v>
      </c>
    </row>
    <row r="2650" spans="1:11" x14ac:dyDescent="0.15">
      <c r="A2650" s="107">
        <v>1760</v>
      </c>
      <c r="B2650" s="107" t="s">
        <v>253</v>
      </c>
      <c r="C2650" s="107" t="s">
        <v>268</v>
      </c>
      <c r="D2650" s="25">
        <v>2800</v>
      </c>
      <c r="E2650" s="107" t="s">
        <v>193</v>
      </c>
      <c r="F2650" s="107" t="s">
        <v>728</v>
      </c>
      <c r="G2650" s="107">
        <v>280</v>
      </c>
      <c r="H2650" s="107">
        <v>0</v>
      </c>
      <c r="I2650" s="107">
        <v>0</v>
      </c>
      <c r="J2650" s="107">
        <f t="shared" si="41"/>
        <v>0.1</v>
      </c>
      <c r="K2650" s="107">
        <v>6387</v>
      </c>
    </row>
    <row r="2651" spans="1:11" x14ac:dyDescent="0.15">
      <c r="A2651" s="107">
        <v>1760</v>
      </c>
      <c r="B2651" s="107" t="s">
        <v>244</v>
      </c>
      <c r="C2651" s="107" t="s">
        <v>268</v>
      </c>
      <c r="D2651" s="25">
        <v>840</v>
      </c>
      <c r="E2651" s="107" t="s">
        <v>193</v>
      </c>
      <c r="F2651" s="107" t="s">
        <v>728</v>
      </c>
      <c r="G2651" s="107">
        <v>84</v>
      </c>
      <c r="H2651" s="107">
        <v>0</v>
      </c>
      <c r="I2651" s="107">
        <v>0</v>
      </c>
      <c r="J2651" s="107">
        <f t="shared" si="41"/>
        <v>0.1</v>
      </c>
      <c r="K2651" s="107">
        <v>6374</v>
      </c>
    </row>
    <row r="2652" spans="1:11" x14ac:dyDescent="0.15">
      <c r="A2652" s="107">
        <v>1761</v>
      </c>
      <c r="B2652" s="107" t="s">
        <v>260</v>
      </c>
      <c r="C2652" s="107" t="s">
        <v>268</v>
      </c>
      <c r="D2652" s="25">
        <v>436</v>
      </c>
      <c r="E2652" s="107" t="s">
        <v>193</v>
      </c>
      <c r="F2652" s="107" t="s">
        <v>728</v>
      </c>
      <c r="G2652" s="107">
        <v>43</v>
      </c>
      <c r="H2652" s="107">
        <v>12</v>
      </c>
      <c r="I2652" s="107">
        <v>0</v>
      </c>
      <c r="J2652" s="107">
        <f t="shared" si="41"/>
        <v>0.1</v>
      </c>
      <c r="K2652" s="107">
        <v>6388</v>
      </c>
    </row>
    <row r="2653" spans="1:11" x14ac:dyDescent="0.15">
      <c r="A2653" s="107">
        <v>1761</v>
      </c>
      <c r="B2653" s="107" t="s">
        <v>261</v>
      </c>
      <c r="C2653" s="107" t="s">
        <v>268</v>
      </c>
      <c r="D2653" s="25">
        <v>496</v>
      </c>
      <c r="E2653" s="107" t="s">
        <v>193</v>
      </c>
      <c r="F2653" s="107" t="s">
        <v>728</v>
      </c>
      <c r="G2653" s="107">
        <v>49</v>
      </c>
      <c r="H2653" s="107">
        <v>12</v>
      </c>
      <c r="I2653" s="107">
        <v>0</v>
      </c>
      <c r="J2653" s="107">
        <f t="shared" si="41"/>
        <v>0.1</v>
      </c>
      <c r="K2653" s="107">
        <v>6387</v>
      </c>
    </row>
    <row r="2654" spans="1:11" x14ac:dyDescent="0.15">
      <c r="A2654" s="107">
        <v>1762</v>
      </c>
      <c r="B2654" s="107" t="s">
        <v>261</v>
      </c>
      <c r="C2654" s="107" t="s">
        <v>268</v>
      </c>
      <c r="D2654" s="25">
        <v>920</v>
      </c>
      <c r="E2654" s="107" t="s">
        <v>193</v>
      </c>
      <c r="F2654" s="107" t="s">
        <v>728</v>
      </c>
      <c r="G2654" s="107">
        <v>92</v>
      </c>
      <c r="H2654" s="107">
        <v>0</v>
      </c>
      <c r="I2654" s="107">
        <v>0</v>
      </c>
      <c r="J2654" s="107">
        <f t="shared" si="41"/>
        <v>0.1</v>
      </c>
      <c r="K2654" s="107">
        <v>6394</v>
      </c>
    </row>
    <row r="2655" spans="1:11" x14ac:dyDescent="0.15">
      <c r="A2655" s="107">
        <v>1763</v>
      </c>
      <c r="B2655" s="107" t="s">
        <v>197</v>
      </c>
      <c r="C2655" s="107" t="s">
        <v>268</v>
      </c>
      <c r="D2655" s="25">
        <v>3200</v>
      </c>
      <c r="E2655" s="107" t="s">
        <v>193</v>
      </c>
      <c r="F2655" s="107" t="s">
        <v>728</v>
      </c>
      <c r="G2655" s="107">
        <v>320</v>
      </c>
      <c r="H2655" s="107">
        <v>0</v>
      </c>
      <c r="I2655" s="107">
        <v>0</v>
      </c>
      <c r="J2655" s="107">
        <f t="shared" si="41"/>
        <v>0.1</v>
      </c>
      <c r="K2655" s="107">
        <v>6423</v>
      </c>
    </row>
    <row r="2656" spans="1:11" x14ac:dyDescent="0.15">
      <c r="A2656" s="107">
        <v>1763</v>
      </c>
      <c r="B2656" s="107" t="s">
        <v>244</v>
      </c>
      <c r="C2656" s="107" t="s">
        <v>268</v>
      </c>
      <c r="D2656" s="25">
        <v>1098</v>
      </c>
      <c r="E2656" s="107" t="s">
        <v>193</v>
      </c>
      <c r="F2656" s="107" t="s">
        <v>728</v>
      </c>
      <c r="G2656" s="107">
        <v>109</v>
      </c>
      <c r="H2656" s="107">
        <v>16</v>
      </c>
      <c r="I2656" s="107">
        <v>0</v>
      </c>
      <c r="J2656" s="107">
        <f t="shared" si="41"/>
        <v>9.9999999999999992E-2</v>
      </c>
      <c r="K2656" s="107">
        <v>6413</v>
      </c>
    </row>
    <row r="2657" spans="1:14" x14ac:dyDescent="0.15">
      <c r="A2657" s="107">
        <v>1764</v>
      </c>
      <c r="B2657" s="107" t="s">
        <v>244</v>
      </c>
      <c r="C2657" s="107" t="s">
        <v>268</v>
      </c>
      <c r="D2657" s="25">
        <v>1188</v>
      </c>
      <c r="E2657" s="107" t="s">
        <v>193</v>
      </c>
      <c r="F2657" s="107" t="s">
        <v>728</v>
      </c>
      <c r="G2657" s="107">
        <v>118</v>
      </c>
      <c r="H2657" s="107">
        <v>16</v>
      </c>
      <c r="I2657" s="107">
        <v>0</v>
      </c>
      <c r="J2657" s="107">
        <f t="shared" si="41"/>
        <v>9.9999999999999992E-2</v>
      </c>
      <c r="K2657" s="107">
        <v>6419</v>
      </c>
      <c r="L2657" s="107"/>
      <c r="M2657" s="107"/>
      <c r="N2657" s="107"/>
    </row>
    <row r="2658" spans="1:14" x14ac:dyDescent="0.15">
      <c r="A2658" s="107">
        <v>1764</v>
      </c>
      <c r="B2658" s="107" t="s">
        <v>261</v>
      </c>
      <c r="C2658" s="107" t="s">
        <v>268</v>
      </c>
      <c r="D2658" s="25">
        <v>840</v>
      </c>
      <c r="E2658" s="107" t="s">
        <v>193</v>
      </c>
      <c r="F2658" s="107" t="s">
        <v>728</v>
      </c>
      <c r="G2658" s="107">
        <v>84</v>
      </c>
      <c r="H2658" s="107">
        <v>0</v>
      </c>
      <c r="I2658" s="107">
        <v>0</v>
      </c>
      <c r="J2658" s="107">
        <f t="shared" si="41"/>
        <v>0.1</v>
      </c>
      <c r="K2658" s="107">
        <v>6423</v>
      </c>
      <c r="L2658" s="107"/>
      <c r="M2658" s="107"/>
      <c r="N2658" s="107"/>
    </row>
    <row r="2659" spans="1:14" x14ac:dyDescent="0.15">
      <c r="A2659" s="107">
        <v>1766</v>
      </c>
      <c r="B2659" s="107" t="s">
        <v>261</v>
      </c>
      <c r="C2659" s="107" t="s">
        <v>268</v>
      </c>
      <c r="D2659" s="25">
        <v>2350</v>
      </c>
      <c r="E2659" s="107" t="s">
        <v>193</v>
      </c>
      <c r="F2659" s="107" t="s">
        <v>728</v>
      </c>
      <c r="G2659" s="107">
        <v>235</v>
      </c>
      <c r="H2659" s="107">
        <v>0</v>
      </c>
      <c r="I2659" s="107">
        <v>0</v>
      </c>
      <c r="J2659" s="107">
        <f t="shared" si="41"/>
        <v>0.1</v>
      </c>
      <c r="K2659" s="107">
        <v>6457</v>
      </c>
      <c r="L2659" s="107"/>
      <c r="M2659" s="107"/>
      <c r="N2659" s="107"/>
    </row>
    <row r="2660" spans="1:14" x14ac:dyDescent="0.15">
      <c r="A2660" s="107">
        <v>1767</v>
      </c>
      <c r="B2660" s="107" t="s">
        <v>197</v>
      </c>
      <c r="C2660" s="107" t="s">
        <v>268</v>
      </c>
      <c r="D2660" s="25">
        <v>3100</v>
      </c>
      <c r="E2660" s="107" t="s">
        <v>193</v>
      </c>
      <c r="F2660" s="107" t="s">
        <v>728</v>
      </c>
      <c r="G2660" s="107">
        <v>310</v>
      </c>
      <c r="H2660" s="107">
        <v>0</v>
      </c>
      <c r="I2660" s="107">
        <v>0</v>
      </c>
      <c r="J2660" s="107">
        <f t="shared" si="41"/>
        <v>0.1</v>
      </c>
      <c r="K2660" s="107">
        <v>6475</v>
      </c>
      <c r="L2660" s="107"/>
      <c r="M2660" s="107"/>
      <c r="N2660" s="107"/>
    </row>
    <row r="2661" spans="1:14" x14ac:dyDescent="0.15">
      <c r="A2661" s="107">
        <v>1656</v>
      </c>
      <c r="B2661" s="107" t="s">
        <v>283</v>
      </c>
      <c r="C2661" s="107" t="s">
        <v>274</v>
      </c>
      <c r="D2661" s="107">
        <v>1</v>
      </c>
      <c r="E2661" s="107"/>
      <c r="F2661" s="107" t="s">
        <v>729</v>
      </c>
      <c r="G2661" s="107">
        <v>2268</v>
      </c>
      <c r="H2661" s="107">
        <v>0</v>
      </c>
      <c r="I2661" s="107">
        <v>15</v>
      </c>
      <c r="J2661" s="107">
        <f t="shared" si="41"/>
        <v>2268.046875</v>
      </c>
      <c r="K2661" s="107">
        <v>3991</v>
      </c>
      <c r="L2661" s="107">
        <v>1788</v>
      </c>
      <c r="M2661" s="107">
        <v>149</v>
      </c>
      <c r="N2661" s="107" t="s">
        <v>284</v>
      </c>
    </row>
    <row r="2662" spans="1:14" x14ac:dyDescent="0.15">
      <c r="A2662" s="107">
        <v>1655</v>
      </c>
      <c r="B2662" s="107" t="s">
        <v>236</v>
      </c>
      <c r="C2662" s="107" t="s">
        <v>274</v>
      </c>
      <c r="D2662" s="107">
        <v>1000</v>
      </c>
      <c r="E2662" s="107"/>
      <c r="F2662" s="107" t="s">
        <v>730</v>
      </c>
      <c r="G2662" s="107">
        <v>25</v>
      </c>
      <c r="H2662" s="107">
        <v>8</v>
      </c>
      <c r="I2662" s="107">
        <v>0</v>
      </c>
      <c r="J2662" s="107">
        <f t="shared" si="41"/>
        <v>2.5399999999999999E-2</v>
      </c>
      <c r="K2662" s="107">
        <v>3990</v>
      </c>
      <c r="L2662" s="107">
        <v>1788</v>
      </c>
      <c r="M2662" s="107">
        <v>203</v>
      </c>
      <c r="N2662" s="107"/>
    </row>
    <row r="2663" spans="1:14" x14ac:dyDescent="0.15">
      <c r="A2663" s="107">
        <v>1655</v>
      </c>
      <c r="B2663" s="107" t="s">
        <v>236</v>
      </c>
      <c r="C2663" s="107" t="s">
        <v>274</v>
      </c>
      <c r="D2663" s="107">
        <v>70</v>
      </c>
      <c r="E2663" s="107" t="s">
        <v>731</v>
      </c>
      <c r="F2663" s="107" t="s">
        <v>732</v>
      </c>
      <c r="G2663" s="107">
        <v>60</v>
      </c>
      <c r="H2663" s="107">
        <v>0</v>
      </c>
      <c r="I2663" s="107">
        <v>0</v>
      </c>
      <c r="J2663" s="107">
        <f t="shared" si="41"/>
        <v>0.8571428571428571</v>
      </c>
      <c r="K2663" s="107">
        <v>3990</v>
      </c>
      <c r="L2663" s="107">
        <v>1788</v>
      </c>
      <c r="M2663" s="107">
        <v>204</v>
      </c>
      <c r="N2663" s="107" t="s">
        <v>349</v>
      </c>
    </row>
    <row r="2664" spans="1:14" x14ac:dyDescent="0.15">
      <c r="A2664" s="107">
        <v>1656</v>
      </c>
      <c r="B2664" s="107" t="s">
        <v>283</v>
      </c>
      <c r="C2664" s="107" t="s">
        <v>274</v>
      </c>
      <c r="D2664" s="107">
        <v>20</v>
      </c>
      <c r="E2664" s="107" t="s">
        <v>731</v>
      </c>
      <c r="F2664" s="107" t="s">
        <v>732</v>
      </c>
      <c r="G2664" s="107">
        <v>20</v>
      </c>
      <c r="H2664" s="107">
        <v>0</v>
      </c>
      <c r="I2664" s="107">
        <v>0</v>
      </c>
      <c r="J2664" s="107">
        <f t="shared" si="41"/>
        <v>1</v>
      </c>
      <c r="K2664" s="107">
        <v>3991</v>
      </c>
      <c r="L2664" s="107">
        <v>1788</v>
      </c>
      <c r="M2664" s="107">
        <v>149</v>
      </c>
      <c r="N2664" s="107" t="s">
        <v>284</v>
      </c>
    </row>
    <row r="2665" spans="1:14" x14ac:dyDescent="0.15">
      <c r="A2665" s="107">
        <v>1656</v>
      </c>
      <c r="B2665" s="107" t="s">
        <v>283</v>
      </c>
      <c r="C2665" s="107" t="s">
        <v>274</v>
      </c>
      <c r="D2665" s="107">
        <v>3</v>
      </c>
      <c r="E2665" s="107"/>
      <c r="F2665" s="107" t="s">
        <v>733</v>
      </c>
      <c r="G2665" s="107">
        <v>7</v>
      </c>
      <c r="H2665" s="107">
        <v>10</v>
      </c>
      <c r="I2665" s="107">
        <v>0</v>
      </c>
      <c r="J2665" s="107">
        <f t="shared" si="41"/>
        <v>2.5</v>
      </c>
      <c r="K2665" s="107">
        <v>3991</v>
      </c>
      <c r="L2665" s="107">
        <v>1788</v>
      </c>
      <c r="M2665" s="107">
        <v>150</v>
      </c>
      <c r="N2665" s="107" t="s">
        <v>284</v>
      </c>
    </row>
    <row r="2666" spans="1:14" x14ac:dyDescent="0.15">
      <c r="A2666" s="107">
        <v>1655</v>
      </c>
      <c r="B2666" s="107" t="s">
        <v>197</v>
      </c>
      <c r="C2666" s="107" t="s">
        <v>274</v>
      </c>
      <c r="D2666" s="107">
        <v>3.5</v>
      </c>
      <c r="E2666" s="107" t="s">
        <v>375</v>
      </c>
      <c r="F2666" s="107" t="s">
        <v>734</v>
      </c>
      <c r="G2666" s="107">
        <v>280</v>
      </c>
      <c r="H2666" s="107">
        <v>0</v>
      </c>
      <c r="I2666" s="107">
        <v>0</v>
      </c>
      <c r="J2666" s="107">
        <f t="shared" si="41"/>
        <v>80</v>
      </c>
      <c r="K2666" s="107">
        <v>3990</v>
      </c>
      <c r="L2666" s="107">
        <v>1788</v>
      </c>
      <c r="M2666" s="107">
        <v>149</v>
      </c>
      <c r="N2666" s="107"/>
    </row>
    <row r="2667" spans="1:14" x14ac:dyDescent="0.15">
      <c r="A2667" s="107">
        <v>1656</v>
      </c>
      <c r="B2667" s="107" t="s">
        <v>261</v>
      </c>
      <c r="C2667" s="107" t="s">
        <v>274</v>
      </c>
      <c r="D2667" s="107">
        <v>3</v>
      </c>
      <c r="E2667" s="107" t="s">
        <v>375</v>
      </c>
      <c r="F2667" s="107" t="s">
        <v>734</v>
      </c>
      <c r="G2667" s="107">
        <v>198</v>
      </c>
      <c r="H2667" s="107">
        <v>18</v>
      </c>
      <c r="I2667" s="107">
        <v>0</v>
      </c>
      <c r="J2667" s="107">
        <f t="shared" si="41"/>
        <v>66.3</v>
      </c>
      <c r="K2667" s="107">
        <v>3991</v>
      </c>
      <c r="L2667" s="107">
        <v>1788</v>
      </c>
      <c r="M2667" s="107">
        <v>157</v>
      </c>
      <c r="N2667" s="107"/>
    </row>
    <row r="2668" spans="1:14" x14ac:dyDescent="0.15">
      <c r="A2668" s="107">
        <v>1658</v>
      </c>
      <c r="B2668" s="107" t="s">
        <v>197</v>
      </c>
      <c r="C2668" s="107" t="s">
        <v>274</v>
      </c>
      <c r="D2668" s="107">
        <v>0.5</v>
      </c>
      <c r="E2668" s="107" t="s">
        <v>375</v>
      </c>
      <c r="F2668" s="107" t="s">
        <v>734</v>
      </c>
      <c r="G2668" s="107">
        <v>62</v>
      </c>
      <c r="H2668" s="107">
        <v>8</v>
      </c>
      <c r="I2668" s="107">
        <v>0</v>
      </c>
      <c r="J2668" s="107">
        <f t="shared" si="41"/>
        <v>124.8</v>
      </c>
      <c r="K2668" s="107">
        <v>3993</v>
      </c>
      <c r="L2668" s="107">
        <v>1791</v>
      </c>
      <c r="M2668" s="107">
        <v>278</v>
      </c>
      <c r="N2668" s="107"/>
    </row>
    <row r="2669" spans="1:14" x14ac:dyDescent="0.15">
      <c r="A2669" s="107">
        <v>1659</v>
      </c>
      <c r="B2669" s="107" t="s">
        <v>197</v>
      </c>
      <c r="C2669" s="107" t="s">
        <v>274</v>
      </c>
      <c r="D2669" s="107">
        <v>1.5</v>
      </c>
      <c r="E2669" s="107" t="s">
        <v>375</v>
      </c>
      <c r="F2669" s="107" t="s">
        <v>735</v>
      </c>
      <c r="G2669" s="107">
        <v>93</v>
      </c>
      <c r="H2669" s="107">
        <v>12</v>
      </c>
      <c r="I2669" s="107">
        <v>0</v>
      </c>
      <c r="J2669" s="107">
        <f t="shared" si="41"/>
        <v>62.4</v>
      </c>
      <c r="K2669" s="107">
        <v>3994</v>
      </c>
      <c r="L2669" s="107">
        <v>1792</v>
      </c>
      <c r="M2669" s="107">
        <v>169</v>
      </c>
      <c r="N2669" s="107"/>
    </row>
    <row r="2670" spans="1:14" x14ac:dyDescent="0.15">
      <c r="A2670" s="107">
        <v>1663</v>
      </c>
      <c r="B2670" s="107" t="s">
        <v>197</v>
      </c>
      <c r="C2670" s="107" t="s">
        <v>274</v>
      </c>
      <c r="D2670" s="107">
        <v>18</v>
      </c>
      <c r="E2670" s="107" t="s">
        <v>375</v>
      </c>
      <c r="F2670" s="107" t="s">
        <v>735</v>
      </c>
      <c r="G2670" s="107">
        <v>100</v>
      </c>
      <c r="H2670" s="107">
        <v>0</v>
      </c>
      <c r="I2670" s="107">
        <v>0</v>
      </c>
      <c r="J2670" s="107">
        <f t="shared" si="41"/>
        <v>5.5555555555555554</v>
      </c>
      <c r="K2670" s="107">
        <v>3998</v>
      </c>
      <c r="L2670" s="107">
        <v>1797</v>
      </c>
      <c r="M2670" s="107" t="s">
        <v>290</v>
      </c>
      <c r="N2670" s="107" t="s">
        <v>736</v>
      </c>
    </row>
    <row r="2671" spans="1:14" x14ac:dyDescent="0.15">
      <c r="A2671" s="107">
        <v>1665</v>
      </c>
      <c r="B2671" s="107" t="s">
        <v>197</v>
      </c>
      <c r="C2671" s="107" t="s">
        <v>274</v>
      </c>
      <c r="D2671" s="107">
        <v>25</v>
      </c>
      <c r="E2671" s="107" t="s">
        <v>375</v>
      </c>
      <c r="F2671" s="107" t="s">
        <v>735</v>
      </c>
      <c r="G2671" s="107">
        <v>2400</v>
      </c>
      <c r="H2671" s="107">
        <v>0</v>
      </c>
      <c r="I2671" s="107">
        <v>0</v>
      </c>
      <c r="J2671" s="107">
        <f t="shared" si="41"/>
        <v>96</v>
      </c>
      <c r="K2671" s="107">
        <v>4000</v>
      </c>
      <c r="L2671" s="107">
        <v>1798</v>
      </c>
      <c r="M2671" s="107">
        <v>65</v>
      </c>
      <c r="N2671" s="107"/>
    </row>
    <row r="2672" spans="1:14" x14ac:dyDescent="0.15">
      <c r="A2672" s="107">
        <v>1666</v>
      </c>
      <c r="B2672" s="107" t="s">
        <v>197</v>
      </c>
      <c r="C2672" s="107" t="s">
        <v>274</v>
      </c>
      <c r="D2672" s="107">
        <v>4</v>
      </c>
      <c r="E2672" s="107" t="s">
        <v>375</v>
      </c>
      <c r="F2672" s="107" t="s">
        <v>735</v>
      </c>
      <c r="G2672" s="107">
        <v>384</v>
      </c>
      <c r="H2672" s="107">
        <v>0</v>
      </c>
      <c r="I2672" s="107">
        <v>0</v>
      </c>
      <c r="J2672" s="107">
        <f t="shared" ref="J2672:J2735" si="42">(G2672+H2672/20+I2672/320)/D2672</f>
        <v>96</v>
      </c>
      <c r="K2672" s="107">
        <v>4001</v>
      </c>
      <c r="L2672" s="107">
        <v>1800</v>
      </c>
      <c r="M2672" s="107">
        <v>40</v>
      </c>
      <c r="N2672" s="107"/>
    </row>
    <row r="2673" spans="1:14" x14ac:dyDescent="0.15">
      <c r="A2673" s="107">
        <v>1669</v>
      </c>
      <c r="B2673" s="107" t="s">
        <v>253</v>
      </c>
      <c r="C2673" s="107" t="s">
        <v>274</v>
      </c>
      <c r="D2673" s="107">
        <v>3440</v>
      </c>
      <c r="E2673" s="107" t="s">
        <v>193</v>
      </c>
      <c r="F2673" s="107" t="s">
        <v>735</v>
      </c>
      <c r="G2673" s="107">
        <v>2937</v>
      </c>
      <c r="H2673" s="107">
        <v>12</v>
      </c>
      <c r="I2673" s="107">
        <v>0</v>
      </c>
      <c r="J2673" s="107">
        <f t="shared" si="42"/>
        <v>0.85395348837209295</v>
      </c>
      <c r="K2673" s="107">
        <v>4004</v>
      </c>
      <c r="L2673" s="107">
        <v>1805</v>
      </c>
      <c r="M2673" s="107">
        <v>572</v>
      </c>
      <c r="N2673" s="107"/>
    </row>
    <row r="2674" spans="1:14" x14ac:dyDescent="0.15">
      <c r="A2674" s="107">
        <v>1672</v>
      </c>
      <c r="B2674" s="107" t="s">
        <v>197</v>
      </c>
      <c r="C2674" s="107" t="s">
        <v>274</v>
      </c>
      <c r="D2674" s="107">
        <v>12</v>
      </c>
      <c r="E2674" s="107" t="s">
        <v>193</v>
      </c>
      <c r="F2674" s="107" t="s">
        <v>735</v>
      </c>
      <c r="G2674" s="107">
        <v>12</v>
      </c>
      <c r="H2674" s="107">
        <v>0</v>
      </c>
      <c r="I2674" s="107">
        <v>0</v>
      </c>
      <c r="J2674" s="107">
        <f t="shared" si="42"/>
        <v>1</v>
      </c>
      <c r="K2674" s="107">
        <v>4008</v>
      </c>
      <c r="L2674" s="107">
        <v>1810</v>
      </c>
      <c r="M2674" s="107">
        <v>525</v>
      </c>
      <c r="N2674" s="107"/>
    </row>
    <row r="2675" spans="1:14" x14ac:dyDescent="0.15">
      <c r="A2675" s="107">
        <v>1673</v>
      </c>
      <c r="B2675" s="107" t="s">
        <v>197</v>
      </c>
      <c r="C2675" s="107" t="s">
        <v>274</v>
      </c>
      <c r="D2675" s="107">
        <v>66</v>
      </c>
      <c r="E2675" s="107" t="s">
        <v>193</v>
      </c>
      <c r="F2675" s="107" t="s">
        <v>735</v>
      </c>
      <c r="G2675" s="107">
        <v>55</v>
      </c>
      <c r="H2675" s="107">
        <v>5</v>
      </c>
      <c r="I2675" s="107">
        <v>8</v>
      </c>
      <c r="J2675" s="107">
        <f t="shared" si="42"/>
        <v>0.83750000000000002</v>
      </c>
      <c r="K2675" s="107">
        <v>4010</v>
      </c>
      <c r="L2675" s="107">
        <v>1812</v>
      </c>
      <c r="M2675" s="107">
        <v>548</v>
      </c>
      <c r="N2675" s="107"/>
    </row>
    <row r="2676" spans="1:14" x14ac:dyDescent="0.15">
      <c r="A2676" s="107">
        <v>1676</v>
      </c>
      <c r="B2676" s="107" t="s">
        <v>197</v>
      </c>
      <c r="C2676" s="107" t="s">
        <v>274</v>
      </c>
      <c r="D2676" s="107">
        <v>91</v>
      </c>
      <c r="E2676" s="107" t="s">
        <v>193</v>
      </c>
      <c r="F2676" s="107" t="s">
        <v>735</v>
      </c>
      <c r="G2676" s="107">
        <v>91</v>
      </c>
      <c r="H2676" s="107">
        <v>11</v>
      </c>
      <c r="I2676" s="107">
        <v>0</v>
      </c>
      <c r="J2676" s="107">
        <f t="shared" si="42"/>
        <v>1.006043956043956</v>
      </c>
      <c r="K2676" s="107">
        <v>4012</v>
      </c>
      <c r="L2676" s="107">
        <v>1814</v>
      </c>
      <c r="M2676" s="107">
        <v>428</v>
      </c>
      <c r="N2676" s="107"/>
    </row>
    <row r="2677" spans="1:14" x14ac:dyDescent="0.15">
      <c r="A2677" s="107">
        <v>1677</v>
      </c>
      <c r="B2677" s="107" t="s">
        <v>197</v>
      </c>
      <c r="C2677" s="107" t="s">
        <v>274</v>
      </c>
      <c r="D2677" s="107">
        <v>30</v>
      </c>
      <c r="E2677" s="107" t="s">
        <v>193</v>
      </c>
      <c r="F2677" s="107" t="s">
        <v>735</v>
      </c>
      <c r="G2677" s="107">
        <v>30</v>
      </c>
      <c r="H2677" s="107">
        <v>0</v>
      </c>
      <c r="I2677" s="107">
        <v>0</v>
      </c>
      <c r="J2677" s="107">
        <f t="shared" si="42"/>
        <v>1</v>
      </c>
      <c r="K2677" s="107">
        <v>4013</v>
      </c>
      <c r="L2677" s="107">
        <v>1816</v>
      </c>
      <c r="M2677" s="107">
        <v>770</v>
      </c>
      <c r="N2677" s="107"/>
    </row>
    <row r="2678" spans="1:14" x14ac:dyDescent="0.15">
      <c r="A2678" s="107">
        <v>1678</v>
      </c>
      <c r="B2678" s="107" t="s">
        <v>253</v>
      </c>
      <c r="C2678" s="107" t="s">
        <v>295</v>
      </c>
      <c r="D2678" s="107">
        <v>1</v>
      </c>
      <c r="E2678" s="107" t="s">
        <v>375</v>
      </c>
      <c r="F2678" s="107" t="s">
        <v>735</v>
      </c>
      <c r="G2678" s="107">
        <v>60</v>
      </c>
      <c r="H2678" s="107">
        <v>0</v>
      </c>
      <c r="I2678" s="107">
        <v>0</v>
      </c>
      <c r="J2678" s="107">
        <f t="shared" si="42"/>
        <v>60</v>
      </c>
      <c r="K2678" s="107">
        <v>4014</v>
      </c>
      <c r="L2678" s="107">
        <v>4903</v>
      </c>
      <c r="M2678" s="107">
        <v>669</v>
      </c>
      <c r="N2678" s="107"/>
    </row>
    <row r="2679" spans="1:14" x14ac:dyDescent="0.15">
      <c r="A2679" s="107">
        <v>1681</v>
      </c>
      <c r="B2679" s="107" t="s">
        <v>197</v>
      </c>
      <c r="C2679" s="107" t="s">
        <v>271</v>
      </c>
      <c r="D2679" s="107">
        <v>6</v>
      </c>
      <c r="E2679" s="107" t="s">
        <v>193</v>
      </c>
      <c r="F2679" s="107" t="s">
        <v>735</v>
      </c>
      <c r="G2679" s="107">
        <v>3</v>
      </c>
      <c r="H2679" s="107">
        <v>7</v>
      </c>
      <c r="I2679" s="107">
        <v>8</v>
      </c>
      <c r="J2679" s="107">
        <f t="shared" si="42"/>
        <v>0.5625</v>
      </c>
      <c r="K2679" s="107">
        <v>4017</v>
      </c>
      <c r="L2679" s="107">
        <v>1819</v>
      </c>
      <c r="M2679" s="107">
        <v>425</v>
      </c>
      <c r="N2679" s="107"/>
    </row>
    <row r="2680" spans="1:14" x14ac:dyDescent="0.15">
      <c r="A2680" s="107">
        <v>1681</v>
      </c>
      <c r="B2680" s="107" t="s">
        <v>197</v>
      </c>
      <c r="C2680" s="107" t="s">
        <v>271</v>
      </c>
      <c r="D2680" s="107">
        <v>26.5</v>
      </c>
      <c r="E2680" s="107" t="s">
        <v>193</v>
      </c>
      <c r="F2680" s="107" t="s">
        <v>735</v>
      </c>
      <c r="G2680" s="107">
        <v>14</v>
      </c>
      <c r="H2680" s="107">
        <v>18</v>
      </c>
      <c r="I2680" s="107">
        <v>2</v>
      </c>
      <c r="J2680" s="107">
        <f t="shared" si="42"/>
        <v>0.5625</v>
      </c>
      <c r="K2680" s="107">
        <v>4017</v>
      </c>
      <c r="L2680" s="107">
        <v>1819</v>
      </c>
      <c r="M2680" s="107">
        <v>428</v>
      </c>
      <c r="N2680" s="107"/>
    </row>
    <row r="2681" spans="1:14" x14ac:dyDescent="0.15">
      <c r="A2681" s="107">
        <v>1682</v>
      </c>
      <c r="B2681" s="107" t="s">
        <v>197</v>
      </c>
      <c r="C2681" s="107" t="s">
        <v>271</v>
      </c>
      <c r="D2681" s="107">
        <v>6</v>
      </c>
      <c r="E2681" s="107" t="s">
        <v>193</v>
      </c>
      <c r="F2681" s="107" t="s">
        <v>735</v>
      </c>
      <c r="G2681" s="107">
        <v>3</v>
      </c>
      <c r="H2681" s="107">
        <v>4</v>
      </c>
      <c r="I2681" s="107">
        <v>2</v>
      </c>
      <c r="J2681" s="107">
        <f t="shared" si="42"/>
        <v>0.53437500000000004</v>
      </c>
      <c r="K2681" s="107">
        <v>4018</v>
      </c>
      <c r="L2681" s="107">
        <v>1820</v>
      </c>
      <c r="M2681" s="107">
        <v>756</v>
      </c>
      <c r="N2681" s="107" t="s">
        <v>294</v>
      </c>
    </row>
    <row r="2682" spans="1:14" x14ac:dyDescent="0.15">
      <c r="A2682" s="107">
        <v>1683</v>
      </c>
      <c r="B2682" s="107" t="s">
        <v>197</v>
      </c>
      <c r="C2682" s="107" t="s">
        <v>271</v>
      </c>
      <c r="D2682" s="107">
        <v>8</v>
      </c>
      <c r="E2682" s="107" t="s">
        <v>193</v>
      </c>
      <c r="F2682" s="107" t="s">
        <v>735</v>
      </c>
      <c r="G2682" s="107">
        <v>4</v>
      </c>
      <c r="H2682" s="107">
        <v>5</v>
      </c>
      <c r="I2682" s="107">
        <v>8</v>
      </c>
      <c r="J2682" s="107">
        <f t="shared" si="42"/>
        <v>0.53437500000000004</v>
      </c>
      <c r="K2682" s="107">
        <v>4019</v>
      </c>
      <c r="L2682" s="107">
        <v>1822</v>
      </c>
      <c r="M2682" s="107">
        <v>600</v>
      </c>
      <c r="N2682" s="107"/>
    </row>
    <row r="2683" spans="1:14" x14ac:dyDescent="0.15">
      <c r="A2683" s="107">
        <v>1684</v>
      </c>
      <c r="B2683" s="107" t="s">
        <v>261</v>
      </c>
      <c r="C2683" s="107" t="s">
        <v>271</v>
      </c>
      <c r="D2683" s="107">
        <v>8</v>
      </c>
      <c r="E2683" s="107" t="s">
        <v>193</v>
      </c>
      <c r="F2683" s="107" t="s">
        <v>735</v>
      </c>
      <c r="G2683" s="107">
        <v>5</v>
      </c>
      <c r="H2683" s="107">
        <v>6</v>
      </c>
      <c r="I2683" s="107">
        <v>0</v>
      </c>
      <c r="J2683" s="107">
        <f t="shared" si="42"/>
        <v>0.66249999999999998</v>
      </c>
      <c r="K2683" s="107">
        <v>4021</v>
      </c>
      <c r="L2683" s="107">
        <v>1825</v>
      </c>
      <c r="M2683" s="107">
        <v>685</v>
      </c>
      <c r="N2683" s="107"/>
    </row>
    <row r="2684" spans="1:14" x14ac:dyDescent="0.15">
      <c r="A2684" s="107">
        <v>1685</v>
      </c>
      <c r="B2684" s="107" t="s">
        <v>196</v>
      </c>
      <c r="C2684" s="107" t="s">
        <v>271</v>
      </c>
      <c r="D2684" s="107">
        <v>102</v>
      </c>
      <c r="E2684" s="107" t="s">
        <v>193</v>
      </c>
      <c r="F2684" s="107" t="s">
        <v>735</v>
      </c>
      <c r="G2684" s="107">
        <v>85</v>
      </c>
      <c r="H2684" s="107">
        <v>6</v>
      </c>
      <c r="I2684" s="107">
        <v>8</v>
      </c>
      <c r="J2684" s="107">
        <f t="shared" si="42"/>
        <v>0.83651960784313728</v>
      </c>
      <c r="K2684" s="107">
        <v>4022</v>
      </c>
      <c r="L2684" s="107">
        <v>1827</v>
      </c>
      <c r="M2684" s="107">
        <v>600</v>
      </c>
      <c r="N2684" s="107"/>
    </row>
    <row r="2685" spans="1:14" x14ac:dyDescent="0.15">
      <c r="A2685" s="107">
        <v>1686</v>
      </c>
      <c r="B2685" s="107" t="s">
        <v>197</v>
      </c>
      <c r="C2685" s="107" t="s">
        <v>271</v>
      </c>
      <c r="D2685" s="107">
        <v>20</v>
      </c>
      <c r="E2685" s="107" t="s">
        <v>193</v>
      </c>
      <c r="F2685" s="107" t="s">
        <v>735</v>
      </c>
      <c r="G2685" s="107">
        <v>20</v>
      </c>
      <c r="H2685" s="107">
        <v>0</v>
      </c>
      <c r="I2685" s="107">
        <v>0</v>
      </c>
      <c r="J2685" s="107">
        <f t="shared" si="42"/>
        <v>1</v>
      </c>
      <c r="K2685" s="107">
        <v>4023</v>
      </c>
      <c r="L2685" s="107">
        <v>1829</v>
      </c>
      <c r="M2685" s="107">
        <v>706</v>
      </c>
      <c r="N2685" s="107">
        <f>AVERAGE(J2685:J2686)</f>
        <v>0.84433593750000002</v>
      </c>
    </row>
    <row r="2686" spans="1:14" x14ac:dyDescent="0.15">
      <c r="A2686" s="107">
        <v>1686</v>
      </c>
      <c r="B2686" s="107" t="s">
        <v>247</v>
      </c>
      <c r="C2686" s="107" t="s">
        <v>295</v>
      </c>
      <c r="D2686" s="107">
        <v>8</v>
      </c>
      <c r="E2686" s="107" t="s">
        <v>193</v>
      </c>
      <c r="F2686" s="107" t="s">
        <v>735</v>
      </c>
      <c r="G2686" s="107">
        <v>5</v>
      </c>
      <c r="H2686" s="107">
        <v>9</v>
      </c>
      <c r="I2686" s="107">
        <v>19</v>
      </c>
      <c r="J2686" s="107">
        <f t="shared" si="42"/>
        <v>0.68867187500000004</v>
      </c>
      <c r="K2686" s="107">
        <v>4023</v>
      </c>
      <c r="L2686" s="107">
        <v>1829</v>
      </c>
      <c r="M2686" s="107">
        <v>831</v>
      </c>
      <c r="N2686" s="107"/>
    </row>
    <row r="2687" spans="1:14" x14ac:dyDescent="0.15">
      <c r="A2687" s="107">
        <v>1689</v>
      </c>
      <c r="B2687" s="107" t="s">
        <v>197</v>
      </c>
      <c r="C2687" s="107" t="s">
        <v>271</v>
      </c>
      <c r="D2687" s="107">
        <v>18</v>
      </c>
      <c r="E2687" s="107" t="s">
        <v>193</v>
      </c>
      <c r="F2687" s="107" t="s">
        <v>735</v>
      </c>
      <c r="G2687" s="107">
        <v>16</v>
      </c>
      <c r="H2687" s="107">
        <v>4</v>
      </c>
      <c r="I2687" s="107">
        <v>0</v>
      </c>
      <c r="J2687" s="107">
        <f t="shared" si="42"/>
        <v>0.89999999999999991</v>
      </c>
      <c r="K2687" s="107">
        <v>4027</v>
      </c>
      <c r="L2687" s="107">
        <v>1832</v>
      </c>
      <c r="M2687" s="107">
        <v>482</v>
      </c>
      <c r="N2687" s="107"/>
    </row>
    <row r="2688" spans="1:14" x14ac:dyDescent="0.15">
      <c r="A2688" s="107">
        <v>1690</v>
      </c>
      <c r="B2688" s="107" t="s">
        <v>200</v>
      </c>
      <c r="C2688" s="107" t="s">
        <v>271</v>
      </c>
      <c r="D2688" s="107">
        <v>80</v>
      </c>
      <c r="E2688" s="107" t="s">
        <v>193</v>
      </c>
      <c r="F2688" s="107" t="s">
        <v>735</v>
      </c>
      <c r="G2688" s="107">
        <v>72</v>
      </c>
      <c r="H2688" s="107">
        <v>0</v>
      </c>
      <c r="I2688" s="107">
        <v>0</v>
      </c>
      <c r="J2688" s="107">
        <f t="shared" si="42"/>
        <v>0.9</v>
      </c>
      <c r="K2688" s="107">
        <v>4028</v>
      </c>
      <c r="L2688" s="107">
        <v>1834</v>
      </c>
      <c r="M2688" s="107">
        <v>400</v>
      </c>
      <c r="N2688" s="107"/>
    </row>
    <row r="2689" spans="1:14" x14ac:dyDescent="0.15">
      <c r="A2689" s="107">
        <v>1692</v>
      </c>
      <c r="B2689" s="107" t="s">
        <v>247</v>
      </c>
      <c r="C2689" s="107" t="s">
        <v>271</v>
      </c>
      <c r="D2689" s="107">
        <v>25</v>
      </c>
      <c r="E2689" s="107" t="s">
        <v>193</v>
      </c>
      <c r="F2689" s="107" t="s">
        <v>735</v>
      </c>
      <c r="G2689" s="107">
        <v>11</v>
      </c>
      <c r="H2689" s="107">
        <v>5</v>
      </c>
      <c r="I2689" s="107">
        <v>0</v>
      </c>
      <c r="J2689" s="107">
        <f t="shared" si="42"/>
        <v>0.45</v>
      </c>
      <c r="K2689" s="107">
        <v>4030</v>
      </c>
      <c r="L2689" s="107">
        <v>1836</v>
      </c>
      <c r="M2689" s="107">
        <v>242</v>
      </c>
      <c r="N2689" s="107"/>
    </row>
    <row r="2690" spans="1:14" x14ac:dyDescent="0.15">
      <c r="A2690" s="107">
        <v>1693</v>
      </c>
      <c r="B2690" s="107" t="s">
        <v>253</v>
      </c>
      <c r="C2690" s="107" t="s">
        <v>271</v>
      </c>
      <c r="D2690" s="107">
        <v>50</v>
      </c>
      <c r="E2690" s="107" t="s">
        <v>193</v>
      </c>
      <c r="F2690" s="107" t="s">
        <v>735</v>
      </c>
      <c r="G2690" s="107">
        <v>22</v>
      </c>
      <c r="H2690" s="107">
        <v>10</v>
      </c>
      <c r="I2690" s="107">
        <v>0</v>
      </c>
      <c r="J2690" s="107">
        <f t="shared" si="42"/>
        <v>0.45</v>
      </c>
      <c r="K2690" s="107">
        <v>4030</v>
      </c>
      <c r="L2690" s="107">
        <v>1836</v>
      </c>
      <c r="M2690" s="107">
        <v>238</v>
      </c>
      <c r="N2690" s="107"/>
    </row>
    <row r="2691" spans="1:14" x14ac:dyDescent="0.15">
      <c r="A2691" s="107">
        <v>1697</v>
      </c>
      <c r="B2691" s="107" t="s">
        <v>197</v>
      </c>
      <c r="C2691" s="107" t="s">
        <v>271</v>
      </c>
      <c r="D2691" s="107">
        <v>16</v>
      </c>
      <c r="E2691" s="107" t="s">
        <v>193</v>
      </c>
      <c r="F2691" s="107" t="s">
        <v>735</v>
      </c>
      <c r="G2691" s="107">
        <v>8</v>
      </c>
      <c r="H2691" s="107">
        <v>0</v>
      </c>
      <c r="I2691" s="107">
        <v>0</v>
      </c>
      <c r="J2691" s="107">
        <f t="shared" si="42"/>
        <v>0.5</v>
      </c>
      <c r="K2691" s="107">
        <v>4038</v>
      </c>
      <c r="L2691" s="107">
        <v>1846</v>
      </c>
      <c r="M2691" s="107">
        <v>716</v>
      </c>
      <c r="N2691" s="107" t="s">
        <v>294</v>
      </c>
    </row>
    <row r="2692" spans="1:14" x14ac:dyDescent="0.15">
      <c r="A2692" s="107">
        <v>1698</v>
      </c>
      <c r="B2692" s="107" t="s">
        <v>200</v>
      </c>
      <c r="C2692" s="107" t="s">
        <v>271</v>
      </c>
      <c r="D2692" s="107">
        <v>20</v>
      </c>
      <c r="E2692" s="107" t="s">
        <v>193</v>
      </c>
      <c r="F2692" s="107" t="s">
        <v>735</v>
      </c>
      <c r="G2692" s="107">
        <v>12</v>
      </c>
      <c r="H2692" s="107">
        <v>0</v>
      </c>
      <c r="I2692" s="107">
        <v>0</v>
      </c>
      <c r="J2692" s="107">
        <f t="shared" si="42"/>
        <v>0.6</v>
      </c>
      <c r="K2692" s="107">
        <v>4043</v>
      </c>
      <c r="L2692" s="107">
        <v>1851</v>
      </c>
      <c r="M2692" s="107">
        <v>827</v>
      </c>
      <c r="N2692" s="107"/>
    </row>
    <row r="2693" spans="1:14" x14ac:dyDescent="0.15">
      <c r="A2693" s="107">
        <v>1699</v>
      </c>
      <c r="B2693" s="107" t="s">
        <v>197</v>
      </c>
      <c r="C2693" s="107" t="s">
        <v>271</v>
      </c>
      <c r="D2693" s="107">
        <v>20</v>
      </c>
      <c r="E2693" s="107" t="s">
        <v>193</v>
      </c>
      <c r="F2693" s="107" t="s">
        <v>735</v>
      </c>
      <c r="G2693" s="107">
        <v>12</v>
      </c>
      <c r="H2693" s="107">
        <v>0</v>
      </c>
      <c r="I2693" s="107">
        <v>0</v>
      </c>
      <c r="J2693" s="107">
        <f t="shared" si="42"/>
        <v>0.6</v>
      </c>
      <c r="K2693" s="107">
        <v>4043</v>
      </c>
      <c r="L2693" s="107">
        <v>1851</v>
      </c>
      <c r="M2693" s="107">
        <v>851</v>
      </c>
      <c r="N2693" s="107"/>
    </row>
    <row r="2694" spans="1:14" x14ac:dyDescent="0.15">
      <c r="A2694" s="107">
        <v>1700</v>
      </c>
      <c r="B2694" s="107" t="s">
        <v>200</v>
      </c>
      <c r="C2694" s="107" t="s">
        <v>271</v>
      </c>
      <c r="D2694" s="107">
        <v>38</v>
      </c>
      <c r="E2694" s="107" t="s">
        <v>193</v>
      </c>
      <c r="F2694" s="107" t="s">
        <v>735</v>
      </c>
      <c r="G2694" s="107">
        <v>18</v>
      </c>
      <c r="H2694" s="107">
        <v>1</v>
      </c>
      <c r="I2694" s="107">
        <v>0</v>
      </c>
      <c r="J2694" s="107">
        <f t="shared" si="42"/>
        <v>0.47500000000000003</v>
      </c>
      <c r="K2694" s="107">
        <v>4047</v>
      </c>
      <c r="L2694" s="107">
        <v>1855</v>
      </c>
      <c r="M2694" s="107">
        <v>525</v>
      </c>
      <c r="N2694" s="107" t="s">
        <v>272</v>
      </c>
    </row>
    <row r="2695" spans="1:14" x14ac:dyDescent="0.15">
      <c r="A2695" s="107">
        <v>1701</v>
      </c>
      <c r="B2695" s="107" t="s">
        <v>197</v>
      </c>
      <c r="C2695" s="107" t="s">
        <v>271</v>
      </c>
      <c r="D2695" s="107">
        <v>30</v>
      </c>
      <c r="E2695" s="107" t="s">
        <v>193</v>
      </c>
      <c r="F2695" s="107" t="s">
        <v>735</v>
      </c>
      <c r="G2695" s="107">
        <v>17</v>
      </c>
      <c r="H2695" s="107">
        <v>2</v>
      </c>
      <c r="I2695" s="107">
        <v>0</v>
      </c>
      <c r="J2695" s="107">
        <f t="shared" si="42"/>
        <v>0.57000000000000006</v>
      </c>
      <c r="K2695" s="107">
        <v>4047</v>
      </c>
      <c r="L2695" s="107">
        <v>1855</v>
      </c>
      <c r="M2695" s="107">
        <v>556</v>
      </c>
      <c r="N2695" s="107" t="s">
        <v>294</v>
      </c>
    </row>
    <row r="2696" spans="1:14" x14ac:dyDescent="0.15">
      <c r="A2696" s="107">
        <v>1702</v>
      </c>
      <c r="B2696" s="107" t="s">
        <v>226</v>
      </c>
      <c r="C2696" s="107" t="s">
        <v>271</v>
      </c>
      <c r="D2696" s="107">
        <v>120</v>
      </c>
      <c r="E2696" s="107" t="s">
        <v>193</v>
      </c>
      <c r="F2696" s="107" t="s">
        <v>735</v>
      </c>
      <c r="G2696" s="107">
        <v>54</v>
      </c>
      <c r="H2696" s="107">
        <v>0</v>
      </c>
      <c r="I2696" s="107">
        <v>0</v>
      </c>
      <c r="J2696" s="107">
        <f t="shared" si="42"/>
        <v>0.45</v>
      </c>
      <c r="K2696" s="107">
        <v>4049</v>
      </c>
      <c r="L2696" s="107">
        <v>1856</v>
      </c>
      <c r="M2696" s="107">
        <v>503</v>
      </c>
      <c r="N2696" s="107"/>
    </row>
    <row r="2697" spans="1:14" x14ac:dyDescent="0.15">
      <c r="A2697" s="107">
        <v>1703</v>
      </c>
      <c r="B2697" s="107" t="s">
        <v>200</v>
      </c>
      <c r="C2697" s="107" t="s">
        <v>271</v>
      </c>
      <c r="D2697" s="107">
        <v>33</v>
      </c>
      <c r="E2697" s="107" t="s">
        <v>193</v>
      </c>
      <c r="F2697" s="107" t="s">
        <v>735</v>
      </c>
      <c r="G2697" s="107">
        <v>20</v>
      </c>
      <c r="H2697" s="107">
        <v>1</v>
      </c>
      <c r="I2697" s="107">
        <v>4</v>
      </c>
      <c r="J2697" s="107">
        <f t="shared" si="42"/>
        <v>0.60795454545454541</v>
      </c>
      <c r="K2697" s="107">
        <v>4050</v>
      </c>
      <c r="L2697" s="107">
        <v>1858</v>
      </c>
      <c r="M2697" s="107">
        <v>536</v>
      </c>
      <c r="N2697" s="107"/>
    </row>
    <row r="2698" spans="1:14" x14ac:dyDescent="0.15">
      <c r="A2698" s="107">
        <v>1674</v>
      </c>
      <c r="B2698" s="107" t="s">
        <v>197</v>
      </c>
      <c r="C2698" s="107" t="s">
        <v>274</v>
      </c>
      <c r="D2698" s="107">
        <v>45</v>
      </c>
      <c r="E2698" s="107" t="s">
        <v>193</v>
      </c>
      <c r="F2698" s="107" t="s">
        <v>737</v>
      </c>
      <c r="G2698" s="107">
        <v>36</v>
      </c>
      <c r="H2698" s="107">
        <v>0</v>
      </c>
      <c r="I2698" s="107">
        <v>0</v>
      </c>
      <c r="J2698" s="107">
        <f t="shared" si="42"/>
        <v>0.8</v>
      </c>
      <c r="K2698" s="107">
        <v>4011</v>
      </c>
      <c r="L2698" s="107">
        <v>1814</v>
      </c>
      <c r="M2698" s="107">
        <v>594</v>
      </c>
      <c r="N2698" s="107" t="s">
        <v>294</v>
      </c>
    </row>
    <row r="2699" spans="1:14" x14ac:dyDescent="0.15">
      <c r="A2699" s="107">
        <v>1674</v>
      </c>
      <c r="B2699" s="107" t="s">
        <v>196</v>
      </c>
      <c r="C2699" s="107" t="s">
        <v>274</v>
      </c>
      <c r="D2699" s="107">
        <v>48</v>
      </c>
      <c r="E2699" s="107" t="s">
        <v>193</v>
      </c>
      <c r="F2699" s="107" t="s">
        <v>737</v>
      </c>
      <c r="G2699" s="107">
        <v>38</v>
      </c>
      <c r="H2699" s="107">
        <v>8</v>
      </c>
      <c r="I2699" s="107">
        <v>0</v>
      </c>
      <c r="J2699" s="107">
        <f t="shared" si="42"/>
        <v>0.79999999999999993</v>
      </c>
      <c r="K2699" s="107">
        <v>4011</v>
      </c>
      <c r="L2699" s="107">
        <v>1814</v>
      </c>
      <c r="M2699" s="107">
        <v>600</v>
      </c>
      <c r="N2699" s="107" t="s">
        <v>294</v>
      </c>
    </row>
    <row r="2700" spans="1:14" x14ac:dyDescent="0.15">
      <c r="A2700" s="107">
        <v>1671</v>
      </c>
      <c r="B2700" s="107" t="s">
        <v>356</v>
      </c>
      <c r="C2700" s="107" t="s">
        <v>274</v>
      </c>
      <c r="D2700" s="107">
        <v>15</v>
      </c>
      <c r="E2700" s="107" t="s">
        <v>193</v>
      </c>
      <c r="F2700" s="107" t="s">
        <v>738</v>
      </c>
      <c r="G2700" s="107">
        <v>12</v>
      </c>
      <c r="H2700" s="107">
        <v>0</v>
      </c>
      <c r="I2700" s="107">
        <v>0</v>
      </c>
      <c r="J2700" s="107">
        <f t="shared" si="42"/>
        <v>0.8</v>
      </c>
      <c r="K2700" s="107">
        <v>4008</v>
      </c>
      <c r="L2700" s="107">
        <v>1810</v>
      </c>
      <c r="M2700" s="107">
        <v>433</v>
      </c>
      <c r="N2700" s="107"/>
    </row>
    <row r="2701" spans="1:14" x14ac:dyDescent="0.15">
      <c r="A2701" s="107">
        <v>1665</v>
      </c>
      <c r="B2701" s="107" t="s">
        <v>244</v>
      </c>
      <c r="C2701" s="107" t="s">
        <v>274</v>
      </c>
      <c r="D2701" s="107">
        <v>0.5</v>
      </c>
      <c r="E2701" s="107" t="s">
        <v>375</v>
      </c>
      <c r="F2701" s="107" t="s">
        <v>739</v>
      </c>
      <c r="G2701" s="107">
        <v>48</v>
      </c>
      <c r="H2701" s="107">
        <v>0</v>
      </c>
      <c r="I2701" s="107">
        <v>0</v>
      </c>
      <c r="J2701" s="107">
        <f t="shared" si="42"/>
        <v>96</v>
      </c>
      <c r="K2701" s="107">
        <v>4000</v>
      </c>
      <c r="L2701" s="107">
        <v>1798</v>
      </c>
      <c r="M2701" s="107">
        <v>103</v>
      </c>
      <c r="N2701" s="107"/>
    </row>
    <row r="2702" spans="1:14" x14ac:dyDescent="0.15">
      <c r="A2702" s="107">
        <v>1708</v>
      </c>
      <c r="B2702" s="107" t="s">
        <v>253</v>
      </c>
      <c r="C2702" s="107" t="s">
        <v>268</v>
      </c>
      <c r="D2702" s="25">
        <v>40</v>
      </c>
      <c r="E2702" s="107" t="s">
        <v>193</v>
      </c>
      <c r="F2702" s="107" t="s">
        <v>740</v>
      </c>
      <c r="G2702" s="107">
        <v>22</v>
      </c>
      <c r="H2702" s="107">
        <v>15</v>
      </c>
      <c r="I2702" s="107">
        <v>0</v>
      </c>
      <c r="J2702" s="107">
        <f t="shared" si="42"/>
        <v>0.56874999999999998</v>
      </c>
      <c r="K2702" s="107">
        <v>5571</v>
      </c>
      <c r="L2702" s="107"/>
      <c r="M2702" s="107"/>
      <c r="N2702" s="107"/>
    </row>
    <row r="2703" spans="1:14" x14ac:dyDescent="0.15">
      <c r="A2703" s="107">
        <v>1720</v>
      </c>
      <c r="B2703" s="107" t="s">
        <v>253</v>
      </c>
      <c r="C2703" s="107" t="s">
        <v>268</v>
      </c>
      <c r="D2703" s="25">
        <v>60</v>
      </c>
      <c r="E2703" s="107" t="s">
        <v>193</v>
      </c>
      <c r="F2703" s="107" t="s">
        <v>740</v>
      </c>
      <c r="G2703" s="107">
        <v>39</v>
      </c>
      <c r="H2703" s="107">
        <v>15</v>
      </c>
      <c r="I2703" s="107">
        <v>0</v>
      </c>
      <c r="J2703" s="107">
        <f t="shared" si="42"/>
        <v>0.66249999999999998</v>
      </c>
      <c r="K2703" s="107">
        <v>5731</v>
      </c>
      <c r="L2703" s="107"/>
      <c r="M2703" s="107"/>
      <c r="N2703" s="107"/>
    </row>
    <row r="2704" spans="1:14" x14ac:dyDescent="0.15">
      <c r="A2704" s="107">
        <v>1741</v>
      </c>
      <c r="B2704" s="107" t="s">
        <v>196</v>
      </c>
      <c r="C2704" s="107" t="s">
        <v>268</v>
      </c>
      <c r="D2704" s="25">
        <v>20</v>
      </c>
      <c r="E2704" s="107" t="s">
        <v>193</v>
      </c>
      <c r="F2704" s="107" t="s">
        <v>740</v>
      </c>
      <c r="G2704" s="107">
        <v>12</v>
      </c>
      <c r="H2704" s="107">
        <v>6</v>
      </c>
      <c r="I2704" s="107">
        <v>0</v>
      </c>
      <c r="J2704" s="107">
        <f t="shared" si="42"/>
        <v>0.61499999999999999</v>
      </c>
      <c r="K2704" s="107">
        <v>6115</v>
      </c>
      <c r="L2704" s="107"/>
      <c r="M2704" s="107"/>
      <c r="N2704" s="107"/>
    </row>
    <row r="2705" spans="1:14" x14ac:dyDescent="0.15">
      <c r="A2705" s="107">
        <v>1759</v>
      </c>
      <c r="B2705" s="107" t="s">
        <v>261</v>
      </c>
      <c r="C2705" s="107" t="s">
        <v>268</v>
      </c>
      <c r="D2705" s="25">
        <v>96</v>
      </c>
      <c r="E2705" s="107" t="s">
        <v>193</v>
      </c>
      <c r="F2705" s="107" t="s">
        <v>740</v>
      </c>
      <c r="G2705" s="107">
        <v>91</v>
      </c>
      <c r="H2705" s="107">
        <v>4</v>
      </c>
      <c r="I2705" s="107">
        <v>0</v>
      </c>
      <c r="J2705" s="107">
        <f t="shared" si="42"/>
        <v>0.95000000000000007</v>
      </c>
      <c r="K2705" s="107">
        <v>6370</v>
      </c>
      <c r="L2705" s="107"/>
      <c r="M2705" s="107"/>
      <c r="N2705" s="107"/>
    </row>
    <row r="2706" spans="1:14" x14ac:dyDescent="0.15">
      <c r="A2706" s="107">
        <v>1764</v>
      </c>
      <c r="B2706" s="107" t="s">
        <v>244</v>
      </c>
      <c r="C2706" s="107" t="s">
        <v>268</v>
      </c>
      <c r="D2706" s="25">
        <v>60</v>
      </c>
      <c r="E2706" s="107" t="s">
        <v>193</v>
      </c>
      <c r="F2706" s="107" t="s">
        <v>740</v>
      </c>
      <c r="G2706" s="107">
        <v>50</v>
      </c>
      <c r="H2706" s="107">
        <v>1</v>
      </c>
      <c r="I2706" s="107">
        <v>0</v>
      </c>
      <c r="J2706" s="107">
        <f t="shared" si="42"/>
        <v>0.83416666666666661</v>
      </c>
      <c r="K2706" s="107">
        <v>6419</v>
      </c>
      <c r="L2706" s="107"/>
      <c r="M2706" s="107"/>
      <c r="N2706" s="107"/>
    </row>
    <row r="2707" spans="1:14" x14ac:dyDescent="0.15">
      <c r="A2707" s="107">
        <v>1772</v>
      </c>
      <c r="B2707" s="107" t="s">
        <v>197</v>
      </c>
      <c r="C2707" s="107" t="s">
        <v>268</v>
      </c>
      <c r="D2707" s="25">
        <v>36</v>
      </c>
      <c r="E2707" s="107" t="s">
        <v>193</v>
      </c>
      <c r="F2707" s="107" t="s">
        <v>740</v>
      </c>
      <c r="G2707" s="107">
        <v>27</v>
      </c>
      <c r="H2707" s="107">
        <v>16</v>
      </c>
      <c r="I2707" s="107">
        <v>0</v>
      </c>
      <c r="J2707" s="107">
        <f t="shared" si="42"/>
        <v>0.77222222222222225</v>
      </c>
      <c r="K2707" s="107">
        <v>6551</v>
      </c>
      <c r="L2707" s="107"/>
      <c r="M2707" s="107"/>
      <c r="N2707" s="107"/>
    </row>
    <row r="2708" spans="1:14" x14ac:dyDescent="0.15">
      <c r="A2708" s="107">
        <v>1788</v>
      </c>
      <c r="B2708" s="107" t="s">
        <v>236</v>
      </c>
      <c r="C2708" s="107" t="s">
        <v>268</v>
      </c>
      <c r="D2708" s="25">
        <v>15</v>
      </c>
      <c r="E2708" s="107" t="s">
        <v>193</v>
      </c>
      <c r="F2708" s="107" t="s">
        <v>740</v>
      </c>
      <c r="G2708" s="107">
        <v>12</v>
      </c>
      <c r="H2708" s="107">
        <v>1</v>
      </c>
      <c r="I2708" s="107">
        <v>0</v>
      </c>
      <c r="J2708" s="107">
        <f t="shared" si="42"/>
        <v>0.80333333333333334</v>
      </c>
      <c r="K2708" s="25">
        <v>6786</v>
      </c>
      <c r="L2708" s="107"/>
      <c r="M2708" s="107"/>
      <c r="N2708" s="107"/>
    </row>
    <row r="2709" spans="1:14" x14ac:dyDescent="0.15">
      <c r="A2709" s="107">
        <v>1793</v>
      </c>
      <c r="B2709" s="107" t="s">
        <v>247</v>
      </c>
      <c r="C2709" s="107" t="s">
        <v>270</v>
      </c>
      <c r="D2709" s="25">
        <v>74</v>
      </c>
      <c r="E2709" s="107" t="s">
        <v>193</v>
      </c>
      <c r="F2709" s="107" t="s">
        <v>740</v>
      </c>
      <c r="G2709" s="107">
        <v>67</v>
      </c>
      <c r="H2709" s="107">
        <v>10</v>
      </c>
      <c r="I2709" s="107">
        <v>8</v>
      </c>
      <c r="J2709" s="107">
        <f t="shared" si="42"/>
        <v>0.91250000000000009</v>
      </c>
      <c r="K2709" s="107">
        <v>6826</v>
      </c>
      <c r="L2709" s="107"/>
      <c r="M2709" s="107"/>
      <c r="N2709" s="107"/>
    </row>
    <row r="2710" spans="1:14" x14ac:dyDescent="0.15">
      <c r="A2710" s="107">
        <v>1656</v>
      </c>
      <c r="B2710" s="107" t="s">
        <v>283</v>
      </c>
      <c r="C2710" s="107" t="s">
        <v>274</v>
      </c>
      <c r="D2710" s="107">
        <v>3</v>
      </c>
      <c r="E2710" s="107"/>
      <c r="F2710" s="107" t="s">
        <v>741</v>
      </c>
      <c r="G2710" s="107">
        <v>1</v>
      </c>
      <c r="H2710" s="107">
        <v>10</v>
      </c>
      <c r="I2710" s="107"/>
      <c r="J2710" s="107">
        <f t="shared" si="42"/>
        <v>0.5</v>
      </c>
      <c r="K2710" s="107">
        <v>3991</v>
      </c>
      <c r="L2710" s="107">
        <v>1788</v>
      </c>
      <c r="M2710" s="107">
        <v>150</v>
      </c>
      <c r="N2710" s="107" t="s">
        <v>284</v>
      </c>
    </row>
    <row r="2711" spans="1:14" x14ac:dyDescent="0.15">
      <c r="A2711" s="107">
        <v>1656</v>
      </c>
      <c r="B2711" s="107" t="s">
        <v>253</v>
      </c>
      <c r="C2711" s="107" t="s">
        <v>274</v>
      </c>
      <c r="D2711" s="107">
        <v>1</v>
      </c>
      <c r="E2711" s="107" t="s">
        <v>212</v>
      </c>
      <c r="F2711" s="107" t="s">
        <v>742</v>
      </c>
      <c r="G2711" s="107">
        <v>3</v>
      </c>
      <c r="H2711" s="107">
        <v>6</v>
      </c>
      <c r="I2711" s="107">
        <v>0</v>
      </c>
      <c r="J2711" s="107">
        <f t="shared" si="42"/>
        <v>3.3</v>
      </c>
      <c r="K2711" s="107">
        <v>3991</v>
      </c>
      <c r="L2711" s="107">
        <v>1788</v>
      </c>
      <c r="M2711" s="107">
        <v>152</v>
      </c>
      <c r="N2711" s="107" t="s">
        <v>383</v>
      </c>
    </row>
    <row r="2712" spans="1:14" x14ac:dyDescent="0.15">
      <c r="A2712" s="107">
        <v>1673</v>
      </c>
      <c r="B2712" s="107" t="s">
        <v>197</v>
      </c>
      <c r="C2712" s="107" t="s">
        <v>274</v>
      </c>
      <c r="D2712" s="107">
        <v>12</v>
      </c>
      <c r="E2712" s="107" t="s">
        <v>293</v>
      </c>
      <c r="F2712" s="107" t="s">
        <v>743</v>
      </c>
      <c r="G2712" s="107">
        <v>3</v>
      </c>
      <c r="H2712" s="107">
        <v>6</v>
      </c>
      <c r="I2712" s="107">
        <v>0</v>
      </c>
      <c r="J2712" s="107">
        <f t="shared" si="42"/>
        <v>0.27499999999999997</v>
      </c>
      <c r="K2712" s="107">
        <v>4010</v>
      </c>
      <c r="L2712" s="107">
        <v>1812</v>
      </c>
      <c r="M2712" s="107">
        <v>548</v>
      </c>
      <c r="N2712" s="107"/>
    </row>
    <row r="2713" spans="1:14" x14ac:dyDescent="0.15">
      <c r="A2713" s="107">
        <v>1706</v>
      </c>
      <c r="B2713" s="107" t="s">
        <v>186</v>
      </c>
      <c r="C2713" s="107" t="s">
        <v>268</v>
      </c>
      <c r="D2713" s="25">
        <v>408</v>
      </c>
      <c r="E2713" s="107" t="s">
        <v>212</v>
      </c>
      <c r="F2713" s="107" t="s">
        <v>744</v>
      </c>
      <c r="G2713" s="107">
        <v>102</v>
      </c>
      <c r="H2713" s="107">
        <v>0</v>
      </c>
      <c r="I2713" s="107">
        <v>0</v>
      </c>
      <c r="J2713" s="107">
        <f t="shared" si="42"/>
        <v>0.25</v>
      </c>
      <c r="K2713" s="107">
        <v>5558</v>
      </c>
      <c r="L2713" s="107"/>
      <c r="M2713" s="107"/>
      <c r="N2713" s="107" t="s">
        <v>745</v>
      </c>
    </row>
    <row r="2714" spans="1:14" x14ac:dyDescent="0.15">
      <c r="A2714" s="107">
        <v>1708</v>
      </c>
      <c r="B2714" s="107" t="s">
        <v>253</v>
      </c>
      <c r="C2714" s="107" t="s">
        <v>268</v>
      </c>
      <c r="D2714" s="25">
        <v>510</v>
      </c>
      <c r="E2714" s="107" t="s">
        <v>212</v>
      </c>
      <c r="F2714" s="107" t="s">
        <v>744</v>
      </c>
      <c r="G2714" s="107">
        <v>127</v>
      </c>
      <c r="H2714" s="107">
        <v>10</v>
      </c>
      <c r="I2714" s="107">
        <v>0</v>
      </c>
      <c r="J2714" s="107">
        <f t="shared" si="42"/>
        <v>0.25</v>
      </c>
      <c r="K2714" s="107">
        <v>5571</v>
      </c>
      <c r="L2714" s="107"/>
      <c r="M2714" s="107"/>
      <c r="N2714" s="107"/>
    </row>
    <row r="2715" spans="1:14" x14ac:dyDescent="0.15">
      <c r="A2715" s="107">
        <v>1711</v>
      </c>
      <c r="B2715" s="107" t="s">
        <v>260</v>
      </c>
      <c r="C2715" s="107" t="s">
        <v>268</v>
      </c>
      <c r="D2715" s="25">
        <v>204</v>
      </c>
      <c r="E2715" s="107" t="s">
        <v>212</v>
      </c>
      <c r="F2715" s="107" t="s">
        <v>744</v>
      </c>
      <c r="G2715" s="107">
        <v>51</v>
      </c>
      <c r="H2715" s="107">
        <v>0</v>
      </c>
      <c r="I2715" s="107">
        <v>0</v>
      </c>
      <c r="J2715" s="107">
        <f t="shared" si="42"/>
        <v>0.25</v>
      </c>
      <c r="K2715" s="107">
        <v>5612</v>
      </c>
      <c r="L2715" s="107"/>
      <c r="M2715" s="107"/>
      <c r="N2715" s="107"/>
    </row>
    <row r="2716" spans="1:14" x14ac:dyDescent="0.15">
      <c r="A2716" s="107">
        <v>1717</v>
      </c>
      <c r="B2716" s="107" t="s">
        <v>192</v>
      </c>
      <c r="C2716" s="107" t="s">
        <v>268</v>
      </c>
      <c r="D2716" s="25">
        <v>1122</v>
      </c>
      <c r="E2716" s="107" t="s">
        <v>212</v>
      </c>
      <c r="F2716" s="107" t="s">
        <v>744</v>
      </c>
      <c r="G2716" s="107">
        <v>238</v>
      </c>
      <c r="H2716" s="107">
        <v>8</v>
      </c>
      <c r="I2716" s="107">
        <v>8</v>
      </c>
      <c r="J2716" s="107">
        <f t="shared" si="42"/>
        <v>0.21250000000000002</v>
      </c>
      <c r="K2716" s="107">
        <v>5683</v>
      </c>
      <c r="L2716" s="107"/>
      <c r="M2716" s="107"/>
      <c r="N2716" s="107"/>
    </row>
    <row r="2717" spans="1:14" x14ac:dyDescent="0.15">
      <c r="A2717" s="107">
        <v>1717</v>
      </c>
      <c r="B2717" s="107" t="s">
        <v>192</v>
      </c>
      <c r="C2717" s="107" t="s">
        <v>268</v>
      </c>
      <c r="D2717" s="25">
        <v>51</v>
      </c>
      <c r="E2717" s="107" t="s">
        <v>212</v>
      </c>
      <c r="F2717" s="107" t="s">
        <v>744</v>
      </c>
      <c r="G2717" s="107">
        <v>58</v>
      </c>
      <c r="H2717" s="107">
        <v>10</v>
      </c>
      <c r="I2717" s="107">
        <v>0</v>
      </c>
      <c r="J2717" s="107">
        <f t="shared" si="42"/>
        <v>1.1470588235294117</v>
      </c>
      <c r="K2717" s="107">
        <v>5683</v>
      </c>
      <c r="L2717" s="107"/>
      <c r="M2717" s="107"/>
      <c r="N2717" s="107"/>
    </row>
    <row r="2718" spans="1:14" x14ac:dyDescent="0.15">
      <c r="A2718" s="107">
        <v>1720</v>
      </c>
      <c r="B2718" s="107" t="s">
        <v>253</v>
      </c>
      <c r="C2718" s="107" t="s">
        <v>268</v>
      </c>
      <c r="D2718" s="25">
        <v>2040</v>
      </c>
      <c r="E2718" s="107" t="s">
        <v>212</v>
      </c>
      <c r="F2718" s="107" t="s">
        <v>744</v>
      </c>
      <c r="G2718" s="107">
        <v>701</v>
      </c>
      <c r="H2718" s="107">
        <v>5</v>
      </c>
      <c r="I2718" s="107">
        <v>0</v>
      </c>
      <c r="J2718" s="107">
        <f t="shared" si="42"/>
        <v>0.34375</v>
      </c>
      <c r="K2718" s="107">
        <v>5731</v>
      </c>
      <c r="L2718" s="107"/>
      <c r="M2718" s="107"/>
      <c r="N2718" s="107"/>
    </row>
    <row r="2719" spans="1:14" x14ac:dyDescent="0.15">
      <c r="A2719" s="107">
        <v>1721</v>
      </c>
      <c r="B2719" s="107" t="s">
        <v>192</v>
      </c>
      <c r="C2719" s="107" t="s">
        <v>268</v>
      </c>
      <c r="D2719" s="25">
        <v>408</v>
      </c>
      <c r="E2719" s="107" t="s">
        <v>212</v>
      </c>
      <c r="F2719" s="107" t="s">
        <v>744</v>
      </c>
      <c r="G2719" s="107">
        <v>119</v>
      </c>
      <c r="H2719" s="107">
        <v>17</v>
      </c>
      <c r="I2719" s="107">
        <v>0</v>
      </c>
      <c r="J2719" s="107">
        <f t="shared" si="42"/>
        <v>0.29375000000000001</v>
      </c>
      <c r="K2719" s="107">
        <v>5753</v>
      </c>
      <c r="L2719" s="107"/>
      <c r="M2719" s="107"/>
      <c r="N2719" s="107"/>
    </row>
    <row r="2720" spans="1:14" x14ac:dyDescent="0.15">
      <c r="A2720" s="107">
        <v>1741</v>
      </c>
      <c r="B2720" s="107" t="s">
        <v>196</v>
      </c>
      <c r="C2720" s="107" t="s">
        <v>268</v>
      </c>
      <c r="D2720" s="25">
        <v>204</v>
      </c>
      <c r="E2720" s="107" t="s">
        <v>212</v>
      </c>
      <c r="F2720" s="107" t="s">
        <v>744</v>
      </c>
      <c r="G2720" s="107">
        <v>66</v>
      </c>
      <c r="H2720" s="107">
        <v>19</v>
      </c>
      <c r="I2720" s="107">
        <v>0</v>
      </c>
      <c r="J2720" s="107">
        <f t="shared" si="42"/>
        <v>0.32818627450980392</v>
      </c>
      <c r="K2720" s="107">
        <v>6115</v>
      </c>
      <c r="L2720" s="107"/>
      <c r="M2720" s="107"/>
      <c r="N2720" s="107"/>
    </row>
    <row r="2721" spans="1:11" x14ac:dyDescent="0.15">
      <c r="A2721" s="107">
        <v>1742</v>
      </c>
      <c r="B2721" s="107" t="s">
        <v>196</v>
      </c>
      <c r="C2721" s="107" t="s">
        <v>268</v>
      </c>
      <c r="D2721" s="25">
        <v>408</v>
      </c>
      <c r="E2721" s="107" t="s">
        <v>212</v>
      </c>
      <c r="F2721" s="107" t="s">
        <v>744</v>
      </c>
      <c r="G2721" s="107">
        <v>154</v>
      </c>
      <c r="H2721" s="107">
        <v>5</v>
      </c>
      <c r="I2721" s="107">
        <v>8</v>
      </c>
      <c r="J2721" s="107">
        <f t="shared" si="42"/>
        <v>0.37812499999999999</v>
      </c>
      <c r="K2721" s="107">
        <v>6123</v>
      </c>
    </row>
    <row r="2722" spans="1:11" x14ac:dyDescent="0.15">
      <c r="A2722" s="107">
        <v>1743</v>
      </c>
      <c r="B2722" s="107" t="s">
        <v>196</v>
      </c>
      <c r="C2722" s="107" t="s">
        <v>268</v>
      </c>
      <c r="D2722" s="25">
        <v>4</v>
      </c>
      <c r="E2722" s="107" t="s">
        <v>278</v>
      </c>
      <c r="F2722" s="107" t="s">
        <v>744</v>
      </c>
      <c r="G2722" s="107">
        <v>480</v>
      </c>
      <c r="H2722" s="107">
        <v>0</v>
      </c>
      <c r="I2722" s="107">
        <v>0</v>
      </c>
      <c r="J2722" s="107">
        <f t="shared" si="42"/>
        <v>120</v>
      </c>
      <c r="K2722" s="107">
        <v>6143</v>
      </c>
    </row>
    <row r="2723" spans="1:11" x14ac:dyDescent="0.15">
      <c r="A2723" s="107">
        <v>1744</v>
      </c>
      <c r="B2723" s="107" t="s">
        <v>253</v>
      </c>
      <c r="C2723" s="107" t="s">
        <v>268</v>
      </c>
      <c r="D2723" s="25">
        <v>1632</v>
      </c>
      <c r="E2723" s="107" t="s">
        <v>212</v>
      </c>
      <c r="F2723" s="107" t="s">
        <v>744</v>
      </c>
      <c r="G2723" s="107">
        <v>433</v>
      </c>
      <c r="H2723" s="107">
        <v>10</v>
      </c>
      <c r="I2723" s="107">
        <v>0</v>
      </c>
      <c r="J2723" s="107">
        <f t="shared" si="42"/>
        <v>0.265625</v>
      </c>
      <c r="K2723" s="107">
        <v>6160</v>
      </c>
    </row>
    <row r="2724" spans="1:11" x14ac:dyDescent="0.15">
      <c r="A2724" s="107">
        <v>1745</v>
      </c>
      <c r="B2724" s="107" t="s">
        <v>261</v>
      </c>
      <c r="C2724" s="107" t="s">
        <v>268</v>
      </c>
      <c r="D2724" s="25">
        <v>4.5</v>
      </c>
      <c r="E2724" s="107" t="s">
        <v>280</v>
      </c>
      <c r="F2724" s="107" t="s">
        <v>744</v>
      </c>
      <c r="G2724" s="107">
        <v>487</v>
      </c>
      <c r="H2724" s="107">
        <v>14</v>
      </c>
      <c r="I2724" s="107">
        <v>0</v>
      </c>
      <c r="J2724" s="107">
        <f t="shared" si="42"/>
        <v>108.37777777777778</v>
      </c>
      <c r="K2724" s="107">
        <v>6176</v>
      </c>
    </row>
    <row r="2725" spans="1:11" x14ac:dyDescent="0.15">
      <c r="A2725" s="107">
        <v>1746</v>
      </c>
      <c r="B2725" s="107" t="s">
        <v>226</v>
      </c>
      <c r="C2725" s="107" t="s">
        <v>268</v>
      </c>
      <c r="D2725" s="25">
        <v>7</v>
      </c>
      <c r="E2725" s="107" t="s">
        <v>278</v>
      </c>
      <c r="F2725" s="107" t="s">
        <v>744</v>
      </c>
      <c r="G2725" s="107">
        <v>803</v>
      </c>
      <c r="H2725" s="107">
        <v>0</v>
      </c>
      <c r="I2725" s="107">
        <v>0</v>
      </c>
      <c r="J2725" s="107">
        <f t="shared" si="42"/>
        <v>114.71428571428571</v>
      </c>
      <c r="K2725" s="107">
        <v>6188</v>
      </c>
    </row>
    <row r="2726" spans="1:11" x14ac:dyDescent="0.15">
      <c r="A2726" s="107">
        <v>1747</v>
      </c>
      <c r="B2726" s="107" t="s">
        <v>247</v>
      </c>
      <c r="C2726" s="107" t="s">
        <v>268</v>
      </c>
      <c r="D2726" s="25">
        <v>8</v>
      </c>
      <c r="E2726" s="107" t="s">
        <v>278</v>
      </c>
      <c r="F2726" s="107" t="s">
        <v>744</v>
      </c>
      <c r="G2726" s="107">
        <v>805</v>
      </c>
      <c r="H2726" s="107">
        <v>16</v>
      </c>
      <c r="I2726" s="107">
        <v>0</v>
      </c>
      <c r="J2726" s="107">
        <f t="shared" si="42"/>
        <v>100.72499999999999</v>
      </c>
      <c r="K2726" s="107">
        <v>6207</v>
      </c>
    </row>
    <row r="2727" spans="1:11" x14ac:dyDescent="0.15">
      <c r="A2727" s="107">
        <v>1748</v>
      </c>
      <c r="B2727" s="107" t="s">
        <v>260</v>
      </c>
      <c r="C2727" s="107" t="s">
        <v>268</v>
      </c>
      <c r="D2727" s="25">
        <v>7</v>
      </c>
      <c r="E2727" s="107" t="s">
        <v>280</v>
      </c>
      <c r="F2727" s="107" t="s">
        <v>744</v>
      </c>
      <c r="G2727" s="107">
        <v>785</v>
      </c>
      <c r="H2727" s="107">
        <v>8</v>
      </c>
      <c r="I2727" s="107">
        <v>0</v>
      </c>
      <c r="J2727" s="107">
        <f t="shared" si="42"/>
        <v>112.2</v>
      </c>
      <c r="K2727" s="107">
        <v>6218</v>
      </c>
    </row>
    <row r="2728" spans="1:11" x14ac:dyDescent="0.15">
      <c r="A2728" s="107">
        <v>1749</v>
      </c>
      <c r="B2728" s="107" t="s">
        <v>253</v>
      </c>
      <c r="C2728" s="107" t="s">
        <v>268</v>
      </c>
      <c r="D2728" s="25">
        <v>5</v>
      </c>
      <c r="E2728" s="107" t="s">
        <v>280</v>
      </c>
      <c r="F2728" s="107" t="s">
        <v>744</v>
      </c>
      <c r="G2728" s="107">
        <v>541</v>
      </c>
      <c r="H2728" s="107">
        <v>17</v>
      </c>
      <c r="I2728" s="107">
        <v>8</v>
      </c>
      <c r="J2728" s="107">
        <f t="shared" si="42"/>
        <v>108.375</v>
      </c>
      <c r="K2728" s="107">
        <v>6233</v>
      </c>
    </row>
    <row r="2729" spans="1:11" x14ac:dyDescent="0.15">
      <c r="A2729" s="107">
        <v>1750</v>
      </c>
      <c r="B2729" s="107" t="s">
        <v>197</v>
      </c>
      <c r="C2729" s="107" t="s">
        <v>268</v>
      </c>
      <c r="D2729" s="25">
        <v>7</v>
      </c>
      <c r="E2729" s="107" t="s">
        <v>280</v>
      </c>
      <c r="F2729" s="107" t="s">
        <v>744</v>
      </c>
      <c r="G2729" s="107">
        <v>758</v>
      </c>
      <c r="H2729" s="107">
        <v>12</v>
      </c>
      <c r="I2729" s="107">
        <v>8</v>
      </c>
      <c r="J2729" s="107">
        <f t="shared" si="42"/>
        <v>108.375</v>
      </c>
      <c r="K2729" s="107">
        <v>6254</v>
      </c>
    </row>
    <row r="2730" spans="1:11" x14ac:dyDescent="0.15">
      <c r="A2730" s="107">
        <v>1751</v>
      </c>
      <c r="B2730" s="107" t="s">
        <v>196</v>
      </c>
      <c r="C2730" s="107" t="s">
        <v>268</v>
      </c>
      <c r="D2730" s="25">
        <v>7</v>
      </c>
      <c r="E2730" s="107" t="s">
        <v>280</v>
      </c>
      <c r="F2730" s="107" t="s">
        <v>744</v>
      </c>
      <c r="G2730" s="107">
        <v>758</v>
      </c>
      <c r="H2730" s="107">
        <v>12</v>
      </c>
      <c r="I2730" s="107">
        <v>8</v>
      </c>
      <c r="J2730" s="107">
        <f t="shared" si="42"/>
        <v>108.375</v>
      </c>
      <c r="K2730" s="107">
        <v>6270</v>
      </c>
    </row>
    <row r="2731" spans="1:11" x14ac:dyDescent="0.15">
      <c r="A2731" s="107">
        <v>1752</v>
      </c>
      <c r="B2731" s="107" t="s">
        <v>260</v>
      </c>
      <c r="C2731" s="107" t="s">
        <v>268</v>
      </c>
      <c r="D2731" s="25">
        <v>8</v>
      </c>
      <c r="E2731" s="107" t="s">
        <v>280</v>
      </c>
      <c r="F2731" s="107" t="s">
        <v>744</v>
      </c>
      <c r="G2731" s="107">
        <v>867</v>
      </c>
      <c r="H2731" s="107">
        <v>0</v>
      </c>
      <c r="I2731" s="107">
        <v>0</v>
      </c>
      <c r="J2731" s="107">
        <f t="shared" si="42"/>
        <v>108.375</v>
      </c>
      <c r="K2731" s="107">
        <v>6286</v>
      </c>
    </row>
    <row r="2732" spans="1:11" x14ac:dyDescent="0.15">
      <c r="A2732" s="107">
        <v>1753</v>
      </c>
      <c r="B2732" s="107" t="s">
        <v>196</v>
      </c>
      <c r="C2732" s="107" t="s">
        <v>268</v>
      </c>
      <c r="D2732" s="25">
        <v>4.5</v>
      </c>
      <c r="E2732" s="107" t="s">
        <v>280</v>
      </c>
      <c r="F2732" s="107" t="s">
        <v>744</v>
      </c>
      <c r="G2732" s="107">
        <v>487</v>
      </c>
      <c r="H2732" s="107">
        <v>14</v>
      </c>
      <c r="I2732" s="107">
        <v>0</v>
      </c>
      <c r="J2732" s="107">
        <f t="shared" si="42"/>
        <v>108.37777777777778</v>
      </c>
      <c r="K2732" s="107">
        <v>6303</v>
      </c>
    </row>
    <row r="2733" spans="1:11" x14ac:dyDescent="0.15">
      <c r="A2733" s="107">
        <v>1754</v>
      </c>
      <c r="B2733" s="107" t="s">
        <v>196</v>
      </c>
      <c r="C2733" s="107" t="s">
        <v>268</v>
      </c>
      <c r="D2733" s="25">
        <v>7</v>
      </c>
      <c r="E2733" s="107" t="s">
        <v>280</v>
      </c>
      <c r="F2733" s="107" t="s">
        <v>744</v>
      </c>
      <c r="G2733" s="107">
        <v>767</v>
      </c>
      <c r="H2733" s="107">
        <v>11</v>
      </c>
      <c r="I2733" s="107">
        <v>0</v>
      </c>
      <c r="J2733" s="107">
        <f t="shared" si="42"/>
        <v>109.64999999999999</v>
      </c>
      <c r="K2733" s="107">
        <v>6314</v>
      </c>
    </row>
    <row r="2734" spans="1:11" x14ac:dyDescent="0.15">
      <c r="A2734" s="107">
        <v>1755</v>
      </c>
      <c r="B2734" s="107" t="s">
        <v>226</v>
      </c>
      <c r="C2734" s="107" t="s">
        <v>268</v>
      </c>
      <c r="D2734" s="25">
        <v>5</v>
      </c>
      <c r="E2734" s="107" t="s">
        <v>278</v>
      </c>
      <c r="F2734" s="107" t="s">
        <v>744</v>
      </c>
      <c r="G2734" s="107">
        <v>541</v>
      </c>
      <c r="H2734" s="107">
        <v>17</v>
      </c>
      <c r="I2734" s="107">
        <v>2</v>
      </c>
      <c r="J2734" s="107">
        <f t="shared" si="42"/>
        <v>108.37125</v>
      </c>
      <c r="K2734" s="107">
        <v>6316</v>
      </c>
    </row>
    <row r="2735" spans="1:11" x14ac:dyDescent="0.15">
      <c r="A2735" s="107">
        <v>1756</v>
      </c>
      <c r="B2735" s="107" t="s">
        <v>197</v>
      </c>
      <c r="C2735" s="107" t="s">
        <v>268</v>
      </c>
      <c r="D2735" s="25">
        <v>7</v>
      </c>
      <c r="E2735" s="107" t="s">
        <v>278</v>
      </c>
      <c r="F2735" s="107" t="s">
        <v>744</v>
      </c>
      <c r="G2735" s="107">
        <v>758</v>
      </c>
      <c r="H2735" s="107">
        <v>12</v>
      </c>
      <c r="I2735" s="107">
        <v>8</v>
      </c>
      <c r="J2735" s="107">
        <f t="shared" si="42"/>
        <v>108.375</v>
      </c>
      <c r="K2735" s="107">
        <v>6333</v>
      </c>
    </row>
    <row r="2736" spans="1:11" x14ac:dyDescent="0.15">
      <c r="A2736" s="107">
        <v>1757</v>
      </c>
      <c r="B2736" s="107" t="s">
        <v>186</v>
      </c>
      <c r="C2736" s="107" t="s">
        <v>268</v>
      </c>
      <c r="D2736" s="25">
        <v>2040</v>
      </c>
      <c r="E2736" s="107" t="s">
        <v>212</v>
      </c>
      <c r="F2736" s="107" t="s">
        <v>744</v>
      </c>
      <c r="G2736" s="107">
        <v>541</v>
      </c>
      <c r="H2736" s="107">
        <v>17</v>
      </c>
      <c r="I2736" s="107">
        <v>8</v>
      </c>
      <c r="J2736" s="107">
        <f t="shared" ref="J2736:J2799" si="43">(G2736+H2736/20+I2736/320)/D2736</f>
        <v>0.265625</v>
      </c>
      <c r="K2736" s="107">
        <v>6354</v>
      </c>
    </row>
    <row r="2737" spans="1:11" x14ac:dyDescent="0.15">
      <c r="A2737" s="107">
        <v>1759</v>
      </c>
      <c r="B2737" s="107" t="s">
        <v>261</v>
      </c>
      <c r="C2737" s="107" t="s">
        <v>268</v>
      </c>
      <c r="D2737" s="25">
        <v>720</v>
      </c>
      <c r="E2737" s="107" t="s">
        <v>212</v>
      </c>
      <c r="F2737" s="107" t="s">
        <v>744</v>
      </c>
      <c r="G2737" s="107">
        <v>192</v>
      </c>
      <c r="H2737" s="107">
        <v>0</v>
      </c>
      <c r="I2737" s="107">
        <v>0</v>
      </c>
      <c r="J2737" s="107">
        <f t="shared" si="43"/>
        <v>0.26666666666666666</v>
      </c>
      <c r="K2737" s="107">
        <v>6364</v>
      </c>
    </row>
    <row r="2738" spans="1:11" x14ac:dyDescent="0.15">
      <c r="A2738" s="107">
        <v>1759</v>
      </c>
      <c r="B2738" s="107" t="s">
        <v>261</v>
      </c>
      <c r="C2738" s="107" t="s">
        <v>268</v>
      </c>
      <c r="D2738" s="25">
        <v>2520</v>
      </c>
      <c r="E2738" s="107" t="s">
        <v>212</v>
      </c>
      <c r="F2738" s="107" t="s">
        <v>744</v>
      </c>
      <c r="G2738" s="107">
        <v>672</v>
      </c>
      <c r="H2738" s="107">
        <v>0</v>
      </c>
      <c r="I2738" s="107">
        <v>0</v>
      </c>
      <c r="J2738" s="107">
        <f t="shared" si="43"/>
        <v>0.26666666666666666</v>
      </c>
      <c r="K2738" s="107">
        <v>6374</v>
      </c>
    </row>
    <row r="2739" spans="1:11" x14ac:dyDescent="0.15">
      <c r="A2739" s="107">
        <v>1760</v>
      </c>
      <c r="B2739" s="107" t="s">
        <v>253</v>
      </c>
      <c r="C2739" s="107" t="s">
        <v>268</v>
      </c>
      <c r="D2739" s="25">
        <v>2786</v>
      </c>
      <c r="E2739" s="107" t="s">
        <v>212</v>
      </c>
      <c r="F2739" s="107" t="s">
        <v>744</v>
      </c>
      <c r="G2739" s="107">
        <v>672</v>
      </c>
      <c r="H2739" s="107">
        <v>0</v>
      </c>
      <c r="I2739" s="107">
        <v>0</v>
      </c>
      <c r="J2739" s="107">
        <f t="shared" si="43"/>
        <v>0.24120603015075376</v>
      </c>
      <c r="K2739" s="107">
        <v>6387</v>
      </c>
    </row>
    <row r="2740" spans="1:11" x14ac:dyDescent="0.15">
      <c r="A2740" s="107">
        <v>1760</v>
      </c>
      <c r="B2740" s="107" t="s">
        <v>253</v>
      </c>
      <c r="C2740" s="107" t="s">
        <v>268</v>
      </c>
      <c r="D2740" s="25">
        <v>3104</v>
      </c>
      <c r="E2740" s="107" t="s">
        <v>212</v>
      </c>
      <c r="F2740" s="107" t="s">
        <v>744</v>
      </c>
      <c r="G2740" s="107">
        <v>768</v>
      </c>
      <c r="H2740" s="107">
        <v>0</v>
      </c>
      <c r="I2740" s="107">
        <v>0</v>
      </c>
      <c r="J2740" s="107">
        <f t="shared" si="43"/>
        <v>0.24742268041237114</v>
      </c>
      <c r="K2740" s="107">
        <v>6387</v>
      </c>
    </row>
    <row r="2741" spans="1:11" x14ac:dyDescent="0.15">
      <c r="A2741" s="107">
        <v>1760</v>
      </c>
      <c r="B2741" s="107" t="s">
        <v>244</v>
      </c>
      <c r="C2741" s="107" t="s">
        <v>268</v>
      </c>
      <c r="D2741" s="25">
        <v>1940</v>
      </c>
      <c r="E2741" s="107" t="s">
        <v>212</v>
      </c>
      <c r="F2741" s="107" t="s">
        <v>744</v>
      </c>
      <c r="G2741" s="107">
        <v>480</v>
      </c>
      <c r="H2741" s="107">
        <v>0</v>
      </c>
      <c r="I2741" s="107">
        <v>0</v>
      </c>
      <c r="J2741" s="107">
        <f t="shared" si="43"/>
        <v>0.24742268041237114</v>
      </c>
      <c r="K2741" s="107">
        <v>6374</v>
      </c>
    </row>
    <row r="2742" spans="1:11" x14ac:dyDescent="0.15">
      <c r="A2742" s="107">
        <v>1761</v>
      </c>
      <c r="B2742" s="107" t="s">
        <v>260</v>
      </c>
      <c r="C2742" s="107" t="s">
        <v>268</v>
      </c>
      <c r="D2742" s="25">
        <v>2134</v>
      </c>
      <c r="E2742" s="107" t="s">
        <v>212</v>
      </c>
      <c r="F2742" s="107" t="s">
        <v>744</v>
      </c>
      <c r="G2742" s="107">
        <v>520</v>
      </c>
      <c r="H2742" s="107">
        <v>0</v>
      </c>
      <c r="I2742" s="107">
        <v>0</v>
      </c>
      <c r="J2742" s="107">
        <f t="shared" si="43"/>
        <v>0.24367385192127461</v>
      </c>
      <c r="K2742" s="107">
        <v>6388</v>
      </c>
    </row>
    <row r="2743" spans="1:11" x14ac:dyDescent="0.15">
      <c r="A2743" s="107">
        <v>1761</v>
      </c>
      <c r="B2743" s="107" t="s">
        <v>261</v>
      </c>
      <c r="C2743" s="107" t="s">
        <v>268</v>
      </c>
      <c r="D2743" s="25">
        <v>2134</v>
      </c>
      <c r="E2743" s="107" t="s">
        <v>212</v>
      </c>
      <c r="F2743" s="107" t="s">
        <v>744</v>
      </c>
      <c r="G2743" s="107">
        <v>536</v>
      </c>
      <c r="H2743" s="107">
        <v>7</v>
      </c>
      <c r="I2743" s="107">
        <v>0</v>
      </c>
      <c r="J2743" s="107">
        <f t="shared" si="43"/>
        <v>0.25133552014995314</v>
      </c>
      <c r="K2743" s="107">
        <v>6387</v>
      </c>
    </row>
    <row r="2744" spans="1:11" x14ac:dyDescent="0.15">
      <c r="A2744" s="107">
        <v>1761</v>
      </c>
      <c r="B2744" s="107" t="s">
        <v>260</v>
      </c>
      <c r="C2744" s="107" t="s">
        <v>268</v>
      </c>
      <c r="D2744" s="25">
        <v>2716</v>
      </c>
      <c r="E2744" s="107" t="s">
        <v>212</v>
      </c>
      <c r="F2744" s="107" t="s">
        <v>744</v>
      </c>
      <c r="G2744" s="107">
        <v>672</v>
      </c>
      <c r="H2744" s="107">
        <v>0</v>
      </c>
      <c r="I2744" s="107">
        <v>0</v>
      </c>
      <c r="J2744" s="107">
        <f t="shared" si="43"/>
        <v>0.24742268041237114</v>
      </c>
      <c r="K2744" s="107">
        <v>6394</v>
      </c>
    </row>
    <row r="2745" spans="1:11" x14ac:dyDescent="0.15">
      <c r="A2745" s="107">
        <v>1762</v>
      </c>
      <c r="B2745" s="107" t="s">
        <v>261</v>
      </c>
      <c r="C2745" s="107" t="s">
        <v>268</v>
      </c>
      <c r="D2745" s="25">
        <v>2134</v>
      </c>
      <c r="E2745" s="107" t="s">
        <v>212</v>
      </c>
      <c r="F2745" s="107" t="s">
        <v>744</v>
      </c>
      <c r="G2745" s="107">
        <v>528</v>
      </c>
      <c r="H2745" s="107">
        <v>0</v>
      </c>
      <c r="I2745" s="107">
        <v>0</v>
      </c>
      <c r="J2745" s="107">
        <f t="shared" si="43"/>
        <v>0.24742268041237114</v>
      </c>
      <c r="K2745" s="107">
        <v>6394</v>
      </c>
    </row>
    <row r="2746" spans="1:11" x14ac:dyDescent="0.15">
      <c r="A2746" s="107">
        <v>1763</v>
      </c>
      <c r="B2746" s="107" t="s">
        <v>197</v>
      </c>
      <c r="C2746" s="107" t="s">
        <v>268</v>
      </c>
      <c r="D2746" s="25">
        <v>2716</v>
      </c>
      <c r="E2746" s="107" t="s">
        <v>212</v>
      </c>
      <c r="F2746" s="107" t="s">
        <v>744</v>
      </c>
      <c r="G2746" s="107">
        <v>672</v>
      </c>
      <c r="H2746" s="107">
        <v>0</v>
      </c>
      <c r="I2746" s="107">
        <v>0</v>
      </c>
      <c r="J2746" s="107">
        <f t="shared" si="43"/>
        <v>0.24742268041237114</v>
      </c>
      <c r="K2746" s="107">
        <v>6423</v>
      </c>
    </row>
    <row r="2747" spans="1:11" x14ac:dyDescent="0.15">
      <c r="A2747" s="107">
        <v>1764</v>
      </c>
      <c r="B2747" s="107" t="s">
        <v>244</v>
      </c>
      <c r="C2747" s="107" t="s">
        <v>268</v>
      </c>
      <c r="D2747" s="25">
        <v>2716</v>
      </c>
      <c r="E2747" s="107" t="s">
        <v>212</v>
      </c>
      <c r="F2747" s="107" t="s">
        <v>744</v>
      </c>
      <c r="G2747" s="107">
        <v>672</v>
      </c>
      <c r="H2747" s="107">
        <v>0</v>
      </c>
      <c r="I2747" s="107">
        <v>0</v>
      </c>
      <c r="J2747" s="107">
        <f t="shared" si="43"/>
        <v>0.24742268041237114</v>
      </c>
      <c r="K2747" s="107">
        <v>6419</v>
      </c>
    </row>
    <row r="2748" spans="1:11" x14ac:dyDescent="0.15">
      <c r="A2748" s="107">
        <v>1764</v>
      </c>
      <c r="B2748" s="107" t="s">
        <v>261</v>
      </c>
      <c r="C2748" s="107" t="s">
        <v>268</v>
      </c>
      <c r="D2748" s="25">
        <v>1940</v>
      </c>
      <c r="E2748" s="107" t="s">
        <v>212</v>
      </c>
      <c r="F2748" s="107" t="s">
        <v>744</v>
      </c>
      <c r="G2748" s="107">
        <v>480</v>
      </c>
      <c r="H2748" s="107">
        <v>0</v>
      </c>
      <c r="I2748" s="107">
        <v>0</v>
      </c>
      <c r="J2748" s="107">
        <f t="shared" si="43"/>
        <v>0.24742268041237114</v>
      </c>
      <c r="K2748" s="107">
        <v>6423</v>
      </c>
    </row>
    <row r="2749" spans="1:11" x14ac:dyDescent="0.15">
      <c r="A2749" s="107">
        <v>1765</v>
      </c>
      <c r="B2749" s="107" t="s">
        <v>196</v>
      </c>
      <c r="C2749" s="107" t="s">
        <v>268</v>
      </c>
      <c r="D2749" s="25">
        <v>2716</v>
      </c>
      <c r="E2749" s="107" t="s">
        <v>212</v>
      </c>
      <c r="F2749" s="107" t="s">
        <v>744</v>
      </c>
      <c r="G2749" s="107">
        <v>672</v>
      </c>
      <c r="H2749" s="107">
        <v>0</v>
      </c>
      <c r="I2749" s="107">
        <v>0</v>
      </c>
      <c r="J2749" s="107">
        <f t="shared" si="43"/>
        <v>0.24742268041237114</v>
      </c>
      <c r="K2749" s="107">
        <v>6454</v>
      </c>
    </row>
    <row r="2750" spans="1:11" x14ac:dyDescent="0.15">
      <c r="A2750" s="107">
        <v>1766</v>
      </c>
      <c r="B2750" s="107" t="s">
        <v>261</v>
      </c>
      <c r="C2750" s="107" t="s">
        <v>268</v>
      </c>
      <c r="D2750" s="25">
        <v>2716</v>
      </c>
      <c r="E2750" s="107" t="s">
        <v>212</v>
      </c>
      <c r="F2750" s="107" t="s">
        <v>744</v>
      </c>
      <c r="G2750" s="107">
        <v>672</v>
      </c>
      <c r="H2750" s="107">
        <v>0</v>
      </c>
      <c r="I2750" s="107">
        <v>0</v>
      </c>
      <c r="J2750" s="107">
        <f t="shared" si="43"/>
        <v>0.24742268041237114</v>
      </c>
      <c r="K2750" s="107">
        <v>6457</v>
      </c>
    </row>
    <row r="2751" spans="1:11" x14ac:dyDescent="0.15">
      <c r="A2751" s="107">
        <v>1768</v>
      </c>
      <c r="B2751" s="107" t="s">
        <v>260</v>
      </c>
      <c r="C2751" s="107" t="s">
        <v>268</v>
      </c>
      <c r="D2751" s="25">
        <v>3880</v>
      </c>
      <c r="E2751" s="107" t="s">
        <v>212</v>
      </c>
      <c r="F2751" s="107" t="s">
        <v>744</v>
      </c>
      <c r="G2751" s="107">
        <v>960</v>
      </c>
      <c r="H2751" s="107">
        <v>0</v>
      </c>
      <c r="I2751" s="107">
        <v>0</v>
      </c>
      <c r="J2751" s="107">
        <f t="shared" si="43"/>
        <v>0.24742268041237114</v>
      </c>
      <c r="K2751" s="107">
        <v>6489</v>
      </c>
    </row>
    <row r="2752" spans="1:11" x14ac:dyDescent="0.15">
      <c r="A2752" s="107">
        <v>1769</v>
      </c>
      <c r="B2752" s="107" t="s">
        <v>260</v>
      </c>
      <c r="C2752" s="107" t="s">
        <v>268</v>
      </c>
      <c r="D2752" s="25">
        <v>2716</v>
      </c>
      <c r="E2752" s="107" t="s">
        <v>212</v>
      </c>
      <c r="F2752" s="107" t="s">
        <v>744</v>
      </c>
      <c r="G2752" s="107">
        <v>672</v>
      </c>
      <c r="H2752" s="107">
        <v>0</v>
      </c>
      <c r="I2752" s="107">
        <v>0</v>
      </c>
      <c r="J2752" s="107">
        <f t="shared" si="43"/>
        <v>0.24742268041237114</v>
      </c>
      <c r="K2752" s="107">
        <v>6518</v>
      </c>
    </row>
    <row r="2753" spans="1:11" x14ac:dyDescent="0.15">
      <c r="A2753" s="107">
        <v>1770</v>
      </c>
      <c r="B2753" s="107" t="s">
        <v>200</v>
      </c>
      <c r="C2753" s="107" t="s">
        <v>268</v>
      </c>
      <c r="D2753" s="25">
        <v>3104</v>
      </c>
      <c r="E2753" s="107" t="s">
        <v>212</v>
      </c>
      <c r="F2753" s="107" t="s">
        <v>744</v>
      </c>
      <c r="G2753" s="107">
        <v>704</v>
      </c>
      <c r="H2753" s="107">
        <v>0</v>
      </c>
      <c r="I2753" s="107">
        <v>0</v>
      </c>
      <c r="J2753" s="107">
        <f t="shared" si="43"/>
        <v>0.22680412371134021</v>
      </c>
      <c r="K2753" s="107">
        <v>6535</v>
      </c>
    </row>
    <row r="2754" spans="1:11" x14ac:dyDescent="0.15">
      <c r="A2754" s="107">
        <v>1771</v>
      </c>
      <c r="B2754" s="107" t="s">
        <v>261</v>
      </c>
      <c r="C2754" s="107" t="s">
        <v>268</v>
      </c>
      <c r="D2754" s="25">
        <v>2716</v>
      </c>
      <c r="E2754" s="107" t="s">
        <v>212</v>
      </c>
      <c r="F2754" s="107" t="s">
        <v>744</v>
      </c>
      <c r="G2754" s="107">
        <v>616</v>
      </c>
      <c r="H2754" s="107">
        <v>0</v>
      </c>
      <c r="I2754" s="107">
        <v>0</v>
      </c>
      <c r="J2754" s="107">
        <f t="shared" si="43"/>
        <v>0.22680412371134021</v>
      </c>
      <c r="K2754" s="107">
        <v>6540</v>
      </c>
    </row>
    <row r="2755" spans="1:11" x14ac:dyDescent="0.15">
      <c r="A2755" s="107">
        <v>1772</v>
      </c>
      <c r="B2755" s="107" t="s">
        <v>197</v>
      </c>
      <c r="C2755" s="107" t="s">
        <v>268</v>
      </c>
      <c r="D2755" s="25">
        <v>3104</v>
      </c>
      <c r="E2755" s="107" t="s">
        <v>212</v>
      </c>
      <c r="F2755" s="107" t="s">
        <v>744</v>
      </c>
      <c r="G2755" s="107">
        <v>704</v>
      </c>
      <c r="H2755" s="107">
        <v>0</v>
      </c>
      <c r="I2755" s="107">
        <v>0</v>
      </c>
      <c r="J2755" s="107">
        <f t="shared" si="43"/>
        <v>0.22680412371134021</v>
      </c>
      <c r="K2755" s="107">
        <v>6551</v>
      </c>
    </row>
    <row r="2756" spans="1:11" x14ac:dyDescent="0.15">
      <c r="A2756" s="107">
        <v>1773</v>
      </c>
      <c r="B2756" s="107" t="s">
        <v>260</v>
      </c>
      <c r="C2756" s="107" t="s">
        <v>268</v>
      </c>
      <c r="D2756" s="25">
        <v>3104</v>
      </c>
      <c r="E2756" s="107" t="s">
        <v>212</v>
      </c>
      <c r="F2756" s="107" t="s">
        <v>744</v>
      </c>
      <c r="G2756" s="107">
        <v>704</v>
      </c>
      <c r="H2756" s="107">
        <v>0</v>
      </c>
      <c r="I2756" s="107">
        <v>0</v>
      </c>
      <c r="J2756" s="107">
        <f t="shared" si="43"/>
        <v>0.22680412371134021</v>
      </c>
      <c r="K2756" s="107">
        <v>6566</v>
      </c>
    </row>
    <row r="2757" spans="1:11" x14ac:dyDescent="0.15">
      <c r="A2757" s="107">
        <v>1774</v>
      </c>
      <c r="B2757" s="107" t="s">
        <v>260</v>
      </c>
      <c r="C2757" s="107" t="s">
        <v>268</v>
      </c>
      <c r="D2757" s="25">
        <v>3104</v>
      </c>
      <c r="E2757" s="107" t="s">
        <v>212</v>
      </c>
      <c r="F2757" s="107" t="s">
        <v>744</v>
      </c>
      <c r="G2757" s="107">
        <v>704</v>
      </c>
      <c r="H2757" s="107">
        <v>0</v>
      </c>
      <c r="I2757" s="107">
        <v>0</v>
      </c>
      <c r="J2757" s="107">
        <f t="shared" si="43"/>
        <v>0.22680412371134021</v>
      </c>
      <c r="K2757" s="25">
        <v>6589</v>
      </c>
    </row>
    <row r="2758" spans="1:11" x14ac:dyDescent="0.15">
      <c r="A2758" s="107">
        <v>1775</v>
      </c>
      <c r="B2758" s="107" t="s">
        <v>196</v>
      </c>
      <c r="C2758" s="107" t="s">
        <v>268</v>
      </c>
      <c r="D2758" s="25">
        <v>3104</v>
      </c>
      <c r="E2758" s="107" t="s">
        <v>212</v>
      </c>
      <c r="F2758" s="107" t="s">
        <v>744</v>
      </c>
      <c r="G2758" s="107">
        <v>704</v>
      </c>
      <c r="H2758" s="107">
        <v>0</v>
      </c>
      <c r="I2758" s="107">
        <v>0</v>
      </c>
      <c r="J2758" s="107">
        <f t="shared" si="43"/>
        <v>0.22680412371134021</v>
      </c>
      <c r="K2758" s="107">
        <v>6611</v>
      </c>
    </row>
    <row r="2759" spans="1:11" x14ac:dyDescent="0.15">
      <c r="A2759" s="107">
        <v>1776</v>
      </c>
      <c r="B2759" s="107" t="s">
        <v>253</v>
      </c>
      <c r="C2759" s="107" t="s">
        <v>268</v>
      </c>
      <c r="D2759" s="25">
        <v>3104</v>
      </c>
      <c r="E2759" s="107" t="s">
        <v>212</v>
      </c>
      <c r="F2759" s="107" t="s">
        <v>744</v>
      </c>
      <c r="G2759" s="107">
        <v>704</v>
      </c>
      <c r="H2759" s="107">
        <v>0</v>
      </c>
      <c r="I2759" s="107">
        <v>0</v>
      </c>
      <c r="J2759" s="107">
        <f t="shared" si="43"/>
        <v>0.22680412371134021</v>
      </c>
      <c r="K2759" s="107">
        <v>6627</v>
      </c>
    </row>
    <row r="2760" spans="1:11" x14ac:dyDescent="0.15">
      <c r="A2760" s="107">
        <v>1777</v>
      </c>
      <c r="B2760" s="107" t="s">
        <v>253</v>
      </c>
      <c r="C2760" s="107" t="s">
        <v>268</v>
      </c>
      <c r="D2760" s="25">
        <v>3880</v>
      </c>
      <c r="E2760" s="107" t="s">
        <v>212</v>
      </c>
      <c r="F2760" s="107" t="s">
        <v>744</v>
      </c>
      <c r="G2760" s="107">
        <v>880</v>
      </c>
      <c r="H2760" s="107">
        <v>0</v>
      </c>
      <c r="I2760" s="107">
        <v>0</v>
      </c>
      <c r="J2760" s="107">
        <f t="shared" si="43"/>
        <v>0.22680412371134021</v>
      </c>
      <c r="K2760" s="107">
        <v>6643</v>
      </c>
    </row>
    <row r="2761" spans="1:11" x14ac:dyDescent="0.15">
      <c r="A2761" s="107">
        <v>1778</v>
      </c>
      <c r="B2761" s="107" t="s">
        <v>192</v>
      </c>
      <c r="C2761" s="107" t="s">
        <v>268</v>
      </c>
      <c r="D2761" s="25">
        <v>2716</v>
      </c>
      <c r="E2761" s="107" t="s">
        <v>212</v>
      </c>
      <c r="F2761" s="107" t="s">
        <v>744</v>
      </c>
      <c r="G2761" s="107">
        <v>616</v>
      </c>
      <c r="H2761" s="107">
        <v>0</v>
      </c>
      <c r="I2761" s="107">
        <v>0</v>
      </c>
      <c r="J2761" s="107">
        <f t="shared" si="43"/>
        <v>0.22680412371134021</v>
      </c>
      <c r="K2761" s="107">
        <v>6663</v>
      </c>
    </row>
    <row r="2762" spans="1:11" x14ac:dyDescent="0.15">
      <c r="A2762" s="107">
        <v>1779</v>
      </c>
      <c r="B2762" s="107" t="s">
        <v>260</v>
      </c>
      <c r="C2762" s="107" t="s">
        <v>268</v>
      </c>
      <c r="D2762" s="25">
        <v>1552</v>
      </c>
      <c r="E2762" s="107" t="s">
        <v>212</v>
      </c>
      <c r="F2762" s="107" t="s">
        <v>744</v>
      </c>
      <c r="G2762" s="107">
        <v>354</v>
      </c>
      <c r="H2762" s="107">
        <v>0</v>
      </c>
      <c r="I2762" s="107">
        <v>0</v>
      </c>
      <c r="J2762" s="107">
        <f t="shared" si="43"/>
        <v>0.22809278350515463</v>
      </c>
      <c r="K2762" s="107">
        <v>6669</v>
      </c>
    </row>
    <row r="2763" spans="1:11" x14ac:dyDescent="0.15">
      <c r="A2763" s="107">
        <v>1780</v>
      </c>
      <c r="B2763" s="107" t="s">
        <v>196</v>
      </c>
      <c r="C2763" s="107" t="s">
        <v>268</v>
      </c>
      <c r="D2763" s="25">
        <v>2716</v>
      </c>
      <c r="E2763" s="107" t="s">
        <v>212</v>
      </c>
      <c r="F2763" s="107" t="s">
        <v>744</v>
      </c>
      <c r="G2763" s="107">
        <v>616</v>
      </c>
      <c r="H2763" s="107">
        <v>0</v>
      </c>
      <c r="I2763" s="107">
        <v>0</v>
      </c>
      <c r="J2763" s="107">
        <f t="shared" si="43"/>
        <v>0.22680412371134021</v>
      </c>
      <c r="K2763" s="107">
        <v>6679</v>
      </c>
    </row>
    <row r="2764" spans="1:11" x14ac:dyDescent="0.15">
      <c r="A2764" s="107">
        <v>1780</v>
      </c>
      <c r="B2764" s="107" t="s">
        <v>200</v>
      </c>
      <c r="C2764" s="107" t="s">
        <v>268</v>
      </c>
      <c r="D2764" s="25">
        <v>3104</v>
      </c>
      <c r="E2764" s="107" t="s">
        <v>212</v>
      </c>
      <c r="F2764" s="107" t="s">
        <v>744</v>
      </c>
      <c r="G2764" s="107">
        <v>704</v>
      </c>
      <c r="H2764" s="107">
        <v>0</v>
      </c>
      <c r="I2764" s="107">
        <v>0</v>
      </c>
      <c r="J2764" s="107">
        <f t="shared" si="43"/>
        <v>0.22680412371134021</v>
      </c>
      <c r="K2764" s="107">
        <v>6689</v>
      </c>
    </row>
    <row r="2765" spans="1:11" x14ac:dyDescent="0.15">
      <c r="A2765" s="107">
        <v>1781</v>
      </c>
      <c r="B2765" s="107" t="s">
        <v>261</v>
      </c>
      <c r="C2765" s="107" t="s">
        <v>268</v>
      </c>
      <c r="D2765" s="25">
        <v>1940</v>
      </c>
      <c r="E2765" s="107" t="s">
        <v>212</v>
      </c>
      <c r="F2765" s="107" t="s">
        <v>744</v>
      </c>
      <c r="G2765" s="107">
        <v>440</v>
      </c>
      <c r="H2765" s="107">
        <v>0</v>
      </c>
      <c r="I2765" s="107">
        <v>0</v>
      </c>
      <c r="J2765" s="107">
        <f t="shared" si="43"/>
        <v>0.22680412371134021</v>
      </c>
      <c r="K2765" s="107">
        <v>6699</v>
      </c>
    </row>
    <row r="2766" spans="1:11" x14ac:dyDescent="0.15">
      <c r="A2766" s="107">
        <v>1783</v>
      </c>
      <c r="B2766" s="107" t="s">
        <v>236</v>
      </c>
      <c r="C2766" s="107" t="s">
        <v>268</v>
      </c>
      <c r="D2766" s="25">
        <v>2910</v>
      </c>
      <c r="E2766" s="107" t="s">
        <v>212</v>
      </c>
      <c r="F2766" s="107" t="s">
        <v>744</v>
      </c>
      <c r="G2766" s="107">
        <v>825</v>
      </c>
      <c r="H2766" s="107">
        <v>0</v>
      </c>
      <c r="I2766" s="107">
        <v>0</v>
      </c>
      <c r="J2766" s="107">
        <f t="shared" si="43"/>
        <v>0.28350515463917525</v>
      </c>
      <c r="K2766" s="107">
        <v>6714</v>
      </c>
    </row>
    <row r="2767" spans="1:11" x14ac:dyDescent="0.15">
      <c r="A2767" s="107">
        <v>1784</v>
      </c>
      <c r="B2767" s="107" t="s">
        <v>261</v>
      </c>
      <c r="C2767" s="107" t="s">
        <v>268</v>
      </c>
      <c r="D2767" s="25">
        <v>2082</v>
      </c>
      <c r="E2767" s="107" t="s">
        <v>212</v>
      </c>
      <c r="F2767" s="107" t="s">
        <v>744</v>
      </c>
      <c r="G2767" s="107">
        <v>590</v>
      </c>
      <c r="H2767" s="107">
        <v>5</v>
      </c>
      <c r="I2767" s="107">
        <v>0</v>
      </c>
      <c r="J2767" s="107">
        <f t="shared" si="43"/>
        <v>0.28350144092219021</v>
      </c>
      <c r="K2767" s="25">
        <v>6705</v>
      </c>
    </row>
    <row r="2768" spans="1:11" x14ac:dyDescent="0.15">
      <c r="A2768" s="107">
        <v>1784</v>
      </c>
      <c r="B2768" s="107" t="s">
        <v>236</v>
      </c>
      <c r="C2768" s="107" t="s">
        <v>268</v>
      </c>
      <c r="D2768" s="25">
        <v>2522</v>
      </c>
      <c r="E2768" s="107" t="s">
        <v>212</v>
      </c>
      <c r="F2768" s="107" t="s">
        <v>744</v>
      </c>
      <c r="G2768" s="107">
        <v>715</v>
      </c>
      <c r="H2768" s="107">
        <v>0</v>
      </c>
      <c r="I2768" s="107">
        <v>0</v>
      </c>
      <c r="J2768" s="107">
        <f t="shared" si="43"/>
        <v>0.28350515463917525</v>
      </c>
      <c r="K2768" s="107">
        <v>6733</v>
      </c>
    </row>
    <row r="2769" spans="1:14" x14ac:dyDescent="0.15">
      <c r="A2769" s="107">
        <v>1785</v>
      </c>
      <c r="B2769" s="107" t="s">
        <v>186</v>
      </c>
      <c r="C2769" s="107" t="s">
        <v>268</v>
      </c>
      <c r="D2769" s="25">
        <v>3686</v>
      </c>
      <c r="E2769" s="107" t="s">
        <v>212</v>
      </c>
      <c r="F2769" s="107" t="s">
        <v>744</v>
      </c>
      <c r="G2769" s="107">
        <v>836</v>
      </c>
      <c r="H2769" s="107">
        <v>0</v>
      </c>
      <c r="I2769" s="107">
        <v>0</v>
      </c>
      <c r="J2769" s="107">
        <f t="shared" si="43"/>
        <v>0.22680412371134021</v>
      </c>
      <c r="K2769" s="107">
        <v>6736</v>
      </c>
      <c r="L2769" s="107"/>
      <c r="M2769" s="107"/>
      <c r="N2769" s="107"/>
    </row>
    <row r="2770" spans="1:14" x14ac:dyDescent="0.15">
      <c r="A2770" s="107">
        <v>1786</v>
      </c>
      <c r="B2770" s="107" t="s">
        <v>261</v>
      </c>
      <c r="C2770" s="107" t="s">
        <v>268</v>
      </c>
      <c r="D2770" s="25">
        <v>886</v>
      </c>
      <c r="E2770" s="107" t="s">
        <v>212</v>
      </c>
      <c r="F2770" s="107" t="s">
        <v>744</v>
      </c>
      <c r="G2770" s="107">
        <v>200</v>
      </c>
      <c r="H2770" s="107">
        <v>19</v>
      </c>
      <c r="I2770" s="107">
        <v>0</v>
      </c>
      <c r="J2770" s="107">
        <f t="shared" si="43"/>
        <v>0.2268058690744921</v>
      </c>
      <c r="K2770" s="107">
        <v>6746</v>
      </c>
      <c r="L2770" s="107"/>
      <c r="M2770" s="107"/>
      <c r="N2770" s="107"/>
    </row>
    <row r="2771" spans="1:14" x14ac:dyDescent="0.15">
      <c r="A2771" s="107">
        <v>1787</v>
      </c>
      <c r="B2771" s="107" t="s">
        <v>197</v>
      </c>
      <c r="C2771" s="107" t="s">
        <v>268</v>
      </c>
      <c r="D2771" s="25">
        <v>1164</v>
      </c>
      <c r="E2771" s="107" t="s">
        <v>212</v>
      </c>
      <c r="F2771" s="107" t="s">
        <v>744</v>
      </c>
      <c r="G2771" s="107">
        <v>264</v>
      </c>
      <c r="H2771" s="107">
        <v>0</v>
      </c>
      <c r="I2771" s="107">
        <v>0</v>
      </c>
      <c r="J2771" s="107">
        <f t="shared" si="43"/>
        <v>0.22680412371134021</v>
      </c>
      <c r="K2771" s="107">
        <v>6752</v>
      </c>
      <c r="L2771" s="107"/>
      <c r="M2771" s="107"/>
      <c r="N2771" s="107"/>
    </row>
    <row r="2772" spans="1:14" x14ac:dyDescent="0.15">
      <c r="A2772" s="107">
        <v>1788</v>
      </c>
      <c r="B2772" s="107" t="s">
        <v>236</v>
      </c>
      <c r="C2772" s="107" t="s">
        <v>268</v>
      </c>
      <c r="D2772" s="25">
        <v>388</v>
      </c>
      <c r="E2772" s="107" t="s">
        <v>212</v>
      </c>
      <c r="F2772" s="107" t="s">
        <v>744</v>
      </c>
      <c r="G2772" s="107">
        <v>88</v>
      </c>
      <c r="H2772" s="107">
        <v>0</v>
      </c>
      <c r="I2772" s="107">
        <v>0</v>
      </c>
      <c r="J2772" s="107">
        <f t="shared" si="43"/>
        <v>0.22680412371134021</v>
      </c>
      <c r="K2772" s="25">
        <v>6786</v>
      </c>
      <c r="L2772" s="107"/>
      <c r="M2772" s="107"/>
      <c r="N2772" s="107"/>
    </row>
    <row r="2773" spans="1:14" x14ac:dyDescent="0.15">
      <c r="A2773" s="107">
        <v>1789</v>
      </c>
      <c r="B2773" s="107" t="s">
        <v>253</v>
      </c>
      <c r="C2773" s="107" t="s">
        <v>268</v>
      </c>
      <c r="D2773" s="25">
        <v>388</v>
      </c>
      <c r="E2773" s="107" t="s">
        <v>212</v>
      </c>
      <c r="F2773" s="107" t="s">
        <v>744</v>
      </c>
      <c r="G2773" s="107">
        <v>88</v>
      </c>
      <c r="H2773" s="107">
        <v>0</v>
      </c>
      <c r="I2773" s="107">
        <v>0</v>
      </c>
      <c r="J2773" s="107">
        <f t="shared" si="43"/>
        <v>0.22680412371134021</v>
      </c>
      <c r="K2773" s="25">
        <v>6785</v>
      </c>
      <c r="L2773" s="107"/>
      <c r="M2773" s="107"/>
      <c r="N2773" s="107"/>
    </row>
    <row r="2774" spans="1:14" x14ac:dyDescent="0.15">
      <c r="A2774" s="107">
        <v>1789</v>
      </c>
      <c r="B2774" s="107" t="s">
        <v>226</v>
      </c>
      <c r="C2774" s="107" t="s">
        <v>268</v>
      </c>
      <c r="D2774" s="25">
        <v>388</v>
      </c>
      <c r="E2774" s="107" t="s">
        <v>212</v>
      </c>
      <c r="F2774" s="107" t="s">
        <v>744</v>
      </c>
      <c r="G2774" s="107">
        <v>88</v>
      </c>
      <c r="H2774" s="107">
        <v>0</v>
      </c>
      <c r="I2774" s="107">
        <v>0</v>
      </c>
      <c r="J2774" s="107">
        <f t="shared" si="43"/>
        <v>0.22680412371134021</v>
      </c>
      <c r="K2774" s="25">
        <v>6785</v>
      </c>
      <c r="L2774" s="107"/>
      <c r="M2774" s="107"/>
      <c r="N2774" s="107"/>
    </row>
    <row r="2775" spans="1:14" x14ac:dyDescent="0.15">
      <c r="A2775" s="107">
        <v>1790</v>
      </c>
      <c r="B2775" s="107" t="s">
        <v>226</v>
      </c>
      <c r="C2775" s="107" t="s">
        <v>268</v>
      </c>
      <c r="D2775" s="25">
        <v>194</v>
      </c>
      <c r="E2775" s="107" t="s">
        <v>212</v>
      </c>
      <c r="F2775" s="107" t="s">
        <v>744</v>
      </c>
      <c r="G2775" s="107">
        <v>44</v>
      </c>
      <c r="H2775" s="107">
        <v>0</v>
      </c>
      <c r="I2775" s="107">
        <v>0</v>
      </c>
      <c r="J2775" s="107">
        <f t="shared" si="43"/>
        <v>0.22680412371134021</v>
      </c>
      <c r="K2775" s="25">
        <v>6790</v>
      </c>
      <c r="L2775" s="107"/>
      <c r="M2775" s="107"/>
      <c r="N2775" s="107"/>
    </row>
    <row r="2776" spans="1:14" x14ac:dyDescent="0.15">
      <c r="A2776" s="107">
        <v>1791</v>
      </c>
      <c r="B2776" s="107" t="s">
        <v>196</v>
      </c>
      <c r="C2776" s="107" t="s">
        <v>268</v>
      </c>
      <c r="D2776" s="25">
        <v>388</v>
      </c>
      <c r="E2776" s="107" t="s">
        <v>212</v>
      </c>
      <c r="F2776" s="107" t="s">
        <v>744</v>
      </c>
      <c r="G2776" s="107">
        <v>88</v>
      </c>
      <c r="H2776" s="107">
        <v>0</v>
      </c>
      <c r="I2776" s="107">
        <v>0</v>
      </c>
      <c r="J2776" s="107">
        <f t="shared" si="43"/>
        <v>0.22680412371134021</v>
      </c>
      <c r="K2776" s="107">
        <v>6805</v>
      </c>
      <c r="L2776" s="107"/>
      <c r="M2776" s="107"/>
      <c r="N2776" s="107"/>
    </row>
    <row r="2777" spans="1:14" x14ac:dyDescent="0.15">
      <c r="A2777" s="107">
        <v>1791</v>
      </c>
      <c r="B2777" s="107" t="s">
        <v>197</v>
      </c>
      <c r="C2777" s="107" t="s">
        <v>268</v>
      </c>
      <c r="D2777" s="25">
        <v>388</v>
      </c>
      <c r="E2777" s="107" t="s">
        <v>212</v>
      </c>
      <c r="F2777" s="107" t="s">
        <v>744</v>
      </c>
      <c r="G2777" s="107">
        <v>88</v>
      </c>
      <c r="H2777" s="107">
        <v>0</v>
      </c>
      <c r="I2777" s="107">
        <v>0</v>
      </c>
      <c r="J2777" s="107">
        <f t="shared" si="43"/>
        <v>0.22680412371134021</v>
      </c>
      <c r="K2777" s="107">
        <v>6804</v>
      </c>
      <c r="L2777" s="107"/>
      <c r="M2777" s="107"/>
      <c r="N2777" s="107"/>
    </row>
    <row r="2778" spans="1:14" x14ac:dyDescent="0.15">
      <c r="A2778" s="107">
        <v>1792</v>
      </c>
      <c r="B2778" s="107" t="s">
        <v>196</v>
      </c>
      <c r="C2778" s="107" t="s">
        <v>268</v>
      </c>
      <c r="D2778" s="25">
        <v>194</v>
      </c>
      <c r="E2778" s="107" t="s">
        <v>212</v>
      </c>
      <c r="F2778" s="107" t="s">
        <v>744</v>
      </c>
      <c r="G2778" s="107">
        <v>44</v>
      </c>
      <c r="H2778" s="107">
        <v>0</v>
      </c>
      <c r="I2778" s="107">
        <v>0</v>
      </c>
      <c r="J2778" s="107">
        <f t="shared" si="43"/>
        <v>0.22680412371134021</v>
      </c>
      <c r="K2778" s="107">
        <v>6811</v>
      </c>
      <c r="L2778" s="107"/>
      <c r="M2778" s="107"/>
      <c r="N2778" s="107"/>
    </row>
    <row r="2779" spans="1:14" x14ac:dyDescent="0.15">
      <c r="A2779" s="107">
        <v>1793</v>
      </c>
      <c r="B2779" s="107" t="s">
        <v>192</v>
      </c>
      <c r="C2779" s="107" t="s">
        <v>268</v>
      </c>
      <c r="D2779" s="25">
        <v>97</v>
      </c>
      <c r="E2779" s="107" t="s">
        <v>212</v>
      </c>
      <c r="F2779" s="107" t="s">
        <v>744</v>
      </c>
      <c r="G2779" s="107">
        <v>22</v>
      </c>
      <c r="H2779" s="107">
        <v>0</v>
      </c>
      <c r="I2779" s="107">
        <v>0</v>
      </c>
      <c r="J2779" s="107">
        <f t="shared" si="43"/>
        <v>0.22680412371134021</v>
      </c>
      <c r="K2779" s="107">
        <v>6826</v>
      </c>
      <c r="L2779" s="107"/>
      <c r="M2779" s="107"/>
      <c r="N2779" s="107"/>
    </row>
    <row r="2780" spans="1:14" x14ac:dyDescent="0.15">
      <c r="A2780" s="107">
        <v>1793</v>
      </c>
      <c r="B2780" s="107" t="s">
        <v>247</v>
      </c>
      <c r="C2780" s="107" t="s">
        <v>270</v>
      </c>
      <c r="D2780" s="25">
        <v>450</v>
      </c>
      <c r="E2780" s="107" t="s">
        <v>212</v>
      </c>
      <c r="F2780" s="107" t="s">
        <v>744</v>
      </c>
      <c r="G2780" s="107">
        <v>102</v>
      </c>
      <c r="H2780" s="107">
        <v>1</v>
      </c>
      <c r="I2780" s="107">
        <v>0</v>
      </c>
      <c r="J2780" s="107">
        <f t="shared" si="43"/>
        <v>0.22677777777777777</v>
      </c>
      <c r="K2780" s="107">
        <v>6826</v>
      </c>
      <c r="L2780" s="107"/>
      <c r="M2780" s="107"/>
      <c r="N2780" s="107"/>
    </row>
    <row r="2781" spans="1:14" x14ac:dyDescent="0.15">
      <c r="A2781" s="107">
        <v>1794</v>
      </c>
      <c r="B2781" s="107" t="s">
        <v>260</v>
      </c>
      <c r="C2781" s="107" t="s">
        <v>270</v>
      </c>
      <c r="D2781" s="25">
        <v>388</v>
      </c>
      <c r="E2781" s="107" t="s">
        <v>212</v>
      </c>
      <c r="F2781" s="107" t="s">
        <v>744</v>
      </c>
      <c r="G2781" s="107">
        <v>88</v>
      </c>
      <c r="H2781" s="107">
        <v>0</v>
      </c>
      <c r="I2781" s="107">
        <v>0</v>
      </c>
      <c r="J2781" s="107">
        <f t="shared" si="43"/>
        <v>0.22680412371134021</v>
      </c>
      <c r="K2781" s="107">
        <v>6840</v>
      </c>
      <c r="L2781" s="107"/>
      <c r="M2781" s="107"/>
      <c r="N2781" s="107"/>
    </row>
    <row r="2782" spans="1:14" x14ac:dyDescent="0.15">
      <c r="A2782" s="107">
        <v>1794</v>
      </c>
      <c r="B2782" s="107" t="s">
        <v>261</v>
      </c>
      <c r="C2782" s="107" t="s">
        <v>268</v>
      </c>
      <c r="D2782" s="25">
        <v>3492</v>
      </c>
      <c r="E2782" s="107" t="s">
        <v>212</v>
      </c>
      <c r="F2782" s="107" t="s">
        <v>744</v>
      </c>
      <c r="G2782" s="107">
        <v>792</v>
      </c>
      <c r="H2782" s="107">
        <v>0</v>
      </c>
      <c r="I2782" s="107">
        <v>0</v>
      </c>
      <c r="J2782" s="107">
        <f t="shared" si="43"/>
        <v>0.22680412371134021</v>
      </c>
      <c r="K2782" s="107">
        <v>6839</v>
      </c>
      <c r="L2782" s="107"/>
      <c r="M2782" s="107"/>
      <c r="N2782" s="107"/>
    </row>
    <row r="2783" spans="1:14" x14ac:dyDescent="0.15">
      <c r="A2783" s="107">
        <v>1674</v>
      </c>
      <c r="B2783" s="107" t="s">
        <v>197</v>
      </c>
      <c r="C2783" s="107" t="s">
        <v>274</v>
      </c>
      <c r="D2783" s="107">
        <v>2302.5</v>
      </c>
      <c r="E2783" s="107" t="s">
        <v>193</v>
      </c>
      <c r="F2783" s="107" t="s">
        <v>746</v>
      </c>
      <c r="G2783" s="107">
        <v>57</v>
      </c>
      <c r="H2783" s="107">
        <v>11</v>
      </c>
      <c r="I2783" s="107">
        <v>4</v>
      </c>
      <c r="J2783" s="107">
        <f t="shared" si="43"/>
        <v>2.5000000000000001E-2</v>
      </c>
      <c r="K2783" s="107">
        <v>4011</v>
      </c>
      <c r="L2783" s="107">
        <v>1814</v>
      </c>
      <c r="M2783" s="107">
        <v>594</v>
      </c>
      <c r="N2783" s="107" t="s">
        <v>294</v>
      </c>
    </row>
    <row r="2784" spans="1:14" x14ac:dyDescent="0.15">
      <c r="A2784" s="107">
        <v>1674</v>
      </c>
      <c r="B2784" s="107" t="s">
        <v>196</v>
      </c>
      <c r="C2784" s="107" t="s">
        <v>274</v>
      </c>
      <c r="D2784" s="107">
        <v>2192.5</v>
      </c>
      <c r="E2784" s="107" t="s">
        <v>193</v>
      </c>
      <c r="F2784" s="107" t="s">
        <v>746</v>
      </c>
      <c r="G2784" s="107">
        <v>54</v>
      </c>
      <c r="H2784" s="107">
        <v>16</v>
      </c>
      <c r="I2784" s="107">
        <v>4</v>
      </c>
      <c r="J2784" s="107">
        <f t="shared" si="43"/>
        <v>2.5000000000000001E-2</v>
      </c>
      <c r="K2784" s="107">
        <v>4011</v>
      </c>
      <c r="L2784" s="107">
        <v>1814</v>
      </c>
      <c r="M2784" s="107">
        <v>599</v>
      </c>
      <c r="N2784" s="107" t="s">
        <v>294</v>
      </c>
    </row>
    <row r="2785" spans="1:15" x14ac:dyDescent="0.15">
      <c r="A2785" s="107">
        <v>1674</v>
      </c>
      <c r="B2785" s="107" t="s">
        <v>475</v>
      </c>
      <c r="C2785" s="107" t="s">
        <v>274</v>
      </c>
      <c r="D2785" s="107">
        <v>2112.5</v>
      </c>
      <c r="E2785" s="107" t="s">
        <v>193</v>
      </c>
      <c r="F2785" s="107" t="s">
        <v>746</v>
      </c>
      <c r="G2785" s="107">
        <v>52</v>
      </c>
      <c r="H2785" s="107">
        <v>16</v>
      </c>
      <c r="I2785" s="107">
        <v>4</v>
      </c>
      <c r="J2785" s="107">
        <f t="shared" si="43"/>
        <v>2.5000000000000001E-2</v>
      </c>
      <c r="K2785" s="107">
        <v>4011</v>
      </c>
      <c r="L2785" s="107">
        <v>1814</v>
      </c>
      <c r="M2785" s="107">
        <v>607</v>
      </c>
      <c r="N2785" s="107" t="s">
        <v>294</v>
      </c>
      <c r="O2785" s="107"/>
    </row>
    <row r="2786" spans="1:15" x14ac:dyDescent="0.15">
      <c r="A2786" s="107">
        <v>1700</v>
      </c>
      <c r="B2786" s="107" t="s">
        <v>200</v>
      </c>
      <c r="C2786" s="107" t="s">
        <v>271</v>
      </c>
      <c r="D2786" s="107">
        <v>1</v>
      </c>
      <c r="E2786" s="107" t="s">
        <v>204</v>
      </c>
      <c r="F2786" s="107" t="s">
        <v>747</v>
      </c>
      <c r="G2786" s="107">
        <v>3</v>
      </c>
      <c r="H2786" s="107">
        <v>0</v>
      </c>
      <c r="I2786" s="107">
        <v>0</v>
      </c>
      <c r="J2786" s="107">
        <f t="shared" si="43"/>
        <v>3</v>
      </c>
      <c r="K2786" s="107">
        <v>4047</v>
      </c>
      <c r="L2786" s="107">
        <v>1855</v>
      </c>
      <c r="M2786" s="107">
        <v>528</v>
      </c>
      <c r="N2786" s="107" t="s">
        <v>272</v>
      </c>
      <c r="O2786" s="107"/>
    </row>
    <row r="2787" spans="1:15" x14ac:dyDescent="0.15">
      <c r="A2787" s="107">
        <v>1701</v>
      </c>
      <c r="B2787" s="107" t="s">
        <v>197</v>
      </c>
      <c r="C2787" s="107" t="s">
        <v>271</v>
      </c>
      <c r="D2787" s="107">
        <v>2</v>
      </c>
      <c r="E2787" s="107" t="s">
        <v>204</v>
      </c>
      <c r="F2787" s="107" t="s">
        <v>747</v>
      </c>
      <c r="G2787" s="107">
        <v>6</v>
      </c>
      <c r="H2787" s="107">
        <v>0</v>
      </c>
      <c r="I2787" s="107">
        <v>0</v>
      </c>
      <c r="J2787" s="107">
        <f t="shared" si="43"/>
        <v>3</v>
      </c>
      <c r="K2787" s="107">
        <v>4047</v>
      </c>
      <c r="L2787" s="107">
        <v>1855</v>
      </c>
      <c r="M2787" s="107">
        <v>556</v>
      </c>
      <c r="N2787" s="107" t="s">
        <v>273</v>
      </c>
      <c r="O2787" s="107"/>
    </row>
    <row r="2788" spans="1:15" x14ac:dyDescent="0.15">
      <c r="A2788" s="107">
        <v>1666</v>
      </c>
      <c r="B2788" s="107" t="s">
        <v>197</v>
      </c>
      <c r="C2788" s="107" t="s">
        <v>274</v>
      </c>
      <c r="D2788" s="107">
        <v>23.5</v>
      </c>
      <c r="E2788" s="107" t="s">
        <v>324</v>
      </c>
      <c r="F2788" s="107" t="s">
        <v>748</v>
      </c>
      <c r="G2788" s="107">
        <v>493</v>
      </c>
      <c r="H2788" s="107">
        <v>10</v>
      </c>
      <c r="I2788" s="107">
        <v>0</v>
      </c>
      <c r="J2788" s="107">
        <f t="shared" si="43"/>
        <v>21</v>
      </c>
      <c r="K2788" s="107">
        <v>4001</v>
      </c>
      <c r="L2788" s="107">
        <v>1800</v>
      </c>
      <c r="M2788" s="107">
        <v>40</v>
      </c>
      <c r="N2788" s="107"/>
      <c r="O2788" s="107"/>
    </row>
    <row r="2789" spans="1:15" x14ac:dyDescent="0.15">
      <c r="A2789" s="107">
        <v>1698</v>
      </c>
      <c r="B2789" s="107" t="s">
        <v>200</v>
      </c>
      <c r="C2789" s="107" t="s">
        <v>271</v>
      </c>
      <c r="D2789" s="107">
        <v>30</v>
      </c>
      <c r="E2789" s="107" t="s">
        <v>193</v>
      </c>
      <c r="F2789" s="107" t="s">
        <v>749</v>
      </c>
      <c r="G2789" s="107">
        <v>3</v>
      </c>
      <c r="H2789" s="107">
        <v>0</v>
      </c>
      <c r="I2789" s="107">
        <v>0</v>
      </c>
      <c r="J2789" s="107">
        <f t="shared" si="43"/>
        <v>0.1</v>
      </c>
      <c r="K2789" s="107">
        <v>4043</v>
      </c>
      <c r="L2789" s="107">
        <v>1851</v>
      </c>
      <c r="M2789" s="107">
        <v>829</v>
      </c>
      <c r="N2789" s="107"/>
      <c r="O2789" s="107"/>
    </row>
    <row r="2790" spans="1:15" x14ac:dyDescent="0.15">
      <c r="A2790" s="107">
        <v>1655</v>
      </c>
      <c r="B2790" s="107" t="s">
        <v>236</v>
      </c>
      <c r="C2790" s="107" t="s">
        <v>274</v>
      </c>
      <c r="D2790" s="107">
        <v>3</v>
      </c>
      <c r="E2790" s="107" t="s">
        <v>375</v>
      </c>
      <c r="F2790" s="107" t="s">
        <v>750</v>
      </c>
      <c r="G2790" s="107">
        <v>48</v>
      </c>
      <c r="H2790" s="107">
        <v>14</v>
      </c>
      <c r="I2790" s="107">
        <v>8</v>
      </c>
      <c r="J2790" s="107">
        <f t="shared" si="43"/>
        <v>16.241666666666667</v>
      </c>
      <c r="K2790" s="107">
        <v>3990</v>
      </c>
      <c r="L2790" s="107">
        <v>1788</v>
      </c>
      <c r="M2790" s="107">
        <v>204</v>
      </c>
      <c r="N2790" s="107" t="s">
        <v>286</v>
      </c>
      <c r="O2790" s="107"/>
    </row>
    <row r="2791" spans="1:15" x14ac:dyDescent="0.15">
      <c r="A2791" s="107">
        <v>1655</v>
      </c>
      <c r="B2791" s="107" t="s">
        <v>226</v>
      </c>
      <c r="C2791" s="107" t="s">
        <v>274</v>
      </c>
      <c r="D2791" s="107">
        <v>25</v>
      </c>
      <c r="E2791" s="107" t="s">
        <v>193</v>
      </c>
      <c r="F2791" s="107" t="s">
        <v>750</v>
      </c>
      <c r="G2791" s="107">
        <v>4</v>
      </c>
      <c r="H2791" s="107">
        <v>1</v>
      </c>
      <c r="I2791" s="107">
        <v>4</v>
      </c>
      <c r="J2791" s="107">
        <f t="shared" si="43"/>
        <v>0.16250000000000001</v>
      </c>
      <c r="K2791" s="107">
        <v>3990</v>
      </c>
      <c r="L2791" s="107">
        <v>1788</v>
      </c>
      <c r="M2791" s="107">
        <v>207</v>
      </c>
      <c r="N2791" s="107" t="s">
        <v>276</v>
      </c>
      <c r="O2791" s="107" t="s">
        <v>277</v>
      </c>
    </row>
    <row r="2792" spans="1:15" x14ac:dyDescent="0.15">
      <c r="A2792" s="107">
        <v>1674</v>
      </c>
      <c r="B2792" s="107" t="s">
        <v>197</v>
      </c>
      <c r="C2792" s="107" t="s">
        <v>274</v>
      </c>
      <c r="D2792" s="107">
        <v>20</v>
      </c>
      <c r="E2792" s="107" t="s">
        <v>193</v>
      </c>
      <c r="F2792" s="107" t="s">
        <v>750</v>
      </c>
      <c r="G2792" s="107">
        <v>2</v>
      </c>
      <c r="H2792" s="107">
        <v>10</v>
      </c>
      <c r="I2792" s="107">
        <v>0</v>
      </c>
      <c r="J2792" s="107">
        <f t="shared" si="43"/>
        <v>0.125</v>
      </c>
      <c r="K2792" s="107">
        <v>4011</v>
      </c>
      <c r="L2792" s="107">
        <v>1814</v>
      </c>
      <c r="M2792" s="107">
        <v>595</v>
      </c>
      <c r="N2792" s="107" t="s">
        <v>294</v>
      </c>
      <c r="O2792" s="107"/>
    </row>
    <row r="2793" spans="1:15" x14ac:dyDescent="0.15">
      <c r="A2793" s="107">
        <v>1674</v>
      </c>
      <c r="B2793" s="107" t="s">
        <v>196</v>
      </c>
      <c r="C2793" s="107" t="s">
        <v>274</v>
      </c>
      <c r="D2793" s="107">
        <v>28</v>
      </c>
      <c r="E2793" s="107" t="s">
        <v>193</v>
      </c>
      <c r="F2793" s="107" t="s">
        <v>750</v>
      </c>
      <c r="G2793" s="107">
        <v>4</v>
      </c>
      <c r="H2793" s="107">
        <v>4</v>
      </c>
      <c r="I2793" s="107">
        <v>0</v>
      </c>
      <c r="J2793" s="107">
        <f t="shared" si="43"/>
        <v>0.15</v>
      </c>
      <c r="K2793" s="107">
        <v>4011</v>
      </c>
      <c r="L2793" s="107">
        <v>1814</v>
      </c>
      <c r="M2793" s="107">
        <v>603</v>
      </c>
      <c r="N2793" s="107" t="s">
        <v>380</v>
      </c>
      <c r="O2793" s="107"/>
    </row>
    <row r="2794" spans="1:15" x14ac:dyDescent="0.15">
      <c r="A2794" s="107">
        <v>1682</v>
      </c>
      <c r="B2794" s="107" t="s">
        <v>197</v>
      </c>
      <c r="C2794" s="107" t="s">
        <v>271</v>
      </c>
      <c r="D2794" s="107">
        <v>12</v>
      </c>
      <c r="E2794" s="107" t="s">
        <v>193</v>
      </c>
      <c r="F2794" s="107" t="s">
        <v>750</v>
      </c>
      <c r="G2794" s="107">
        <v>1</v>
      </c>
      <c r="H2794" s="107">
        <v>10</v>
      </c>
      <c r="I2794" s="107">
        <v>0</v>
      </c>
      <c r="J2794" s="107">
        <f t="shared" si="43"/>
        <v>0.125</v>
      </c>
      <c r="K2794" s="107">
        <v>4018</v>
      </c>
      <c r="L2794" s="107">
        <v>1820</v>
      </c>
      <c r="M2794" s="107">
        <v>763</v>
      </c>
      <c r="N2794" s="107" t="s">
        <v>273</v>
      </c>
      <c r="O2794" s="107"/>
    </row>
    <row r="2795" spans="1:15" x14ac:dyDescent="0.15">
      <c r="A2795" s="107">
        <v>1697</v>
      </c>
      <c r="B2795" s="107" t="s">
        <v>751</v>
      </c>
      <c r="C2795" s="107" t="s">
        <v>271</v>
      </c>
      <c r="D2795" s="107">
        <v>50</v>
      </c>
      <c r="E2795" s="107" t="s">
        <v>193</v>
      </c>
      <c r="F2795" s="107" t="s">
        <v>750</v>
      </c>
      <c r="G2795" s="107">
        <v>5</v>
      </c>
      <c r="H2795" s="107">
        <v>0</v>
      </c>
      <c r="I2795" s="107">
        <v>0</v>
      </c>
      <c r="J2795" s="107">
        <f t="shared" si="43"/>
        <v>0.1</v>
      </c>
      <c r="K2795" s="107">
        <v>4038</v>
      </c>
      <c r="L2795" s="107">
        <v>1846</v>
      </c>
      <c r="M2795" s="107">
        <v>732</v>
      </c>
      <c r="N2795" s="107" t="s">
        <v>273</v>
      </c>
      <c r="O2795" s="107"/>
    </row>
    <row r="2796" spans="1:15" x14ac:dyDescent="0.15">
      <c r="A2796" s="107">
        <v>1655</v>
      </c>
      <c r="B2796" s="107" t="s">
        <v>197</v>
      </c>
      <c r="C2796" s="107" t="s">
        <v>274</v>
      </c>
      <c r="D2796" s="107">
        <v>3</v>
      </c>
      <c r="E2796" s="107" t="s">
        <v>375</v>
      </c>
      <c r="F2796" s="107" t="s">
        <v>752</v>
      </c>
      <c r="G2796" s="107">
        <v>48</v>
      </c>
      <c r="H2796" s="107">
        <v>14</v>
      </c>
      <c r="I2796" s="107">
        <v>8</v>
      </c>
      <c r="J2796" s="107">
        <f t="shared" si="43"/>
        <v>16.241666666666667</v>
      </c>
      <c r="K2796" s="107">
        <v>3990</v>
      </c>
      <c r="L2796" s="107">
        <v>1788</v>
      </c>
      <c r="M2796" s="107">
        <v>149</v>
      </c>
      <c r="N2796" s="107"/>
      <c r="O2796" s="107"/>
    </row>
    <row r="2797" spans="1:15" x14ac:dyDescent="0.15">
      <c r="A2797" s="107">
        <v>1656</v>
      </c>
      <c r="B2797" s="107" t="s">
        <v>244</v>
      </c>
      <c r="C2797" s="107" t="s">
        <v>274</v>
      </c>
      <c r="D2797" s="107">
        <v>0.25</v>
      </c>
      <c r="E2797" s="107" t="s">
        <v>375</v>
      </c>
      <c r="F2797" s="107" t="s">
        <v>752</v>
      </c>
      <c r="G2797" s="107">
        <v>4</v>
      </c>
      <c r="H2797" s="107">
        <v>9</v>
      </c>
      <c r="I2797" s="107">
        <v>5</v>
      </c>
      <c r="J2797" s="107">
        <f t="shared" si="43"/>
        <v>17.862500000000001</v>
      </c>
      <c r="K2797" s="107">
        <v>3991</v>
      </c>
      <c r="L2797" s="107">
        <v>1788</v>
      </c>
      <c r="M2797" s="107">
        <v>162</v>
      </c>
      <c r="N2797" s="107"/>
      <c r="O2797" s="107"/>
    </row>
    <row r="2798" spans="1:15" x14ac:dyDescent="0.15">
      <c r="A2798" s="107">
        <v>1657</v>
      </c>
      <c r="B2798" s="107" t="s">
        <v>261</v>
      </c>
      <c r="C2798" s="107" t="s">
        <v>274</v>
      </c>
      <c r="D2798" s="107">
        <v>25</v>
      </c>
      <c r="E2798" s="107" t="s">
        <v>193</v>
      </c>
      <c r="F2798" s="107" t="s">
        <v>752</v>
      </c>
      <c r="G2798" s="107">
        <v>10</v>
      </c>
      <c r="H2798" s="107">
        <v>0</v>
      </c>
      <c r="I2798" s="107">
        <v>0</v>
      </c>
      <c r="J2798" s="107">
        <f t="shared" si="43"/>
        <v>0.4</v>
      </c>
      <c r="K2798" s="107">
        <v>3992</v>
      </c>
      <c r="L2798" s="107">
        <v>1789</v>
      </c>
      <c r="M2798" s="107">
        <v>240</v>
      </c>
      <c r="N2798" s="107"/>
      <c r="O2798" s="107"/>
    </row>
    <row r="2799" spans="1:15" x14ac:dyDescent="0.15">
      <c r="A2799" s="107">
        <v>1660</v>
      </c>
      <c r="B2799" s="107" t="s">
        <v>253</v>
      </c>
      <c r="C2799" s="107" t="s">
        <v>274</v>
      </c>
      <c r="D2799" s="107">
        <v>10</v>
      </c>
      <c r="E2799" s="107" t="s">
        <v>193</v>
      </c>
      <c r="F2799" s="107" t="s">
        <v>752</v>
      </c>
      <c r="G2799" s="107">
        <v>1</v>
      </c>
      <c r="H2799" s="107">
        <v>6</v>
      </c>
      <c r="I2799" s="107">
        <v>11</v>
      </c>
      <c r="J2799" s="107">
        <f t="shared" si="43"/>
        <v>0.13343750000000001</v>
      </c>
      <c r="K2799" s="107">
        <v>3995</v>
      </c>
      <c r="L2799" s="107">
        <v>1793</v>
      </c>
      <c r="M2799" s="107">
        <v>202</v>
      </c>
      <c r="N2799" s="107"/>
      <c r="O2799" s="107"/>
    </row>
    <row r="2800" spans="1:15" x14ac:dyDescent="0.15">
      <c r="A2800" s="107">
        <v>1661</v>
      </c>
      <c r="B2800" s="107" t="s">
        <v>197</v>
      </c>
      <c r="C2800" s="107" t="s">
        <v>274</v>
      </c>
      <c r="D2800" s="107">
        <v>15.5</v>
      </c>
      <c r="E2800" s="107" t="s">
        <v>375</v>
      </c>
      <c r="F2800" s="107" t="s">
        <v>752</v>
      </c>
      <c r="G2800" s="107">
        <v>186</v>
      </c>
      <c r="H2800" s="107">
        <v>0</v>
      </c>
      <c r="I2800" s="107">
        <v>0</v>
      </c>
      <c r="J2800" s="107">
        <f t="shared" ref="J2800:J2863" si="44">(G2800+H2800/20+I2800/320)/D2800</f>
        <v>12</v>
      </c>
      <c r="K2800" s="107">
        <v>3996</v>
      </c>
      <c r="L2800" s="107">
        <v>1794</v>
      </c>
      <c r="M2800" s="107" t="s">
        <v>290</v>
      </c>
      <c r="N2800" s="107"/>
      <c r="O2800" s="107"/>
    </row>
    <row r="2801" spans="1:13" x14ac:dyDescent="0.15">
      <c r="A2801" s="107">
        <v>1662</v>
      </c>
      <c r="B2801" s="107" t="s">
        <v>197</v>
      </c>
      <c r="C2801" s="107" t="s">
        <v>274</v>
      </c>
      <c r="D2801" s="107">
        <v>3</v>
      </c>
      <c r="E2801" s="107" t="s">
        <v>375</v>
      </c>
      <c r="F2801" s="107" t="s">
        <v>752</v>
      </c>
      <c r="G2801" s="107">
        <v>36</v>
      </c>
      <c r="H2801" s="107">
        <v>0</v>
      </c>
      <c r="I2801" s="107">
        <v>0</v>
      </c>
      <c r="J2801" s="107">
        <f t="shared" si="44"/>
        <v>12</v>
      </c>
      <c r="K2801" s="107">
        <v>3997</v>
      </c>
      <c r="L2801" s="107">
        <v>1795</v>
      </c>
      <c r="M2801" s="107">
        <v>306</v>
      </c>
    </row>
    <row r="2802" spans="1:13" x14ac:dyDescent="0.15">
      <c r="A2802" s="107">
        <v>1663</v>
      </c>
      <c r="B2802" s="107" t="s">
        <v>197</v>
      </c>
      <c r="C2802" s="107" t="s">
        <v>274</v>
      </c>
      <c r="D2802" s="107">
        <v>1</v>
      </c>
      <c r="E2802" s="107" t="s">
        <v>375</v>
      </c>
      <c r="F2802" s="107" t="s">
        <v>752</v>
      </c>
      <c r="G2802" s="107">
        <v>0</v>
      </c>
      <c r="H2802" s="107">
        <v>48</v>
      </c>
      <c r="I2802" s="107">
        <v>0</v>
      </c>
      <c r="J2802" s="107">
        <f t="shared" si="44"/>
        <v>2.4</v>
      </c>
      <c r="K2802" s="107">
        <v>3998</v>
      </c>
      <c r="L2802" s="107">
        <v>1797</v>
      </c>
      <c r="M2802" s="107" t="s">
        <v>290</v>
      </c>
    </row>
    <row r="2803" spans="1:13" x14ac:dyDescent="0.15">
      <c r="A2803" s="107">
        <v>1665</v>
      </c>
      <c r="B2803" s="107" t="s">
        <v>197</v>
      </c>
      <c r="C2803" s="107" t="s">
        <v>274</v>
      </c>
      <c r="D2803" s="107">
        <v>2340</v>
      </c>
      <c r="E2803" s="107" t="s">
        <v>193</v>
      </c>
      <c r="F2803" s="107" t="s">
        <v>752</v>
      </c>
      <c r="G2803" s="107">
        <v>292</v>
      </c>
      <c r="H2803" s="107">
        <v>10</v>
      </c>
      <c r="I2803" s="107">
        <v>0</v>
      </c>
      <c r="J2803" s="107">
        <f t="shared" si="44"/>
        <v>0.125</v>
      </c>
      <c r="K2803" s="107">
        <v>4000</v>
      </c>
      <c r="L2803" s="107">
        <v>1798</v>
      </c>
      <c r="M2803" s="107">
        <v>65</v>
      </c>
    </row>
    <row r="2804" spans="1:13" x14ac:dyDescent="0.15">
      <c r="A2804" s="107">
        <v>1666</v>
      </c>
      <c r="B2804" s="107" t="s">
        <v>197</v>
      </c>
      <c r="C2804" s="107" t="s">
        <v>274</v>
      </c>
      <c r="D2804" s="107">
        <v>1243</v>
      </c>
      <c r="E2804" s="107" t="s">
        <v>193</v>
      </c>
      <c r="F2804" s="107" t="s">
        <v>752</v>
      </c>
      <c r="G2804" s="107">
        <v>124</v>
      </c>
      <c r="H2804" s="107">
        <v>6</v>
      </c>
      <c r="I2804" s="107">
        <v>0</v>
      </c>
      <c r="J2804" s="107">
        <f t="shared" si="44"/>
        <v>9.9999999999999992E-2</v>
      </c>
      <c r="K2804" s="107">
        <v>4001</v>
      </c>
      <c r="L2804" s="107">
        <v>1800</v>
      </c>
      <c r="M2804" s="107">
        <v>40</v>
      </c>
    </row>
    <row r="2805" spans="1:13" x14ac:dyDescent="0.15">
      <c r="A2805" s="107">
        <v>1667</v>
      </c>
      <c r="B2805" s="107" t="s">
        <v>197</v>
      </c>
      <c r="C2805" s="107" t="s">
        <v>274</v>
      </c>
      <c r="D2805" s="107">
        <v>20</v>
      </c>
      <c r="E2805" s="107" t="s">
        <v>193</v>
      </c>
      <c r="F2805" s="107" t="s">
        <v>752</v>
      </c>
      <c r="G2805" s="107">
        <v>2</v>
      </c>
      <c r="H2805" s="107">
        <v>0</v>
      </c>
      <c r="I2805" s="107">
        <v>0</v>
      </c>
      <c r="J2805" s="107">
        <f t="shared" si="44"/>
        <v>0.1</v>
      </c>
      <c r="K2805" s="107">
        <v>4002</v>
      </c>
      <c r="L2805" s="107">
        <v>1802</v>
      </c>
      <c r="M2805" s="107">
        <v>760</v>
      </c>
    </row>
    <row r="2806" spans="1:13" x14ac:dyDescent="0.15">
      <c r="A2806" s="107">
        <v>1668</v>
      </c>
      <c r="B2806" s="107" t="s">
        <v>197</v>
      </c>
      <c r="C2806" s="107" t="s">
        <v>274</v>
      </c>
      <c r="D2806" s="107">
        <v>200</v>
      </c>
      <c r="E2806" s="107" t="s">
        <v>193</v>
      </c>
      <c r="F2806" s="107" t="s">
        <v>752</v>
      </c>
      <c r="G2806" s="107">
        <v>18</v>
      </c>
      <c r="H2806" s="107">
        <v>0</v>
      </c>
      <c r="I2806" s="107">
        <v>0</v>
      </c>
      <c r="J2806" s="107">
        <f t="shared" si="44"/>
        <v>0.09</v>
      </c>
      <c r="K2806" s="107">
        <v>4003</v>
      </c>
      <c r="L2806" s="107">
        <v>1802</v>
      </c>
      <c r="M2806" s="107">
        <v>31</v>
      </c>
    </row>
    <row r="2807" spans="1:13" x14ac:dyDescent="0.15">
      <c r="A2807" s="107">
        <v>1669</v>
      </c>
      <c r="B2807" s="107" t="s">
        <v>197</v>
      </c>
      <c r="C2807" s="107" t="s">
        <v>274</v>
      </c>
      <c r="D2807" s="107">
        <v>1241</v>
      </c>
      <c r="E2807" s="107" t="s">
        <v>193</v>
      </c>
      <c r="F2807" s="107" t="s">
        <v>752</v>
      </c>
      <c r="G2807" s="107">
        <v>271</v>
      </c>
      <c r="H2807" s="107">
        <v>2</v>
      </c>
      <c r="I2807" s="107">
        <v>8</v>
      </c>
      <c r="J2807" s="107">
        <f t="shared" si="44"/>
        <v>0.21847300564061242</v>
      </c>
      <c r="K2807" s="107">
        <v>4004</v>
      </c>
      <c r="L2807" s="107">
        <v>1805</v>
      </c>
      <c r="M2807" s="107">
        <v>558</v>
      </c>
    </row>
    <row r="2808" spans="1:13" x14ac:dyDescent="0.15">
      <c r="A2808" s="107">
        <v>1672</v>
      </c>
      <c r="B2808" s="107" t="s">
        <v>196</v>
      </c>
      <c r="C2808" s="107" t="s">
        <v>274</v>
      </c>
      <c r="D2808" s="107">
        <v>50</v>
      </c>
      <c r="E2808" s="107" t="s">
        <v>193</v>
      </c>
      <c r="F2808" s="107" t="s">
        <v>752</v>
      </c>
      <c r="G2808" s="107">
        <v>17</v>
      </c>
      <c r="H2808" s="107">
        <v>10</v>
      </c>
      <c r="I2808" s="107">
        <v>0</v>
      </c>
      <c r="J2808" s="107">
        <f t="shared" si="44"/>
        <v>0.35</v>
      </c>
      <c r="K2808" s="107">
        <v>4008</v>
      </c>
      <c r="L2808" s="107">
        <v>1810</v>
      </c>
      <c r="M2808" s="107">
        <v>511</v>
      </c>
    </row>
    <row r="2809" spans="1:13" x14ac:dyDescent="0.15">
      <c r="A2809" s="107">
        <v>1676</v>
      </c>
      <c r="B2809" s="107" t="s">
        <v>197</v>
      </c>
      <c r="C2809" s="107" t="s">
        <v>274</v>
      </c>
      <c r="D2809" s="107">
        <v>80</v>
      </c>
      <c r="E2809" s="107" t="s">
        <v>193</v>
      </c>
      <c r="F2809" s="107" t="s">
        <v>752</v>
      </c>
      <c r="G2809" s="107">
        <v>12</v>
      </c>
      <c r="H2809" s="107">
        <v>0</v>
      </c>
      <c r="I2809" s="107">
        <v>0</v>
      </c>
      <c r="J2809" s="107">
        <f t="shared" si="44"/>
        <v>0.15</v>
      </c>
      <c r="K2809" s="107">
        <v>4012</v>
      </c>
      <c r="L2809" s="107">
        <v>1814</v>
      </c>
      <c r="M2809" s="107">
        <v>427</v>
      </c>
    </row>
    <row r="2810" spans="1:13" x14ac:dyDescent="0.15">
      <c r="A2810" s="107">
        <v>1677</v>
      </c>
      <c r="B2810" s="107" t="s">
        <v>197</v>
      </c>
      <c r="C2810" s="107" t="s">
        <v>274</v>
      </c>
      <c r="D2810" s="107">
        <v>35</v>
      </c>
      <c r="E2810" s="107" t="s">
        <v>193</v>
      </c>
      <c r="F2810" s="107" t="s">
        <v>752</v>
      </c>
      <c r="G2810" s="107">
        <v>5</v>
      </c>
      <c r="H2810" s="107">
        <v>5</v>
      </c>
      <c r="I2810" s="107">
        <v>0</v>
      </c>
      <c r="J2810" s="107">
        <f t="shared" si="44"/>
        <v>0.15</v>
      </c>
      <c r="K2810" s="107">
        <v>4013</v>
      </c>
      <c r="L2810" s="107">
        <v>1816</v>
      </c>
      <c r="M2810" s="107">
        <v>742</v>
      </c>
    </row>
    <row r="2811" spans="1:13" x14ac:dyDescent="0.15">
      <c r="A2811" s="107">
        <v>1678</v>
      </c>
      <c r="B2811" s="107" t="s">
        <v>197</v>
      </c>
      <c r="C2811" s="107" t="s">
        <v>295</v>
      </c>
      <c r="D2811" s="107">
        <v>100</v>
      </c>
      <c r="E2811" s="107" t="s">
        <v>193</v>
      </c>
      <c r="F2811" s="107" t="s">
        <v>752</v>
      </c>
      <c r="G2811" s="107">
        <v>15</v>
      </c>
      <c r="H2811" s="107">
        <v>0</v>
      </c>
      <c r="I2811" s="107">
        <v>0</v>
      </c>
      <c r="J2811" s="107">
        <f t="shared" si="44"/>
        <v>0.15</v>
      </c>
      <c r="K2811" s="107">
        <v>4014</v>
      </c>
      <c r="L2811" s="107">
        <v>4903</v>
      </c>
      <c r="M2811" s="107">
        <v>666</v>
      </c>
    </row>
    <row r="2812" spans="1:13" x14ac:dyDescent="0.15">
      <c r="A2812" s="107">
        <v>1685</v>
      </c>
      <c r="B2812" s="107" t="s">
        <v>197</v>
      </c>
      <c r="C2812" s="107" t="s">
        <v>271</v>
      </c>
      <c r="D2812" s="107">
        <v>185</v>
      </c>
      <c r="E2812" s="107" t="s">
        <v>193</v>
      </c>
      <c r="F2812" s="107" t="s">
        <v>752</v>
      </c>
      <c r="G2812" s="107">
        <v>74</v>
      </c>
      <c r="H2812" s="107">
        <v>0</v>
      </c>
      <c r="I2812" s="107">
        <v>0</v>
      </c>
      <c r="J2812" s="107">
        <f t="shared" si="44"/>
        <v>0.4</v>
      </c>
      <c r="K2812" s="107">
        <v>4022</v>
      </c>
      <c r="L2812" s="107">
        <v>1827</v>
      </c>
      <c r="M2812" s="107">
        <v>609</v>
      </c>
    </row>
    <row r="2813" spans="1:13" x14ac:dyDescent="0.15">
      <c r="A2813" s="107">
        <v>1685</v>
      </c>
      <c r="B2813" s="107" t="s">
        <v>247</v>
      </c>
      <c r="C2813" s="107" t="s">
        <v>271</v>
      </c>
      <c r="D2813" s="107">
        <v>274</v>
      </c>
      <c r="E2813" s="107" t="s">
        <v>193</v>
      </c>
      <c r="F2813" s="107" t="s">
        <v>752</v>
      </c>
      <c r="G2813" s="107">
        <v>41</v>
      </c>
      <c r="H2813" s="107">
        <v>2</v>
      </c>
      <c r="I2813" s="107">
        <v>0</v>
      </c>
      <c r="J2813" s="107">
        <f t="shared" si="44"/>
        <v>0.15</v>
      </c>
      <c r="K2813" s="107">
        <v>4022</v>
      </c>
      <c r="L2813" s="107">
        <v>1827</v>
      </c>
      <c r="M2813" s="107">
        <v>614</v>
      </c>
    </row>
    <row r="2814" spans="1:13" x14ac:dyDescent="0.15">
      <c r="A2814" s="107">
        <v>1686</v>
      </c>
      <c r="B2814" s="107" t="s">
        <v>247</v>
      </c>
      <c r="C2814" s="107" t="s">
        <v>295</v>
      </c>
      <c r="D2814" s="107">
        <v>8</v>
      </c>
      <c r="E2814" s="107" t="s">
        <v>193</v>
      </c>
      <c r="F2814" s="107" t="s">
        <v>752</v>
      </c>
      <c r="G2814" s="107">
        <v>1</v>
      </c>
      <c r="H2814" s="107">
        <v>3</v>
      </c>
      <c r="I2814" s="107">
        <v>0</v>
      </c>
      <c r="J2814" s="107">
        <f t="shared" si="44"/>
        <v>0.14374999999999999</v>
      </c>
      <c r="K2814" s="107">
        <v>4023</v>
      </c>
      <c r="L2814" s="107">
        <v>1829</v>
      </c>
      <c r="M2814" s="107">
        <v>831</v>
      </c>
    </row>
    <row r="2815" spans="1:13" x14ac:dyDescent="0.15">
      <c r="A2815" s="107">
        <v>1689</v>
      </c>
      <c r="B2815" s="107" t="s">
        <v>197</v>
      </c>
      <c r="C2815" s="107" t="s">
        <v>271</v>
      </c>
      <c r="D2815" s="107">
        <v>13</v>
      </c>
      <c r="E2815" s="107" t="s">
        <v>193</v>
      </c>
      <c r="F2815" s="107" t="s">
        <v>752</v>
      </c>
      <c r="G2815" s="107">
        <v>1</v>
      </c>
      <c r="H2815" s="107">
        <v>19</v>
      </c>
      <c r="I2815" s="107">
        <v>0</v>
      </c>
      <c r="J2815" s="107">
        <f t="shared" si="44"/>
        <v>0.15</v>
      </c>
      <c r="K2815" s="107">
        <v>4027</v>
      </c>
      <c r="L2815" s="107">
        <v>1832</v>
      </c>
      <c r="M2815" s="107">
        <v>483</v>
      </c>
    </row>
    <row r="2816" spans="1:13" x14ac:dyDescent="0.15">
      <c r="A2816" s="107">
        <v>1693</v>
      </c>
      <c r="B2816" s="107" t="s">
        <v>253</v>
      </c>
      <c r="C2816" s="107" t="s">
        <v>271</v>
      </c>
      <c r="D2816" s="107">
        <v>30</v>
      </c>
      <c r="E2816" s="107" t="s">
        <v>193</v>
      </c>
      <c r="F2816" s="107" t="s">
        <v>752</v>
      </c>
      <c r="G2816" s="107">
        <v>4</v>
      </c>
      <c r="H2816" s="107">
        <v>10</v>
      </c>
      <c r="I2816" s="107">
        <v>0</v>
      </c>
      <c r="J2816" s="107">
        <f t="shared" si="44"/>
        <v>0.15</v>
      </c>
      <c r="K2816" s="107">
        <v>4030</v>
      </c>
      <c r="L2816" s="107">
        <v>1836</v>
      </c>
      <c r="M2816" s="107">
        <v>238</v>
      </c>
    </row>
    <row r="2817" spans="1:15" x14ac:dyDescent="0.15">
      <c r="A2817" s="107">
        <v>1699</v>
      </c>
      <c r="B2817" s="107" t="s">
        <v>197</v>
      </c>
      <c r="C2817" s="107" t="s">
        <v>271</v>
      </c>
      <c r="D2817" s="107">
        <v>20</v>
      </c>
      <c r="E2817" s="107" t="s">
        <v>193</v>
      </c>
      <c r="F2817" s="107" t="s">
        <v>752</v>
      </c>
      <c r="G2817" s="107">
        <v>2</v>
      </c>
      <c r="H2817" s="107">
        <v>0</v>
      </c>
      <c r="I2817" s="107">
        <v>0</v>
      </c>
      <c r="J2817" s="107">
        <f t="shared" si="44"/>
        <v>0.1</v>
      </c>
      <c r="K2817" s="107">
        <v>4043</v>
      </c>
      <c r="L2817" s="107">
        <v>1851</v>
      </c>
      <c r="M2817" s="107">
        <v>852</v>
      </c>
      <c r="N2817" s="107"/>
      <c r="O2817" s="107"/>
    </row>
    <row r="2818" spans="1:15" x14ac:dyDescent="0.15">
      <c r="A2818" s="107">
        <v>1703</v>
      </c>
      <c r="B2818" s="107" t="s">
        <v>226</v>
      </c>
      <c r="C2818" s="107" t="s">
        <v>271</v>
      </c>
      <c r="D2818" s="107">
        <v>60</v>
      </c>
      <c r="E2818" s="107" t="s">
        <v>193</v>
      </c>
      <c r="F2818" s="107" t="s">
        <v>752</v>
      </c>
      <c r="G2818" s="107">
        <v>6</v>
      </c>
      <c r="H2818" s="107">
        <v>0</v>
      </c>
      <c r="I2818" s="107">
        <v>0</v>
      </c>
      <c r="J2818" s="107">
        <f t="shared" si="44"/>
        <v>0.1</v>
      </c>
      <c r="K2818" s="107">
        <v>4050</v>
      </c>
      <c r="L2818" s="107">
        <v>1858</v>
      </c>
      <c r="M2818" s="107">
        <v>543</v>
      </c>
      <c r="N2818" s="107"/>
      <c r="O2818" s="107"/>
    </row>
    <row r="2819" spans="1:15" x14ac:dyDescent="0.15">
      <c r="A2819" s="107">
        <v>1655</v>
      </c>
      <c r="B2819" s="107" t="s">
        <v>196</v>
      </c>
      <c r="C2819" s="107" t="s">
        <v>274</v>
      </c>
      <c r="D2819" s="107">
        <v>3</v>
      </c>
      <c r="E2819" s="107" t="s">
        <v>429</v>
      </c>
      <c r="F2819" s="107" t="s">
        <v>753</v>
      </c>
      <c r="G2819" s="107">
        <v>3</v>
      </c>
      <c r="H2819" s="107">
        <v>0</v>
      </c>
      <c r="I2819" s="107">
        <v>0</v>
      </c>
      <c r="J2819" s="107">
        <f t="shared" si="44"/>
        <v>1</v>
      </c>
      <c r="K2819" s="107">
        <v>3990</v>
      </c>
      <c r="L2819" s="107">
        <v>1788</v>
      </c>
      <c r="M2819" s="107">
        <v>205</v>
      </c>
      <c r="N2819" s="107" t="s">
        <v>406</v>
      </c>
      <c r="O2819" s="107" t="s">
        <v>277</v>
      </c>
    </row>
    <row r="2820" spans="1:15" x14ac:dyDescent="0.15">
      <c r="A2820" s="107">
        <v>1655</v>
      </c>
      <c r="B2820" s="107" t="s">
        <v>196</v>
      </c>
      <c r="C2820" s="107" t="s">
        <v>274</v>
      </c>
      <c r="D2820" s="107">
        <v>3</v>
      </c>
      <c r="E2820" s="107" t="s">
        <v>429</v>
      </c>
      <c r="F2820" s="107" t="s">
        <v>753</v>
      </c>
      <c r="G2820" s="107">
        <v>3</v>
      </c>
      <c r="H2820" s="107">
        <v>0</v>
      </c>
      <c r="I2820" s="107">
        <v>0</v>
      </c>
      <c r="J2820" s="107">
        <f t="shared" si="44"/>
        <v>1</v>
      </c>
      <c r="K2820" s="107">
        <v>3990</v>
      </c>
      <c r="L2820" s="107">
        <v>1788</v>
      </c>
      <c r="M2820" s="107">
        <v>205</v>
      </c>
      <c r="N2820" s="107" t="s">
        <v>406</v>
      </c>
      <c r="O2820" s="107" t="s">
        <v>277</v>
      </c>
    </row>
    <row r="2821" spans="1:15" x14ac:dyDescent="0.15">
      <c r="A2821" s="107">
        <v>1655</v>
      </c>
      <c r="B2821" s="107" t="s">
        <v>196</v>
      </c>
      <c r="C2821" s="107" t="s">
        <v>274</v>
      </c>
      <c r="D2821" s="107">
        <v>2</v>
      </c>
      <c r="E2821" s="107" t="s">
        <v>429</v>
      </c>
      <c r="F2821" s="107" t="s">
        <v>753</v>
      </c>
      <c r="G2821" s="107">
        <v>2</v>
      </c>
      <c r="H2821" s="107">
        <v>0</v>
      </c>
      <c r="I2821" s="107">
        <v>0</v>
      </c>
      <c r="J2821" s="107">
        <f t="shared" si="44"/>
        <v>1</v>
      </c>
      <c r="K2821" s="107">
        <v>3990</v>
      </c>
      <c r="L2821" s="107">
        <v>1788</v>
      </c>
      <c r="M2821" s="107">
        <v>205</v>
      </c>
      <c r="N2821" s="107" t="s">
        <v>406</v>
      </c>
      <c r="O2821" s="107" t="s">
        <v>277</v>
      </c>
    </row>
    <row r="2822" spans="1:15" x14ac:dyDescent="0.15">
      <c r="A2822" s="107">
        <v>1655</v>
      </c>
      <c r="B2822" s="107" t="s">
        <v>196</v>
      </c>
      <c r="C2822" s="107" t="s">
        <v>274</v>
      </c>
      <c r="D2822" s="107">
        <v>2</v>
      </c>
      <c r="E2822" s="107" t="s">
        <v>429</v>
      </c>
      <c r="F2822" s="107" t="s">
        <v>753</v>
      </c>
      <c r="G2822" s="107">
        <v>2</v>
      </c>
      <c r="H2822" s="107">
        <v>0</v>
      </c>
      <c r="I2822" s="107">
        <v>0</v>
      </c>
      <c r="J2822" s="107">
        <f t="shared" si="44"/>
        <v>1</v>
      </c>
      <c r="K2822" s="107">
        <v>3990</v>
      </c>
      <c r="L2822" s="107">
        <v>1788</v>
      </c>
      <c r="M2822" s="107">
        <v>205</v>
      </c>
      <c r="N2822" s="107" t="s">
        <v>406</v>
      </c>
      <c r="O2822" s="107" t="s">
        <v>277</v>
      </c>
    </row>
    <row r="2823" spans="1:15" x14ac:dyDescent="0.15">
      <c r="A2823" s="107">
        <v>1655</v>
      </c>
      <c r="B2823" s="107" t="s">
        <v>196</v>
      </c>
      <c r="C2823" s="107" t="s">
        <v>274</v>
      </c>
      <c r="D2823" s="107">
        <v>12</v>
      </c>
      <c r="E2823" s="107" t="s">
        <v>429</v>
      </c>
      <c r="F2823" s="107" t="s">
        <v>753</v>
      </c>
      <c r="G2823" s="107">
        <v>12</v>
      </c>
      <c r="H2823" s="107">
        <v>0</v>
      </c>
      <c r="I2823" s="107">
        <v>0</v>
      </c>
      <c r="J2823" s="107">
        <f t="shared" si="44"/>
        <v>1</v>
      </c>
      <c r="K2823" s="107">
        <v>3990</v>
      </c>
      <c r="L2823" s="107">
        <v>1788</v>
      </c>
      <c r="M2823" s="107">
        <v>206</v>
      </c>
      <c r="N2823" s="107" t="s">
        <v>406</v>
      </c>
      <c r="O2823" s="107" t="s">
        <v>277</v>
      </c>
    </row>
    <row r="2824" spans="1:15" x14ac:dyDescent="0.15">
      <c r="A2824" s="107">
        <v>1656</v>
      </c>
      <c r="B2824" s="107" t="s">
        <v>253</v>
      </c>
      <c r="C2824" s="107" t="s">
        <v>274</v>
      </c>
      <c r="D2824" s="107">
        <v>300</v>
      </c>
      <c r="E2824" s="107" t="s">
        <v>438</v>
      </c>
      <c r="F2824" s="107" t="s">
        <v>754</v>
      </c>
      <c r="G2824" s="107">
        <v>270</v>
      </c>
      <c r="H2824" s="107">
        <v>0</v>
      </c>
      <c r="I2824" s="107">
        <v>0</v>
      </c>
      <c r="J2824" s="107">
        <f t="shared" si="44"/>
        <v>0.9</v>
      </c>
      <c r="K2824" s="107">
        <v>3991</v>
      </c>
      <c r="L2824" s="107">
        <v>1788</v>
      </c>
      <c r="M2824" s="107">
        <v>151</v>
      </c>
      <c r="N2824" s="107" t="s">
        <v>383</v>
      </c>
      <c r="O2824" s="107"/>
    </row>
    <row r="2825" spans="1:15" x14ac:dyDescent="0.15">
      <c r="A2825" s="107">
        <v>1659</v>
      </c>
      <c r="B2825" s="107" t="s">
        <v>197</v>
      </c>
      <c r="C2825" s="107" t="s">
        <v>274</v>
      </c>
      <c r="D2825" s="107">
        <v>117</v>
      </c>
      <c r="E2825" s="107" t="s">
        <v>438</v>
      </c>
      <c r="F2825" s="107" t="s">
        <v>754</v>
      </c>
      <c r="G2825" s="107">
        <v>87</v>
      </c>
      <c r="H2825" s="107">
        <v>15</v>
      </c>
      <c r="I2825" s="107">
        <v>0</v>
      </c>
      <c r="J2825" s="107">
        <f t="shared" si="44"/>
        <v>0.75</v>
      </c>
      <c r="K2825" s="107">
        <v>3993</v>
      </c>
      <c r="L2825" s="107">
        <v>1792</v>
      </c>
      <c r="M2825" s="107">
        <v>167</v>
      </c>
      <c r="N2825" s="107" t="s">
        <v>317</v>
      </c>
      <c r="O2825" s="107"/>
    </row>
    <row r="2826" spans="1:15" x14ac:dyDescent="0.15">
      <c r="A2826" s="107">
        <v>1655</v>
      </c>
      <c r="B2826" s="107" t="s">
        <v>236</v>
      </c>
      <c r="C2826" s="107" t="s">
        <v>274</v>
      </c>
      <c r="D2826" s="107">
        <v>2</v>
      </c>
      <c r="E2826" s="107"/>
      <c r="F2826" s="107" t="s">
        <v>755</v>
      </c>
      <c r="G2826" s="107">
        <v>7</v>
      </c>
      <c r="H2826" s="107">
        <v>12</v>
      </c>
      <c r="I2826" s="107">
        <v>0</v>
      </c>
      <c r="J2826" s="107">
        <f t="shared" si="44"/>
        <v>3.8</v>
      </c>
      <c r="K2826" s="107">
        <v>3990</v>
      </c>
      <c r="L2826" s="107">
        <v>1788</v>
      </c>
      <c r="M2826" s="107">
        <v>203</v>
      </c>
      <c r="N2826" s="107" t="s">
        <v>756</v>
      </c>
      <c r="O2826" s="107"/>
    </row>
    <row r="2827" spans="1:15" x14ac:dyDescent="0.15">
      <c r="A2827" s="107">
        <v>1656</v>
      </c>
      <c r="B2827" s="107" t="s">
        <v>283</v>
      </c>
      <c r="C2827" s="107" t="s">
        <v>274</v>
      </c>
      <c r="D2827" s="107">
        <v>12</v>
      </c>
      <c r="E2827" s="107" t="s">
        <v>204</v>
      </c>
      <c r="F2827" s="107" t="s">
        <v>757</v>
      </c>
      <c r="G2827" s="107">
        <v>331</v>
      </c>
      <c r="H2827" s="107">
        <v>14</v>
      </c>
      <c r="I2827" s="107">
        <v>0</v>
      </c>
      <c r="J2827" s="107">
        <f t="shared" si="44"/>
        <v>27.641666666666666</v>
      </c>
      <c r="K2827" s="107">
        <v>3991</v>
      </c>
      <c r="L2827" s="107">
        <v>1788</v>
      </c>
      <c r="M2827" s="107">
        <v>149</v>
      </c>
      <c r="N2827" s="107" t="s">
        <v>284</v>
      </c>
      <c r="O2827" s="107"/>
    </row>
    <row r="2828" spans="1:15" x14ac:dyDescent="0.15">
      <c r="A2828" s="107">
        <v>1681</v>
      </c>
      <c r="B2828" s="107" t="s">
        <v>244</v>
      </c>
      <c r="C2828" s="107" t="s">
        <v>271</v>
      </c>
      <c r="D2828" s="107">
        <v>1</v>
      </c>
      <c r="E2828" s="107" t="s">
        <v>758</v>
      </c>
      <c r="F2828" s="107" t="s">
        <v>224</v>
      </c>
      <c r="G2828" s="107">
        <v>20</v>
      </c>
      <c r="H2828" s="107">
        <v>0</v>
      </c>
      <c r="I2828" s="107">
        <v>0</v>
      </c>
      <c r="J2828" s="107">
        <f t="shared" si="44"/>
        <v>20</v>
      </c>
      <c r="K2828" s="107">
        <v>4017</v>
      </c>
      <c r="L2828" s="107">
        <v>1819</v>
      </c>
      <c r="M2828" s="107">
        <v>470</v>
      </c>
      <c r="N2828" s="107"/>
      <c r="O2828" s="107"/>
    </row>
    <row r="2829" spans="1:15" x14ac:dyDescent="0.15">
      <c r="A2829" s="107">
        <v>1683</v>
      </c>
      <c r="B2829" s="107" t="s">
        <v>192</v>
      </c>
      <c r="C2829" s="107" t="s">
        <v>271</v>
      </c>
      <c r="D2829" s="107">
        <v>1</v>
      </c>
      <c r="E2829" s="107" t="s">
        <v>758</v>
      </c>
      <c r="F2829" s="107" t="s">
        <v>224</v>
      </c>
      <c r="G2829" s="107">
        <v>20</v>
      </c>
      <c r="H2829" s="107">
        <v>0</v>
      </c>
      <c r="I2829" s="107">
        <v>0</v>
      </c>
      <c r="J2829" s="107">
        <f t="shared" si="44"/>
        <v>20</v>
      </c>
      <c r="K2829" s="107">
        <v>4019</v>
      </c>
      <c r="L2829" s="107">
        <v>1822</v>
      </c>
      <c r="M2829" s="107">
        <v>661</v>
      </c>
      <c r="N2829" s="107"/>
      <c r="O2829" s="107"/>
    </row>
    <row r="2830" spans="1:15" x14ac:dyDescent="0.15">
      <c r="A2830" s="107">
        <v>1684</v>
      </c>
      <c r="B2830" s="107" t="s">
        <v>196</v>
      </c>
      <c r="C2830" s="107" t="s">
        <v>271</v>
      </c>
      <c r="D2830" s="107">
        <v>1</v>
      </c>
      <c r="E2830" s="107" t="s">
        <v>758</v>
      </c>
      <c r="F2830" s="107" t="s">
        <v>224</v>
      </c>
      <c r="G2830" s="107">
        <v>20</v>
      </c>
      <c r="H2830" s="107">
        <v>0</v>
      </c>
      <c r="I2830" s="107">
        <v>0</v>
      </c>
      <c r="J2830" s="107">
        <f t="shared" si="44"/>
        <v>20</v>
      </c>
      <c r="K2830" s="107">
        <v>4021</v>
      </c>
      <c r="L2830" s="107">
        <v>1825</v>
      </c>
      <c r="M2830" s="107">
        <v>674</v>
      </c>
      <c r="N2830" s="107"/>
      <c r="O2830" s="107"/>
    </row>
    <row r="2831" spans="1:15" x14ac:dyDescent="0.15">
      <c r="A2831" s="107">
        <v>1685</v>
      </c>
      <c r="B2831" s="107" t="s">
        <v>197</v>
      </c>
      <c r="C2831" s="107" t="s">
        <v>271</v>
      </c>
      <c r="D2831" s="107">
        <v>4</v>
      </c>
      <c r="E2831" s="107" t="s">
        <v>759</v>
      </c>
      <c r="F2831" s="107" t="s">
        <v>224</v>
      </c>
      <c r="G2831" s="107">
        <v>152</v>
      </c>
      <c r="H2831" s="107">
        <v>0</v>
      </c>
      <c r="I2831" s="107">
        <v>0</v>
      </c>
      <c r="J2831" s="107">
        <f t="shared" si="44"/>
        <v>38</v>
      </c>
      <c r="K2831" s="107">
        <v>4022</v>
      </c>
      <c r="L2831" s="107">
        <v>1827</v>
      </c>
      <c r="M2831" s="107">
        <v>609</v>
      </c>
      <c r="N2831" s="107"/>
      <c r="O2831" s="107"/>
    </row>
    <row r="2832" spans="1:15" x14ac:dyDescent="0.15">
      <c r="A2832" s="107">
        <v>1686</v>
      </c>
      <c r="B2832" s="107" t="s">
        <v>197</v>
      </c>
      <c r="C2832" s="107" t="s">
        <v>271</v>
      </c>
      <c r="D2832" s="107">
        <v>4</v>
      </c>
      <c r="E2832" s="107" t="s">
        <v>759</v>
      </c>
      <c r="F2832" s="107" t="s">
        <v>224</v>
      </c>
      <c r="G2832" s="107">
        <v>81</v>
      </c>
      <c r="H2832" s="107">
        <v>12</v>
      </c>
      <c r="I2832" s="107">
        <v>0</v>
      </c>
      <c r="J2832" s="107">
        <f t="shared" si="44"/>
        <v>20.399999999999999</v>
      </c>
      <c r="K2832" s="107">
        <v>4023</v>
      </c>
      <c r="L2832" s="107">
        <v>1829</v>
      </c>
      <c r="M2832" s="107">
        <v>706</v>
      </c>
      <c r="N2832" s="107"/>
      <c r="O2832" s="107"/>
    </row>
    <row r="2833" spans="1:15" x14ac:dyDescent="0.15">
      <c r="A2833" s="107">
        <v>1697</v>
      </c>
      <c r="B2833" s="107" t="s">
        <v>247</v>
      </c>
      <c r="C2833" s="107" t="s">
        <v>271</v>
      </c>
      <c r="D2833" s="107">
        <v>1</v>
      </c>
      <c r="E2833" s="107" t="s">
        <v>758</v>
      </c>
      <c r="F2833" s="107" t="s">
        <v>224</v>
      </c>
      <c r="G2833" s="107">
        <v>25</v>
      </c>
      <c r="H2833" s="107">
        <v>0</v>
      </c>
      <c r="I2833" s="107">
        <v>0</v>
      </c>
      <c r="J2833" s="107">
        <f t="shared" si="44"/>
        <v>25</v>
      </c>
      <c r="K2833" s="107">
        <v>4038</v>
      </c>
      <c r="L2833" s="107">
        <v>1846</v>
      </c>
      <c r="M2833" s="107">
        <v>757</v>
      </c>
      <c r="N2833" s="107" t="s">
        <v>273</v>
      </c>
      <c r="O2833" s="107"/>
    </row>
    <row r="2834" spans="1:15" x14ac:dyDescent="0.15">
      <c r="A2834" s="107">
        <v>1700</v>
      </c>
      <c r="B2834" s="107" t="s">
        <v>200</v>
      </c>
      <c r="C2834" s="107" t="s">
        <v>271</v>
      </c>
      <c r="D2834" s="107">
        <v>12</v>
      </c>
      <c r="E2834" s="107" t="s">
        <v>193</v>
      </c>
      <c r="F2834" s="107" t="s">
        <v>224</v>
      </c>
      <c r="G2834" s="107">
        <v>4</v>
      </c>
      <c r="H2834" s="107">
        <v>16</v>
      </c>
      <c r="I2834" s="107">
        <v>0</v>
      </c>
      <c r="J2834" s="107">
        <f t="shared" si="44"/>
        <v>0.39999999999999997</v>
      </c>
      <c r="K2834" s="107">
        <v>4047</v>
      </c>
      <c r="L2834" s="107">
        <v>1855</v>
      </c>
      <c r="M2834" s="107">
        <v>527</v>
      </c>
      <c r="N2834" s="107" t="s">
        <v>272</v>
      </c>
      <c r="O2834" s="107"/>
    </row>
    <row r="2835" spans="1:15" x14ac:dyDescent="0.15">
      <c r="A2835" s="107">
        <v>1702</v>
      </c>
      <c r="B2835" s="107" t="s">
        <v>244</v>
      </c>
      <c r="C2835" s="107" t="s">
        <v>271</v>
      </c>
      <c r="D2835" s="107">
        <v>4</v>
      </c>
      <c r="E2835" s="107" t="s">
        <v>193</v>
      </c>
      <c r="F2835" s="107" t="s">
        <v>760</v>
      </c>
      <c r="G2835" s="107">
        <v>1</v>
      </c>
      <c r="H2835" s="107">
        <v>12</v>
      </c>
      <c r="I2835" s="107">
        <v>0</v>
      </c>
      <c r="J2835" s="107">
        <f t="shared" si="44"/>
        <v>0.4</v>
      </c>
      <c r="K2835" s="107">
        <v>4049</v>
      </c>
      <c r="L2835" s="107">
        <v>1856</v>
      </c>
      <c r="M2835" s="107">
        <v>529</v>
      </c>
      <c r="N2835" s="107"/>
      <c r="O2835" s="107"/>
    </row>
    <row r="2836" spans="1:15" x14ac:dyDescent="0.15">
      <c r="A2836" s="107">
        <v>1665</v>
      </c>
      <c r="B2836" s="107" t="s">
        <v>196</v>
      </c>
      <c r="C2836" s="107" t="s">
        <v>274</v>
      </c>
      <c r="D2836" s="107">
        <v>20</v>
      </c>
      <c r="E2836" s="107" t="s">
        <v>193</v>
      </c>
      <c r="F2836" s="107" t="s">
        <v>761</v>
      </c>
      <c r="G2836" s="107">
        <v>10</v>
      </c>
      <c r="H2836" s="107">
        <v>0</v>
      </c>
      <c r="I2836" s="107">
        <v>0</v>
      </c>
      <c r="J2836" s="107">
        <f t="shared" si="44"/>
        <v>0.5</v>
      </c>
      <c r="K2836" s="107">
        <v>4000</v>
      </c>
      <c r="L2836" s="107">
        <v>1798</v>
      </c>
      <c r="M2836" s="107">
        <v>72</v>
      </c>
      <c r="N2836" s="107"/>
      <c r="O2836" s="107"/>
    </row>
    <row r="2837" spans="1:15" x14ac:dyDescent="0.15">
      <c r="A2837" s="107">
        <v>1667</v>
      </c>
      <c r="B2837" s="107" t="s">
        <v>197</v>
      </c>
      <c r="C2837" s="107" t="s">
        <v>274</v>
      </c>
      <c r="D2837" s="107">
        <v>2</v>
      </c>
      <c r="E2837" s="107" t="s">
        <v>759</v>
      </c>
      <c r="F2837" s="107" t="s">
        <v>761</v>
      </c>
      <c r="G2837" s="107">
        <v>40</v>
      </c>
      <c r="H2837" s="107">
        <v>0</v>
      </c>
      <c r="I2837" s="107">
        <v>0</v>
      </c>
      <c r="J2837" s="107">
        <f t="shared" si="44"/>
        <v>20</v>
      </c>
      <c r="K2837" s="107">
        <v>4002</v>
      </c>
      <c r="L2837" s="107">
        <v>1802</v>
      </c>
      <c r="M2837" s="107">
        <v>774</v>
      </c>
      <c r="N2837" s="107"/>
      <c r="O2837" s="107"/>
    </row>
    <row r="2838" spans="1:15" x14ac:dyDescent="0.15">
      <c r="A2838" s="107">
        <v>1668</v>
      </c>
      <c r="B2838" s="107" t="s">
        <v>197</v>
      </c>
      <c r="C2838" s="107" t="s">
        <v>274</v>
      </c>
      <c r="D2838" s="107">
        <v>4</v>
      </c>
      <c r="E2838" s="107" t="s">
        <v>759</v>
      </c>
      <c r="F2838" s="107" t="s">
        <v>761</v>
      </c>
      <c r="G2838" s="107">
        <v>80</v>
      </c>
      <c r="H2838" s="107">
        <v>0</v>
      </c>
      <c r="I2838" s="107">
        <v>0</v>
      </c>
      <c r="J2838" s="107">
        <f t="shared" si="44"/>
        <v>20</v>
      </c>
      <c r="K2838" s="107">
        <v>4003</v>
      </c>
      <c r="L2838" s="107">
        <v>1802</v>
      </c>
      <c r="M2838" s="107">
        <v>31</v>
      </c>
      <c r="N2838" s="107"/>
      <c r="O2838" s="107"/>
    </row>
    <row r="2839" spans="1:15" x14ac:dyDescent="0.15">
      <c r="A2839" s="107">
        <v>1669</v>
      </c>
      <c r="B2839" s="107" t="s">
        <v>196</v>
      </c>
      <c r="C2839" s="107" t="s">
        <v>274</v>
      </c>
      <c r="D2839" s="107">
        <v>6</v>
      </c>
      <c r="E2839" s="107" t="s">
        <v>762</v>
      </c>
      <c r="F2839" s="107" t="s">
        <v>761</v>
      </c>
      <c r="G2839" s="107">
        <v>1</v>
      </c>
      <c r="H2839" s="107">
        <v>9</v>
      </c>
      <c r="I2839" s="107">
        <v>0</v>
      </c>
      <c r="J2839" s="107">
        <f t="shared" si="44"/>
        <v>0.24166666666666667</v>
      </c>
      <c r="K2839" s="107">
        <v>4004</v>
      </c>
      <c r="L2839" s="107">
        <v>1805</v>
      </c>
      <c r="M2839" s="107">
        <v>570</v>
      </c>
      <c r="N2839" s="107" t="s">
        <v>339</v>
      </c>
      <c r="O2839" s="107"/>
    </row>
    <row r="2840" spans="1:15" x14ac:dyDescent="0.15">
      <c r="A2840" s="107">
        <v>1678</v>
      </c>
      <c r="B2840" s="107" t="s">
        <v>260</v>
      </c>
      <c r="C2840" s="107" t="s">
        <v>295</v>
      </c>
      <c r="D2840" s="107">
        <v>1</v>
      </c>
      <c r="E2840" s="107" t="s">
        <v>759</v>
      </c>
      <c r="F2840" s="107" t="s">
        <v>761</v>
      </c>
      <c r="G2840" s="107">
        <v>20</v>
      </c>
      <c r="H2840" s="107">
        <v>8</v>
      </c>
      <c r="I2840" s="107">
        <v>0</v>
      </c>
      <c r="J2840" s="107">
        <f t="shared" si="44"/>
        <v>20.399999999999999</v>
      </c>
      <c r="K2840" s="107">
        <v>4014</v>
      </c>
      <c r="L2840" s="107">
        <v>4903</v>
      </c>
      <c r="M2840" s="107">
        <v>670</v>
      </c>
      <c r="N2840" s="107"/>
      <c r="O2840" s="107"/>
    </row>
    <row r="2841" spans="1:15" x14ac:dyDescent="0.15">
      <c r="A2841" s="107">
        <v>1700</v>
      </c>
      <c r="B2841" s="107" t="s">
        <v>200</v>
      </c>
      <c r="C2841" s="107" t="s">
        <v>271</v>
      </c>
      <c r="D2841" s="107">
        <v>139</v>
      </c>
      <c r="E2841" s="107" t="s">
        <v>293</v>
      </c>
      <c r="F2841" s="107" t="s">
        <v>763</v>
      </c>
      <c r="G2841" s="107">
        <v>100</v>
      </c>
      <c r="H2841" s="107">
        <v>18</v>
      </c>
      <c r="I2841" s="107">
        <v>8</v>
      </c>
      <c r="J2841" s="107">
        <f t="shared" si="44"/>
        <v>0.72607913669064761</v>
      </c>
      <c r="K2841" s="107">
        <v>4047</v>
      </c>
      <c r="L2841" s="107">
        <v>1855</v>
      </c>
      <c r="M2841" s="107">
        <v>525</v>
      </c>
      <c r="N2841" s="107" t="s">
        <v>272</v>
      </c>
      <c r="O2841" s="107"/>
    </row>
    <row r="2842" spans="1:15" x14ac:dyDescent="0.15">
      <c r="A2842" s="107">
        <v>1701</v>
      </c>
      <c r="B2842" s="107" t="s">
        <v>197</v>
      </c>
      <c r="C2842" s="107" t="s">
        <v>271</v>
      </c>
      <c r="D2842" s="107">
        <v>140.5</v>
      </c>
      <c r="E2842" s="107" t="s">
        <v>293</v>
      </c>
      <c r="F2842" s="107" t="s">
        <v>763</v>
      </c>
      <c r="G2842" s="107">
        <v>101</v>
      </c>
      <c r="H2842" s="107">
        <v>17</v>
      </c>
      <c r="I2842" s="107">
        <v>1</v>
      </c>
      <c r="J2842" s="107">
        <f t="shared" si="44"/>
        <v>0.72493327402135221</v>
      </c>
      <c r="K2842" s="107">
        <v>4047</v>
      </c>
      <c r="L2842" s="107">
        <v>1855</v>
      </c>
      <c r="M2842" s="107">
        <v>556</v>
      </c>
      <c r="N2842" s="107" t="s">
        <v>273</v>
      </c>
      <c r="O2842" s="107"/>
    </row>
    <row r="2843" spans="1:15" x14ac:dyDescent="0.15">
      <c r="A2843" s="107">
        <v>1656</v>
      </c>
      <c r="B2843" s="107" t="s">
        <v>283</v>
      </c>
      <c r="C2843" s="107" t="s">
        <v>274</v>
      </c>
      <c r="D2843" s="107">
        <v>1</v>
      </c>
      <c r="E2843" s="107"/>
      <c r="F2843" s="107" t="s">
        <v>764</v>
      </c>
      <c r="G2843" s="107">
        <v>38</v>
      </c>
      <c r="H2843" s="107">
        <v>0</v>
      </c>
      <c r="I2843" s="107">
        <v>0</v>
      </c>
      <c r="J2843" s="107">
        <f t="shared" si="44"/>
        <v>38</v>
      </c>
      <c r="K2843" s="107">
        <v>3991</v>
      </c>
      <c r="L2843" s="107">
        <v>1788</v>
      </c>
      <c r="M2843" s="107">
        <v>149</v>
      </c>
      <c r="N2843" s="107" t="s">
        <v>284</v>
      </c>
      <c r="O2843" s="107"/>
    </row>
    <row r="2844" spans="1:15" x14ac:dyDescent="0.15">
      <c r="A2844" s="107">
        <v>1655</v>
      </c>
      <c r="B2844" s="107" t="s">
        <v>236</v>
      </c>
      <c r="C2844" s="107" t="s">
        <v>274</v>
      </c>
      <c r="D2844" s="107">
        <v>2</v>
      </c>
      <c r="E2844" s="107" t="s">
        <v>204</v>
      </c>
      <c r="F2844" s="107" t="s">
        <v>765</v>
      </c>
      <c r="G2844" s="107">
        <v>4</v>
      </c>
      <c r="H2844" s="107">
        <v>16</v>
      </c>
      <c r="I2844" s="107">
        <v>0</v>
      </c>
      <c r="J2844" s="107">
        <f t="shared" si="44"/>
        <v>2.4</v>
      </c>
      <c r="K2844" s="107">
        <v>3990</v>
      </c>
      <c r="L2844" s="107">
        <v>1788</v>
      </c>
      <c r="M2844" s="107">
        <v>203</v>
      </c>
      <c r="N2844" s="107"/>
      <c r="O2844" s="107"/>
    </row>
    <row r="2845" spans="1:15" x14ac:dyDescent="0.15">
      <c r="A2845" s="107">
        <v>1682</v>
      </c>
      <c r="B2845" s="107" t="s">
        <v>197</v>
      </c>
      <c r="C2845" s="107" t="s">
        <v>271</v>
      </c>
      <c r="D2845" s="107">
        <v>2</v>
      </c>
      <c r="E2845" s="107" t="s">
        <v>204</v>
      </c>
      <c r="F2845" s="107" t="s">
        <v>766</v>
      </c>
      <c r="G2845" s="107">
        <v>6</v>
      </c>
      <c r="H2845" s="107">
        <v>4</v>
      </c>
      <c r="I2845" s="107">
        <v>4</v>
      </c>
      <c r="J2845" s="107">
        <f t="shared" si="44"/>
        <v>3.1062500000000002</v>
      </c>
      <c r="K2845" s="107">
        <v>4018</v>
      </c>
      <c r="L2845" s="107">
        <v>1820</v>
      </c>
      <c r="M2845" s="107">
        <v>759</v>
      </c>
      <c r="N2845" s="107" t="s">
        <v>273</v>
      </c>
      <c r="O2845" s="107"/>
    </row>
    <row r="2846" spans="1:15" x14ac:dyDescent="0.15">
      <c r="A2846" s="107">
        <v>1701</v>
      </c>
      <c r="B2846" s="107" t="s">
        <v>197</v>
      </c>
      <c r="C2846" s="107" t="s">
        <v>271</v>
      </c>
      <c r="D2846" s="107">
        <v>1</v>
      </c>
      <c r="E2846" s="107" t="s">
        <v>204</v>
      </c>
      <c r="F2846" s="107" t="s">
        <v>766</v>
      </c>
      <c r="G2846" s="107">
        <v>4</v>
      </c>
      <c r="H2846" s="107">
        <v>0</v>
      </c>
      <c r="I2846" s="107">
        <v>0</v>
      </c>
      <c r="J2846" s="107">
        <f t="shared" si="44"/>
        <v>4</v>
      </c>
      <c r="K2846" s="107">
        <v>4047</v>
      </c>
      <c r="L2846" s="107">
        <v>1855</v>
      </c>
      <c r="M2846" s="107">
        <v>556</v>
      </c>
      <c r="N2846" s="107" t="s">
        <v>273</v>
      </c>
      <c r="O2846" s="107"/>
    </row>
    <row r="2847" spans="1:15" x14ac:dyDescent="0.15">
      <c r="A2847" s="107">
        <v>1656</v>
      </c>
      <c r="B2847" s="107" t="s">
        <v>283</v>
      </c>
      <c r="C2847" s="107" t="s">
        <v>274</v>
      </c>
      <c r="D2847" s="107">
        <v>6</v>
      </c>
      <c r="E2847" s="107"/>
      <c r="F2847" s="107" t="s">
        <v>767</v>
      </c>
      <c r="G2847" s="107">
        <v>40</v>
      </c>
      <c r="H2847" s="107">
        <v>0</v>
      </c>
      <c r="I2847" s="107">
        <v>0</v>
      </c>
      <c r="J2847" s="107">
        <f t="shared" si="44"/>
        <v>6.666666666666667</v>
      </c>
      <c r="K2847" s="107">
        <v>3991</v>
      </c>
      <c r="L2847" s="107">
        <v>1788</v>
      </c>
      <c r="M2847" s="107">
        <v>150</v>
      </c>
      <c r="N2847" s="107" t="s">
        <v>284</v>
      </c>
      <c r="O2847" s="107"/>
    </row>
    <row r="2848" spans="1:15" x14ac:dyDescent="0.15">
      <c r="A2848" s="107">
        <v>1655</v>
      </c>
      <c r="B2848" s="107" t="s">
        <v>196</v>
      </c>
      <c r="C2848" s="107" t="s">
        <v>274</v>
      </c>
      <c r="D2848" s="107">
        <v>2</v>
      </c>
      <c r="E2848" s="107" t="s">
        <v>768</v>
      </c>
      <c r="F2848" s="107" t="s">
        <v>769</v>
      </c>
      <c r="G2848" s="107">
        <v>2</v>
      </c>
      <c r="H2848" s="107">
        <v>11</v>
      </c>
      <c r="I2848" s="107">
        <v>0</v>
      </c>
      <c r="J2848" s="107">
        <f t="shared" si="44"/>
        <v>1.2749999999999999</v>
      </c>
      <c r="K2848" s="107">
        <v>3990</v>
      </c>
      <c r="L2848" s="107">
        <v>1788</v>
      </c>
      <c r="M2848" s="107">
        <v>206</v>
      </c>
      <c r="N2848" s="107" t="s">
        <v>406</v>
      </c>
      <c r="O2848" s="107" t="s">
        <v>277</v>
      </c>
    </row>
    <row r="2849" spans="1:15" x14ac:dyDescent="0.15">
      <c r="A2849" s="107">
        <v>1655</v>
      </c>
      <c r="B2849" s="107" t="s">
        <v>196</v>
      </c>
      <c r="C2849" s="107" t="s">
        <v>274</v>
      </c>
      <c r="D2849" s="107">
        <v>1</v>
      </c>
      <c r="E2849" s="107" t="s">
        <v>768</v>
      </c>
      <c r="F2849" s="107" t="s">
        <v>769</v>
      </c>
      <c r="G2849" s="107">
        <v>1</v>
      </c>
      <c r="H2849" s="107">
        <v>5</v>
      </c>
      <c r="I2849" s="107">
        <v>8</v>
      </c>
      <c r="J2849" s="107">
        <f t="shared" si="44"/>
        <v>1.2749999999999999</v>
      </c>
      <c r="K2849" s="107">
        <v>3990</v>
      </c>
      <c r="L2849" s="107">
        <v>1788</v>
      </c>
      <c r="M2849" s="107">
        <v>206</v>
      </c>
      <c r="N2849" s="107" t="s">
        <v>406</v>
      </c>
      <c r="O2849" s="107" t="s">
        <v>277</v>
      </c>
    </row>
    <row r="2850" spans="1:15" x14ac:dyDescent="0.15">
      <c r="A2850" s="107">
        <v>1655</v>
      </c>
      <c r="B2850" s="107" t="s">
        <v>196</v>
      </c>
      <c r="C2850" s="107" t="s">
        <v>274</v>
      </c>
      <c r="D2850" s="107">
        <v>1</v>
      </c>
      <c r="E2850" s="107" t="s">
        <v>768</v>
      </c>
      <c r="F2850" s="107" t="s">
        <v>769</v>
      </c>
      <c r="G2850" s="107">
        <v>1</v>
      </c>
      <c r="H2850" s="107">
        <v>5</v>
      </c>
      <c r="I2850" s="107">
        <v>8</v>
      </c>
      <c r="J2850" s="107">
        <f t="shared" si="44"/>
        <v>1.2749999999999999</v>
      </c>
      <c r="K2850" s="107">
        <v>3990</v>
      </c>
      <c r="L2850" s="107">
        <v>1788</v>
      </c>
      <c r="M2850" s="107">
        <v>206</v>
      </c>
      <c r="N2850" s="107" t="s">
        <v>406</v>
      </c>
      <c r="O2850" s="107" t="s">
        <v>277</v>
      </c>
    </row>
    <row r="2851" spans="1:15" x14ac:dyDescent="0.15">
      <c r="A2851" s="107">
        <v>1655</v>
      </c>
      <c r="B2851" s="107" t="s">
        <v>247</v>
      </c>
      <c r="C2851" s="107" t="s">
        <v>274</v>
      </c>
      <c r="D2851" s="107">
        <v>1</v>
      </c>
      <c r="E2851" s="107" t="s">
        <v>768</v>
      </c>
      <c r="F2851" s="107" t="s">
        <v>769</v>
      </c>
      <c r="G2851" s="107">
        <v>1</v>
      </c>
      <c r="H2851" s="107">
        <v>5</v>
      </c>
      <c r="I2851" s="107">
        <v>8</v>
      </c>
      <c r="J2851" s="107">
        <f t="shared" si="44"/>
        <v>1.2749999999999999</v>
      </c>
      <c r="K2851" s="107">
        <v>3990</v>
      </c>
      <c r="L2851" s="107">
        <v>1788</v>
      </c>
      <c r="M2851" s="107">
        <v>207</v>
      </c>
      <c r="N2851" s="107" t="s">
        <v>302</v>
      </c>
      <c r="O2851" s="107" t="s">
        <v>277</v>
      </c>
    </row>
    <row r="2852" spans="1:15" x14ac:dyDescent="0.15">
      <c r="A2852" s="107">
        <v>1655</v>
      </c>
      <c r="B2852" s="107" t="s">
        <v>197</v>
      </c>
      <c r="C2852" s="107" t="s">
        <v>274</v>
      </c>
      <c r="D2852" s="107">
        <v>2</v>
      </c>
      <c r="E2852" s="107" t="s">
        <v>768</v>
      </c>
      <c r="F2852" s="107" t="s">
        <v>769</v>
      </c>
      <c r="G2852" s="107">
        <v>1</v>
      </c>
      <c r="H2852" s="107">
        <v>11</v>
      </c>
      <c r="I2852" s="107">
        <v>0</v>
      </c>
      <c r="J2852" s="107">
        <f t="shared" si="44"/>
        <v>0.77500000000000002</v>
      </c>
      <c r="K2852" s="107">
        <v>3990</v>
      </c>
      <c r="L2852" s="107">
        <v>1788</v>
      </c>
      <c r="M2852" s="107">
        <v>207</v>
      </c>
      <c r="N2852" s="107"/>
      <c r="O2852" s="107"/>
    </row>
    <row r="2853" spans="1:15" x14ac:dyDescent="0.15">
      <c r="A2853" s="107">
        <v>1656</v>
      </c>
      <c r="B2853" s="107" t="s">
        <v>261</v>
      </c>
      <c r="C2853" s="107" t="s">
        <v>274</v>
      </c>
      <c r="D2853" s="107">
        <v>7.9375</v>
      </c>
      <c r="E2853" s="107" t="s">
        <v>193</v>
      </c>
      <c r="F2853" s="107" t="s">
        <v>769</v>
      </c>
      <c r="G2853" s="107">
        <v>127</v>
      </c>
      <c r="H2853" s="107">
        <v>0</v>
      </c>
      <c r="I2853" s="107">
        <v>0</v>
      </c>
      <c r="J2853" s="107">
        <f t="shared" si="44"/>
        <v>16</v>
      </c>
      <c r="K2853" s="107">
        <v>3991</v>
      </c>
      <c r="L2853" s="107">
        <v>1788</v>
      </c>
      <c r="M2853" s="107">
        <v>157</v>
      </c>
      <c r="N2853" s="107"/>
      <c r="O2853" s="107"/>
    </row>
    <row r="2854" spans="1:15" x14ac:dyDescent="0.15">
      <c r="A2854" s="107">
        <v>1658</v>
      </c>
      <c r="B2854" s="107" t="s">
        <v>197</v>
      </c>
      <c r="C2854" s="107" t="s">
        <v>274</v>
      </c>
      <c r="D2854" s="107">
        <v>26.59375</v>
      </c>
      <c r="E2854" s="107" t="s">
        <v>193</v>
      </c>
      <c r="F2854" s="107" t="s">
        <v>769</v>
      </c>
      <c r="G2854" s="107">
        <v>346</v>
      </c>
      <c r="H2854" s="107">
        <v>0</v>
      </c>
      <c r="I2854" s="107">
        <v>0</v>
      </c>
      <c r="J2854" s="107">
        <f t="shared" si="44"/>
        <v>13.010575793184488</v>
      </c>
      <c r="K2854" s="107">
        <v>3993</v>
      </c>
      <c r="L2854" s="107">
        <v>1791</v>
      </c>
      <c r="M2854" s="107">
        <v>269</v>
      </c>
      <c r="N2854" s="107"/>
      <c r="O2854" s="107"/>
    </row>
    <row r="2855" spans="1:15" x14ac:dyDescent="0.15">
      <c r="A2855" s="107">
        <v>1659</v>
      </c>
      <c r="B2855" s="107" t="s">
        <v>197</v>
      </c>
      <c r="C2855" s="107" t="s">
        <v>274</v>
      </c>
      <c r="D2855" s="107">
        <v>76.375</v>
      </c>
      <c r="E2855" s="107" t="s">
        <v>315</v>
      </c>
      <c r="F2855" s="107" t="s">
        <v>769</v>
      </c>
      <c r="G2855" s="107">
        <v>1026</v>
      </c>
      <c r="H2855" s="107">
        <v>19</v>
      </c>
      <c r="I2855" s="107">
        <v>0</v>
      </c>
      <c r="J2855" s="107">
        <f t="shared" si="44"/>
        <v>13.446153846153846</v>
      </c>
      <c r="K2855" s="107">
        <v>3993</v>
      </c>
      <c r="L2855" s="107">
        <v>1792</v>
      </c>
      <c r="M2855" s="107">
        <v>167</v>
      </c>
      <c r="N2855" s="107" t="s">
        <v>317</v>
      </c>
      <c r="O2855" s="107"/>
    </row>
    <row r="2856" spans="1:15" x14ac:dyDescent="0.15">
      <c r="A2856" s="107">
        <v>1659</v>
      </c>
      <c r="B2856" s="107" t="s">
        <v>197</v>
      </c>
      <c r="C2856" s="107" t="s">
        <v>274</v>
      </c>
      <c r="D2856" s="107">
        <v>76.375</v>
      </c>
      <c r="E2856" s="107" t="s">
        <v>193</v>
      </c>
      <c r="F2856" s="107" t="s">
        <v>769</v>
      </c>
      <c r="G2856" s="107">
        <v>1026</v>
      </c>
      <c r="H2856" s="107">
        <v>19</v>
      </c>
      <c r="I2856" s="107">
        <v>0</v>
      </c>
      <c r="J2856" s="107">
        <f t="shared" si="44"/>
        <v>13.446153846153846</v>
      </c>
      <c r="K2856" s="107">
        <v>3994</v>
      </c>
      <c r="L2856" s="107">
        <v>1792</v>
      </c>
      <c r="M2856" s="107">
        <v>167</v>
      </c>
      <c r="N2856" s="107"/>
      <c r="O2856" s="107"/>
    </row>
    <row r="2857" spans="1:15" x14ac:dyDescent="0.15">
      <c r="A2857" s="107">
        <v>1660</v>
      </c>
      <c r="B2857" s="107" t="s">
        <v>197</v>
      </c>
      <c r="C2857" s="107" t="s">
        <v>274</v>
      </c>
      <c r="D2857" s="107">
        <v>72.625</v>
      </c>
      <c r="E2857" s="107" t="s">
        <v>193</v>
      </c>
      <c r="F2857" s="107" t="s">
        <v>769</v>
      </c>
      <c r="G2857" s="107">
        <v>978</v>
      </c>
      <c r="H2857" s="107">
        <v>15</v>
      </c>
      <c r="I2857" s="107">
        <v>0</v>
      </c>
      <c r="J2857" s="107">
        <f t="shared" si="44"/>
        <v>13.476764199655767</v>
      </c>
      <c r="K2857" s="107">
        <v>3995</v>
      </c>
      <c r="L2857" s="107">
        <v>1793</v>
      </c>
      <c r="M2857" s="107">
        <v>196</v>
      </c>
      <c r="N2857" s="107"/>
      <c r="O2857" s="107"/>
    </row>
    <row r="2858" spans="1:15" x14ac:dyDescent="0.15">
      <c r="A2858" s="107">
        <v>1662</v>
      </c>
      <c r="B2858" s="107" t="s">
        <v>197</v>
      </c>
      <c r="C2858" s="107" t="s">
        <v>274</v>
      </c>
      <c r="D2858" s="107">
        <v>41.78125</v>
      </c>
      <c r="E2858" s="107" t="s">
        <v>193</v>
      </c>
      <c r="F2858" s="107" t="s">
        <v>769</v>
      </c>
      <c r="G2858" s="107">
        <v>490</v>
      </c>
      <c r="H2858" s="107">
        <v>1</v>
      </c>
      <c r="I2858" s="107">
        <v>0</v>
      </c>
      <c r="J2858" s="107">
        <f t="shared" si="44"/>
        <v>11.728945400149589</v>
      </c>
      <c r="K2858" s="107">
        <v>3997</v>
      </c>
      <c r="L2858" s="107">
        <v>1795</v>
      </c>
      <c r="M2858" s="107">
        <v>302</v>
      </c>
      <c r="N2858" s="107"/>
      <c r="O2858" s="107"/>
    </row>
    <row r="2859" spans="1:15" x14ac:dyDescent="0.15">
      <c r="A2859" s="107">
        <v>1666</v>
      </c>
      <c r="B2859" s="107" t="s">
        <v>197</v>
      </c>
      <c r="C2859" s="107" t="s">
        <v>274</v>
      </c>
      <c r="D2859" s="107">
        <v>48.90625</v>
      </c>
      <c r="E2859" s="107" t="s">
        <v>770</v>
      </c>
      <c r="F2859" s="107" t="s">
        <v>769</v>
      </c>
      <c r="G2859" s="107">
        <v>473</v>
      </c>
      <c r="H2859" s="107">
        <v>17</v>
      </c>
      <c r="I2859" s="107">
        <v>0</v>
      </c>
      <c r="J2859" s="107">
        <f t="shared" si="44"/>
        <v>9.6889456869009596</v>
      </c>
      <c r="K2859" s="107">
        <v>4001</v>
      </c>
      <c r="L2859" s="107">
        <v>1800</v>
      </c>
      <c r="M2859" s="107">
        <v>38</v>
      </c>
      <c r="N2859" s="107"/>
      <c r="O2859" s="107"/>
    </row>
    <row r="2860" spans="1:15" x14ac:dyDescent="0.15">
      <c r="A2860" s="107">
        <v>1668</v>
      </c>
      <c r="B2860" s="107" t="s">
        <v>197</v>
      </c>
      <c r="C2860" s="107" t="s">
        <v>274</v>
      </c>
      <c r="D2860" s="107">
        <v>45</v>
      </c>
      <c r="E2860" s="107" t="s">
        <v>193</v>
      </c>
      <c r="F2860" s="107" t="s">
        <v>769</v>
      </c>
      <c r="G2860" s="107">
        <v>505</v>
      </c>
      <c r="H2860" s="107">
        <v>6</v>
      </c>
      <c r="I2860" s="107">
        <v>4</v>
      </c>
      <c r="J2860" s="107">
        <f t="shared" si="44"/>
        <v>11.229166666666666</v>
      </c>
      <c r="K2860" s="107">
        <v>4003</v>
      </c>
      <c r="L2860" s="107">
        <v>1802</v>
      </c>
      <c r="M2860" s="107">
        <v>30</v>
      </c>
      <c r="N2860" s="107"/>
      <c r="O2860" s="107"/>
    </row>
    <row r="2861" spans="1:15" x14ac:dyDescent="0.15">
      <c r="A2861" s="107">
        <v>1669</v>
      </c>
      <c r="B2861" s="107" t="s">
        <v>197</v>
      </c>
      <c r="C2861" s="107" t="s">
        <v>274</v>
      </c>
      <c r="D2861" s="107">
        <v>57.6875</v>
      </c>
      <c r="E2861" s="107" t="s">
        <v>193</v>
      </c>
      <c r="F2861" s="107" t="s">
        <v>769</v>
      </c>
      <c r="G2861" s="107">
        <v>650</v>
      </c>
      <c r="H2861" s="107">
        <v>0</v>
      </c>
      <c r="I2861" s="107">
        <v>0</v>
      </c>
      <c r="J2861" s="107">
        <f t="shared" si="44"/>
        <v>11.267605633802816</v>
      </c>
      <c r="K2861" s="107">
        <v>4004</v>
      </c>
      <c r="L2861" s="107">
        <v>1805</v>
      </c>
      <c r="M2861" s="107">
        <v>558</v>
      </c>
      <c r="N2861" s="107"/>
      <c r="O2861" s="107"/>
    </row>
    <row r="2862" spans="1:15" x14ac:dyDescent="0.15">
      <c r="A2862" s="107">
        <v>1670</v>
      </c>
      <c r="B2862" s="107" t="s">
        <v>260</v>
      </c>
      <c r="C2862" s="107" t="s">
        <v>274</v>
      </c>
      <c r="D2862" s="107">
        <v>3</v>
      </c>
      <c r="E2862" s="107" t="s">
        <v>682</v>
      </c>
      <c r="F2862" s="107" t="s">
        <v>769</v>
      </c>
      <c r="G2862" s="107">
        <v>60</v>
      </c>
      <c r="H2862" s="107">
        <v>0</v>
      </c>
      <c r="I2862" s="107">
        <v>0</v>
      </c>
      <c r="J2862" s="107">
        <f t="shared" si="44"/>
        <v>20</v>
      </c>
      <c r="K2862" s="107">
        <v>4006</v>
      </c>
      <c r="L2862" s="107">
        <v>1808</v>
      </c>
      <c r="M2862" s="107">
        <v>792</v>
      </c>
      <c r="N2862" s="107"/>
      <c r="O2862" s="107"/>
    </row>
    <row r="2863" spans="1:15" x14ac:dyDescent="0.15">
      <c r="A2863" s="107">
        <v>1672</v>
      </c>
      <c r="B2863" s="107" t="s">
        <v>197</v>
      </c>
      <c r="C2863" s="107" t="s">
        <v>274</v>
      </c>
      <c r="D2863" s="107">
        <v>20</v>
      </c>
      <c r="E2863" s="107" t="s">
        <v>193</v>
      </c>
      <c r="F2863" s="107" t="s">
        <v>769</v>
      </c>
      <c r="G2863" s="107">
        <v>223</v>
      </c>
      <c r="H2863" s="107">
        <v>8</v>
      </c>
      <c r="I2863" s="107">
        <v>11</v>
      </c>
      <c r="J2863" s="107">
        <f t="shared" si="44"/>
        <v>11.17171875</v>
      </c>
      <c r="K2863" s="107">
        <v>4008</v>
      </c>
      <c r="L2863" s="107">
        <v>1810</v>
      </c>
      <c r="M2863" s="107">
        <v>586</v>
      </c>
      <c r="N2863" s="107"/>
      <c r="O2863" s="107"/>
    </row>
    <row r="2864" spans="1:15" x14ac:dyDescent="0.15">
      <c r="A2864" s="107">
        <v>1674</v>
      </c>
      <c r="B2864" s="107" t="s">
        <v>475</v>
      </c>
      <c r="C2864" s="107" t="s">
        <v>274</v>
      </c>
      <c r="D2864" s="107">
        <v>0.125</v>
      </c>
      <c r="E2864" s="107" t="s">
        <v>193</v>
      </c>
      <c r="F2864" s="107" t="s">
        <v>769</v>
      </c>
      <c r="G2864" s="107">
        <v>1</v>
      </c>
      <c r="H2864" s="107">
        <v>10</v>
      </c>
      <c r="I2864" s="107">
        <v>0</v>
      </c>
      <c r="J2864" s="107">
        <f t="shared" ref="J2864:J2927" si="45">(G2864+H2864/20+I2864/320)/D2864</f>
        <v>12</v>
      </c>
      <c r="K2864" s="107">
        <v>4011</v>
      </c>
      <c r="L2864" s="107">
        <v>1814</v>
      </c>
      <c r="M2864" s="107">
        <v>608</v>
      </c>
      <c r="N2864" s="107" t="s">
        <v>294</v>
      </c>
      <c r="O2864" s="107"/>
    </row>
    <row r="2865" spans="1:14" x14ac:dyDescent="0.15">
      <c r="A2865" s="107">
        <v>1676</v>
      </c>
      <c r="B2865" s="107" t="s">
        <v>197</v>
      </c>
      <c r="C2865" s="107" t="s">
        <v>274</v>
      </c>
      <c r="D2865" s="107">
        <v>0.75</v>
      </c>
      <c r="E2865" s="107" t="s">
        <v>193</v>
      </c>
      <c r="F2865" s="107" t="s">
        <v>769</v>
      </c>
      <c r="G2865" s="107">
        <v>8</v>
      </c>
      <c r="H2865" s="107">
        <v>1</v>
      </c>
      <c r="I2865" s="107">
        <v>4</v>
      </c>
      <c r="J2865" s="107">
        <f t="shared" si="45"/>
        <v>10.75</v>
      </c>
      <c r="K2865" s="107">
        <v>4012</v>
      </c>
      <c r="L2865" s="107">
        <v>1814</v>
      </c>
      <c r="M2865" s="107">
        <v>429</v>
      </c>
      <c r="N2865" s="107"/>
    </row>
    <row r="2866" spans="1:14" x14ac:dyDescent="0.15">
      <c r="A2866" s="107">
        <v>1683</v>
      </c>
      <c r="B2866" s="107" t="s">
        <v>260</v>
      </c>
      <c r="C2866" s="107" t="s">
        <v>271</v>
      </c>
      <c r="D2866" s="107">
        <v>0.375</v>
      </c>
      <c r="E2866" s="107" t="s">
        <v>193</v>
      </c>
      <c r="F2866" s="107" t="s">
        <v>769</v>
      </c>
      <c r="G2866" s="107">
        <v>4</v>
      </c>
      <c r="H2866" s="107">
        <v>5</v>
      </c>
      <c r="I2866" s="107">
        <v>0</v>
      </c>
      <c r="J2866" s="107">
        <f t="shared" si="45"/>
        <v>11.333333333333334</v>
      </c>
      <c r="K2866" s="107">
        <v>4019</v>
      </c>
      <c r="L2866" s="107">
        <v>1822</v>
      </c>
      <c r="M2866" s="107">
        <v>630</v>
      </c>
      <c r="N2866" s="107"/>
    </row>
    <row r="2867" spans="1:14" x14ac:dyDescent="0.15">
      <c r="A2867" s="107">
        <v>1685</v>
      </c>
      <c r="B2867" s="107" t="s">
        <v>197</v>
      </c>
      <c r="C2867" s="107" t="s">
        <v>271</v>
      </c>
      <c r="D2867" s="107">
        <v>14.5</v>
      </c>
      <c r="E2867" s="107" t="s">
        <v>193</v>
      </c>
      <c r="F2867" s="107" t="s">
        <v>769</v>
      </c>
      <c r="G2867" s="107">
        <v>276</v>
      </c>
      <c r="H2867" s="107">
        <v>10</v>
      </c>
      <c r="I2867" s="107">
        <v>0</v>
      </c>
      <c r="J2867" s="107">
        <f t="shared" si="45"/>
        <v>19.068965517241381</v>
      </c>
      <c r="K2867" s="107">
        <v>4022</v>
      </c>
      <c r="L2867" s="107">
        <v>1827</v>
      </c>
      <c r="M2867" s="107">
        <v>459</v>
      </c>
      <c r="N2867" s="107"/>
    </row>
    <row r="2868" spans="1:14" x14ac:dyDescent="0.15">
      <c r="A2868" s="107">
        <v>1656</v>
      </c>
      <c r="B2868" s="107" t="s">
        <v>283</v>
      </c>
      <c r="C2868" s="107" t="s">
        <v>274</v>
      </c>
      <c r="D2868" s="107">
        <v>1.3</v>
      </c>
      <c r="E2868" s="107"/>
      <c r="F2868" s="107" t="s">
        <v>771</v>
      </c>
      <c r="G2868" s="107">
        <v>20</v>
      </c>
      <c r="H2868" s="107">
        <v>14</v>
      </c>
      <c r="I2868" s="107">
        <v>0</v>
      </c>
      <c r="J2868" s="107">
        <f t="shared" si="45"/>
        <v>15.923076923076922</v>
      </c>
      <c r="K2868" s="107">
        <v>3991</v>
      </c>
      <c r="L2868" s="107">
        <v>1788</v>
      </c>
      <c r="M2868" s="107">
        <v>149</v>
      </c>
      <c r="N2868" s="107" t="s">
        <v>284</v>
      </c>
    </row>
    <row r="2869" spans="1:14" x14ac:dyDescent="0.15">
      <c r="A2869" s="107">
        <v>1659</v>
      </c>
      <c r="B2869" s="107" t="s">
        <v>197</v>
      </c>
      <c r="C2869" s="107" t="s">
        <v>274</v>
      </c>
      <c r="D2869" s="107">
        <v>12</v>
      </c>
      <c r="E2869" s="107" t="s">
        <v>438</v>
      </c>
      <c r="F2869" s="107" t="s">
        <v>772</v>
      </c>
      <c r="G2869" s="107">
        <v>114</v>
      </c>
      <c r="H2869" s="107">
        <v>0</v>
      </c>
      <c r="I2869" s="107">
        <v>0</v>
      </c>
      <c r="J2869" s="107">
        <f t="shared" si="45"/>
        <v>9.5</v>
      </c>
      <c r="K2869" s="107">
        <v>3993</v>
      </c>
      <c r="L2869" s="107">
        <v>1792</v>
      </c>
      <c r="M2869" s="107">
        <v>167</v>
      </c>
      <c r="N2869" s="107" t="s">
        <v>317</v>
      </c>
    </row>
    <row r="2870" spans="1:14" x14ac:dyDescent="0.15">
      <c r="A2870" s="107">
        <v>1660</v>
      </c>
      <c r="B2870" s="107" t="s">
        <v>253</v>
      </c>
      <c r="C2870" s="107" t="s">
        <v>274</v>
      </c>
      <c r="D2870" s="107">
        <v>0.33333333333333331</v>
      </c>
      <c r="E2870" s="107" t="s">
        <v>333</v>
      </c>
      <c r="F2870" s="107" t="s">
        <v>773</v>
      </c>
      <c r="G2870" s="107">
        <v>10</v>
      </c>
      <c r="H2870" s="107">
        <v>0</v>
      </c>
      <c r="I2870" s="107">
        <v>0</v>
      </c>
      <c r="J2870" s="107">
        <f t="shared" si="45"/>
        <v>30</v>
      </c>
      <c r="K2870" s="107">
        <v>3995</v>
      </c>
      <c r="L2870" s="107">
        <v>1793</v>
      </c>
      <c r="M2870" s="107">
        <v>202</v>
      </c>
      <c r="N2870" s="107"/>
    </row>
    <row r="2871" spans="1:14" x14ac:dyDescent="0.15">
      <c r="A2871" s="107">
        <v>1661</v>
      </c>
      <c r="B2871" s="107" t="s">
        <v>197</v>
      </c>
      <c r="C2871" s="107" t="s">
        <v>274</v>
      </c>
      <c r="D2871" s="107">
        <v>100</v>
      </c>
      <c r="E2871" s="107" t="s">
        <v>193</v>
      </c>
      <c r="F2871" s="107" t="s">
        <v>773</v>
      </c>
      <c r="G2871" s="107">
        <v>1</v>
      </c>
      <c r="H2871" s="107">
        <v>0</v>
      </c>
      <c r="I2871" s="107">
        <v>0</v>
      </c>
      <c r="J2871" s="107">
        <f t="shared" si="45"/>
        <v>0.01</v>
      </c>
      <c r="K2871" s="107">
        <v>3996</v>
      </c>
      <c r="L2871" s="107">
        <v>1794</v>
      </c>
      <c r="M2871" s="107" t="s">
        <v>290</v>
      </c>
      <c r="N2871" s="107"/>
    </row>
    <row r="2872" spans="1:14" x14ac:dyDescent="0.15">
      <c r="A2872" s="107">
        <v>1662</v>
      </c>
      <c r="B2872" s="107" t="s">
        <v>197</v>
      </c>
      <c r="C2872" s="107" t="s">
        <v>274</v>
      </c>
      <c r="D2872" s="107">
        <v>3</v>
      </c>
      <c r="E2872" s="107" t="s">
        <v>333</v>
      </c>
      <c r="F2872" s="107" t="s">
        <v>773</v>
      </c>
      <c r="G2872" s="107">
        <v>60</v>
      </c>
      <c r="H2872" s="107">
        <v>0</v>
      </c>
      <c r="I2872" s="107">
        <v>0</v>
      </c>
      <c r="J2872" s="107">
        <f t="shared" si="45"/>
        <v>20</v>
      </c>
      <c r="K2872" s="107">
        <v>3997</v>
      </c>
      <c r="L2872" s="107">
        <v>1795</v>
      </c>
      <c r="M2872" s="107">
        <v>303</v>
      </c>
      <c r="N2872" s="107"/>
    </row>
    <row r="2873" spans="1:14" x14ac:dyDescent="0.15">
      <c r="A2873" s="107">
        <v>1663</v>
      </c>
      <c r="B2873" s="107" t="s">
        <v>197</v>
      </c>
      <c r="C2873" s="107" t="s">
        <v>274</v>
      </c>
      <c r="D2873" s="107">
        <v>12</v>
      </c>
      <c r="E2873" s="107" t="s">
        <v>280</v>
      </c>
      <c r="F2873" s="107" t="s">
        <v>773</v>
      </c>
      <c r="G2873" s="107">
        <v>288</v>
      </c>
      <c r="H2873" s="107">
        <v>0</v>
      </c>
      <c r="I2873" s="107">
        <v>0</v>
      </c>
      <c r="J2873" s="107">
        <f t="shared" si="45"/>
        <v>24</v>
      </c>
      <c r="K2873" s="107">
        <v>3998</v>
      </c>
      <c r="L2873" s="107">
        <v>1797</v>
      </c>
      <c r="M2873" s="107" t="s">
        <v>290</v>
      </c>
      <c r="N2873" s="107"/>
    </row>
    <row r="2874" spans="1:14" x14ac:dyDescent="0.15">
      <c r="A2874" s="107">
        <v>1665</v>
      </c>
      <c r="B2874" s="107" t="s">
        <v>197</v>
      </c>
      <c r="C2874" s="107" t="s">
        <v>274</v>
      </c>
      <c r="D2874" s="107">
        <v>4</v>
      </c>
      <c r="E2874" s="107" t="s">
        <v>333</v>
      </c>
      <c r="F2874" s="107" t="s">
        <v>773</v>
      </c>
      <c r="G2874" s="107">
        <v>96</v>
      </c>
      <c r="H2874" s="107">
        <v>0</v>
      </c>
      <c r="I2874" s="107">
        <v>0</v>
      </c>
      <c r="J2874" s="107">
        <f t="shared" si="45"/>
        <v>24</v>
      </c>
      <c r="K2874" s="107">
        <v>4000</v>
      </c>
      <c r="L2874" s="107">
        <v>1798</v>
      </c>
      <c r="M2874" s="107">
        <v>63</v>
      </c>
      <c r="N2874" s="107"/>
    </row>
    <row r="2875" spans="1:14" x14ac:dyDescent="0.15">
      <c r="A2875" s="107">
        <v>1666</v>
      </c>
      <c r="B2875" s="107" t="s">
        <v>197</v>
      </c>
      <c r="C2875" s="107" t="s">
        <v>274</v>
      </c>
      <c r="D2875" s="107">
        <v>2</v>
      </c>
      <c r="E2875" s="107" t="s">
        <v>340</v>
      </c>
      <c r="F2875" s="107" t="s">
        <v>773</v>
      </c>
      <c r="G2875" s="107">
        <v>48</v>
      </c>
      <c r="H2875" s="107">
        <v>0</v>
      </c>
      <c r="I2875" s="107">
        <v>0</v>
      </c>
      <c r="J2875" s="107">
        <f t="shared" si="45"/>
        <v>24</v>
      </c>
      <c r="K2875" s="107">
        <v>4001</v>
      </c>
      <c r="L2875" s="107">
        <v>1800</v>
      </c>
      <c r="M2875" s="107">
        <v>38</v>
      </c>
      <c r="N2875" s="107"/>
    </row>
    <row r="2876" spans="1:14" x14ac:dyDescent="0.15">
      <c r="A2876" s="107">
        <v>1668</v>
      </c>
      <c r="B2876" s="107" t="s">
        <v>196</v>
      </c>
      <c r="C2876" s="107" t="s">
        <v>274</v>
      </c>
      <c r="D2876" s="107">
        <v>300</v>
      </c>
      <c r="E2876" s="107" t="s">
        <v>193</v>
      </c>
      <c r="F2876" s="107" t="s">
        <v>773</v>
      </c>
      <c r="G2876" s="107">
        <v>6</v>
      </c>
      <c r="H2876" s="107">
        <v>0</v>
      </c>
      <c r="I2876" s="107">
        <v>0</v>
      </c>
      <c r="J2876" s="107">
        <f t="shared" si="45"/>
        <v>0.02</v>
      </c>
      <c r="K2876" s="107">
        <v>4003</v>
      </c>
      <c r="L2876" s="107">
        <v>1802</v>
      </c>
      <c r="M2876" s="107">
        <v>52</v>
      </c>
      <c r="N2876" s="107"/>
    </row>
    <row r="2877" spans="1:14" x14ac:dyDescent="0.15">
      <c r="A2877" s="107">
        <v>1669</v>
      </c>
      <c r="B2877" s="107" t="s">
        <v>197</v>
      </c>
      <c r="C2877" s="107" t="s">
        <v>274</v>
      </c>
      <c r="D2877" s="107">
        <v>150</v>
      </c>
      <c r="E2877" s="107" t="s">
        <v>193</v>
      </c>
      <c r="F2877" s="107" t="s">
        <v>773</v>
      </c>
      <c r="G2877" s="107">
        <v>7</v>
      </c>
      <c r="H2877" s="107">
        <v>10</v>
      </c>
      <c r="I2877" s="107">
        <v>0</v>
      </c>
      <c r="J2877" s="107">
        <f t="shared" si="45"/>
        <v>0.05</v>
      </c>
      <c r="K2877" s="107">
        <v>4004</v>
      </c>
      <c r="L2877" s="107">
        <v>1805</v>
      </c>
      <c r="M2877" s="107">
        <v>558</v>
      </c>
      <c r="N2877" s="107"/>
    </row>
    <row r="2878" spans="1:14" x14ac:dyDescent="0.15">
      <c r="A2878" s="107">
        <v>1672</v>
      </c>
      <c r="B2878" s="107" t="s">
        <v>196</v>
      </c>
      <c r="C2878" s="107" t="s">
        <v>274</v>
      </c>
      <c r="D2878" s="107">
        <v>2</v>
      </c>
      <c r="E2878" s="107" t="s">
        <v>340</v>
      </c>
      <c r="F2878" s="107" t="s">
        <v>773</v>
      </c>
      <c r="G2878" s="107">
        <v>24</v>
      </c>
      <c r="H2878" s="107">
        <v>0</v>
      </c>
      <c r="I2878" s="107">
        <v>0</v>
      </c>
      <c r="J2878" s="107">
        <f t="shared" si="45"/>
        <v>12</v>
      </c>
      <c r="K2878" s="107">
        <v>4008</v>
      </c>
      <c r="L2878" s="107">
        <v>1810</v>
      </c>
      <c r="M2878" s="107">
        <v>511</v>
      </c>
      <c r="N2878" s="107"/>
    </row>
    <row r="2879" spans="1:14" x14ac:dyDescent="0.15">
      <c r="A2879" s="107">
        <v>1673</v>
      </c>
      <c r="B2879" s="107" t="s">
        <v>197</v>
      </c>
      <c r="C2879" s="107" t="s">
        <v>274</v>
      </c>
      <c r="D2879" s="107">
        <v>2</v>
      </c>
      <c r="E2879" s="107" t="s">
        <v>344</v>
      </c>
      <c r="F2879" s="107" t="s">
        <v>773</v>
      </c>
      <c r="G2879" s="107">
        <v>0</v>
      </c>
      <c r="H2879" s="107">
        <v>1</v>
      </c>
      <c r="I2879" s="107">
        <v>0</v>
      </c>
      <c r="J2879" s="107">
        <f t="shared" si="45"/>
        <v>2.5000000000000001E-2</v>
      </c>
      <c r="K2879" s="107">
        <v>4010</v>
      </c>
      <c r="L2879" s="107">
        <v>1812</v>
      </c>
      <c r="M2879" s="107">
        <v>548</v>
      </c>
      <c r="N2879" s="107"/>
    </row>
    <row r="2880" spans="1:14" x14ac:dyDescent="0.15">
      <c r="A2880" s="107">
        <v>1685</v>
      </c>
      <c r="B2880" s="107" t="s">
        <v>196</v>
      </c>
      <c r="C2880" s="107" t="s">
        <v>271</v>
      </c>
      <c r="D2880" s="107">
        <v>14</v>
      </c>
      <c r="E2880" s="107" t="s">
        <v>774</v>
      </c>
      <c r="F2880" s="107" t="s">
        <v>773</v>
      </c>
      <c r="G2880" s="107">
        <v>9</v>
      </c>
      <c r="H2880" s="107">
        <v>16</v>
      </c>
      <c r="I2880" s="107">
        <v>0</v>
      </c>
      <c r="J2880" s="107">
        <f t="shared" si="45"/>
        <v>0.70000000000000007</v>
      </c>
      <c r="K2880" s="107">
        <v>4022</v>
      </c>
      <c r="L2880" s="107">
        <v>1827</v>
      </c>
      <c r="M2880" s="107">
        <v>600</v>
      </c>
      <c r="N2880" s="107"/>
    </row>
    <row r="2881" spans="1:14" x14ac:dyDescent="0.15">
      <c r="A2881" s="107">
        <v>1686</v>
      </c>
      <c r="B2881" s="107" t="s">
        <v>197</v>
      </c>
      <c r="C2881" s="107" t="s">
        <v>271</v>
      </c>
      <c r="D2881" s="107">
        <v>2</v>
      </c>
      <c r="E2881" s="107" t="s">
        <v>344</v>
      </c>
      <c r="F2881" s="107" t="s">
        <v>773</v>
      </c>
      <c r="G2881" s="107">
        <v>1</v>
      </c>
      <c r="H2881" s="107">
        <v>8</v>
      </c>
      <c r="I2881" s="107">
        <v>0</v>
      </c>
      <c r="J2881" s="107">
        <f t="shared" si="45"/>
        <v>0.7</v>
      </c>
      <c r="K2881" s="107">
        <v>4023</v>
      </c>
      <c r="L2881" s="107">
        <v>1829</v>
      </c>
      <c r="M2881" s="107">
        <v>706</v>
      </c>
      <c r="N2881" s="107"/>
    </row>
    <row r="2882" spans="1:14" x14ac:dyDescent="0.15">
      <c r="A2882" s="107">
        <v>1686</v>
      </c>
      <c r="B2882" s="107" t="s">
        <v>247</v>
      </c>
      <c r="C2882" s="107" t="s">
        <v>295</v>
      </c>
      <c r="D2882" s="107">
        <v>500</v>
      </c>
      <c r="E2882" s="107" t="s">
        <v>193</v>
      </c>
      <c r="F2882" s="107" t="s">
        <v>773</v>
      </c>
      <c r="G2882" s="107">
        <v>4</v>
      </c>
      <c r="H2882" s="107">
        <v>0</v>
      </c>
      <c r="I2882" s="107">
        <v>0</v>
      </c>
      <c r="J2882" s="107">
        <f t="shared" si="45"/>
        <v>8.0000000000000002E-3</v>
      </c>
      <c r="K2882" s="107">
        <v>4023</v>
      </c>
      <c r="L2882" s="107">
        <v>1829</v>
      </c>
      <c r="M2882" s="107">
        <v>830</v>
      </c>
      <c r="N2882" s="107"/>
    </row>
    <row r="2883" spans="1:14" x14ac:dyDescent="0.15">
      <c r="A2883" s="107">
        <v>1704</v>
      </c>
      <c r="B2883" s="107" t="s">
        <v>253</v>
      </c>
      <c r="C2883" s="107" t="s">
        <v>268</v>
      </c>
      <c r="D2883" s="25">
        <v>2</v>
      </c>
      <c r="E2883" s="107" t="s">
        <v>774</v>
      </c>
      <c r="F2883" s="107" t="s">
        <v>773</v>
      </c>
      <c r="G2883" s="107">
        <v>1</v>
      </c>
      <c r="H2883" s="107">
        <v>8</v>
      </c>
      <c r="I2883" s="107">
        <v>0</v>
      </c>
      <c r="J2883" s="107">
        <f t="shared" si="45"/>
        <v>0.7</v>
      </c>
      <c r="K2883" s="107">
        <v>5525</v>
      </c>
      <c r="L2883" s="107"/>
      <c r="M2883" s="107"/>
      <c r="N2883" s="107"/>
    </row>
    <row r="2884" spans="1:14" x14ac:dyDescent="0.15">
      <c r="A2884" s="107">
        <v>1706</v>
      </c>
      <c r="B2884" s="107" t="s">
        <v>186</v>
      </c>
      <c r="C2884" s="107" t="s">
        <v>268</v>
      </c>
      <c r="D2884" s="25">
        <v>4</v>
      </c>
      <c r="E2884" s="107" t="s">
        <v>774</v>
      </c>
      <c r="F2884" s="107" t="s">
        <v>773</v>
      </c>
      <c r="G2884" s="107">
        <v>2</v>
      </c>
      <c r="H2884" s="107">
        <v>16</v>
      </c>
      <c r="I2884" s="107">
        <v>0</v>
      </c>
      <c r="J2884" s="107">
        <f t="shared" si="45"/>
        <v>0.7</v>
      </c>
      <c r="K2884" s="107">
        <v>5558</v>
      </c>
      <c r="L2884" s="107"/>
      <c r="M2884" s="107"/>
      <c r="N2884" s="107"/>
    </row>
    <row r="2885" spans="1:14" x14ac:dyDescent="0.15">
      <c r="A2885" s="107">
        <v>1713</v>
      </c>
      <c r="B2885" s="107" t="s">
        <v>236</v>
      </c>
      <c r="C2885" s="107" t="s">
        <v>268</v>
      </c>
      <c r="D2885" s="25">
        <v>3</v>
      </c>
      <c r="E2885" s="107" t="s">
        <v>774</v>
      </c>
      <c r="F2885" s="107" t="s">
        <v>773</v>
      </c>
      <c r="G2885" s="107">
        <v>2</v>
      </c>
      <c r="H2885" s="107">
        <v>2</v>
      </c>
      <c r="I2885" s="107">
        <v>0</v>
      </c>
      <c r="J2885" s="107">
        <f t="shared" si="45"/>
        <v>0.70000000000000007</v>
      </c>
      <c r="K2885" s="107">
        <v>5646</v>
      </c>
      <c r="L2885" s="107"/>
      <c r="M2885" s="107"/>
      <c r="N2885" s="107"/>
    </row>
    <row r="2886" spans="1:14" x14ac:dyDescent="0.15">
      <c r="A2886" s="107">
        <v>1716</v>
      </c>
      <c r="B2886" s="107" t="s">
        <v>197</v>
      </c>
      <c r="C2886" s="107" t="s">
        <v>268</v>
      </c>
      <c r="D2886" s="25">
        <v>4</v>
      </c>
      <c r="E2886" s="107" t="s">
        <v>774</v>
      </c>
      <c r="F2886" s="107" t="s">
        <v>773</v>
      </c>
      <c r="G2886" s="107">
        <v>2</v>
      </c>
      <c r="H2886" s="107">
        <v>16</v>
      </c>
      <c r="I2886" s="107">
        <v>0</v>
      </c>
      <c r="J2886" s="107">
        <f t="shared" si="45"/>
        <v>0.7</v>
      </c>
      <c r="K2886" s="107">
        <v>5670</v>
      </c>
      <c r="L2886" s="107"/>
      <c r="M2886" s="107"/>
      <c r="N2886" s="107"/>
    </row>
    <row r="2887" spans="1:14" x14ac:dyDescent="0.15">
      <c r="A2887" s="107">
        <v>1717</v>
      </c>
      <c r="B2887" s="107" t="s">
        <v>192</v>
      </c>
      <c r="C2887" s="107" t="s">
        <v>268</v>
      </c>
      <c r="D2887" s="25">
        <v>4</v>
      </c>
      <c r="E2887" s="107" t="s">
        <v>774</v>
      </c>
      <c r="F2887" s="107" t="s">
        <v>773</v>
      </c>
      <c r="G2887" s="107">
        <v>2</v>
      </c>
      <c r="H2887" s="107">
        <v>16</v>
      </c>
      <c r="I2887" s="107">
        <v>0</v>
      </c>
      <c r="J2887" s="107">
        <f t="shared" si="45"/>
        <v>0.7</v>
      </c>
      <c r="K2887" s="107">
        <v>5683</v>
      </c>
      <c r="L2887" s="107"/>
      <c r="M2887" s="107"/>
      <c r="N2887" s="107"/>
    </row>
    <row r="2888" spans="1:14" x14ac:dyDescent="0.15">
      <c r="A2888" s="107">
        <v>1721</v>
      </c>
      <c r="B2888" s="107" t="s">
        <v>192</v>
      </c>
      <c r="C2888" s="107" t="s">
        <v>268</v>
      </c>
      <c r="D2888" s="25">
        <v>16</v>
      </c>
      <c r="E2888" s="107" t="s">
        <v>774</v>
      </c>
      <c r="F2888" s="107" t="s">
        <v>773</v>
      </c>
      <c r="G2888" s="107">
        <v>11</v>
      </c>
      <c r="H2888" s="107">
        <v>4</v>
      </c>
      <c r="I2888" s="107">
        <v>0</v>
      </c>
      <c r="J2888" s="107">
        <f t="shared" si="45"/>
        <v>0.7</v>
      </c>
      <c r="K2888" s="107">
        <v>5753</v>
      </c>
      <c r="L2888" s="107"/>
      <c r="M2888" s="107"/>
      <c r="N2888" s="107"/>
    </row>
    <row r="2889" spans="1:14" x14ac:dyDescent="0.15">
      <c r="A2889" s="107">
        <v>1701</v>
      </c>
      <c r="B2889" s="107" t="s">
        <v>197</v>
      </c>
      <c r="C2889" s="107" t="s">
        <v>271</v>
      </c>
      <c r="D2889" s="107">
        <v>8</v>
      </c>
      <c r="E2889" s="107" t="s">
        <v>193</v>
      </c>
      <c r="F2889" s="107" t="s">
        <v>775</v>
      </c>
      <c r="G2889" s="107">
        <v>0</v>
      </c>
      <c r="H2889" s="107">
        <v>8</v>
      </c>
      <c r="I2889" s="107">
        <v>0</v>
      </c>
      <c r="J2889" s="107">
        <f t="shared" si="45"/>
        <v>0.05</v>
      </c>
      <c r="K2889" s="107">
        <v>4047</v>
      </c>
      <c r="L2889" s="107">
        <v>1855</v>
      </c>
      <c r="M2889" s="107">
        <v>554</v>
      </c>
      <c r="N2889" s="107" t="s">
        <v>294</v>
      </c>
    </row>
    <row r="2890" spans="1:14" x14ac:dyDescent="0.15">
      <c r="A2890" s="107">
        <v>1760</v>
      </c>
      <c r="B2890" s="107" t="s">
        <v>253</v>
      </c>
      <c r="C2890" s="107" t="s">
        <v>268</v>
      </c>
      <c r="D2890" s="25">
        <v>3</v>
      </c>
      <c r="E2890" s="107" t="s">
        <v>598</v>
      </c>
      <c r="F2890" s="107" t="s">
        <v>776</v>
      </c>
      <c r="G2890" s="107">
        <v>54</v>
      </c>
      <c r="H2890" s="107">
        <v>0</v>
      </c>
      <c r="I2890" s="107">
        <v>0</v>
      </c>
      <c r="J2890" s="107">
        <f t="shared" si="45"/>
        <v>18</v>
      </c>
      <c r="K2890" s="107">
        <v>6388</v>
      </c>
      <c r="L2890" s="107"/>
      <c r="M2890" s="107"/>
      <c r="N2890" s="107"/>
    </row>
    <row r="2891" spans="1:14" x14ac:dyDescent="0.15">
      <c r="A2891" s="107">
        <v>1760</v>
      </c>
      <c r="B2891" s="107" t="s">
        <v>253</v>
      </c>
      <c r="C2891" s="107" t="s">
        <v>268</v>
      </c>
      <c r="D2891" s="25">
        <v>3</v>
      </c>
      <c r="E2891" s="107" t="s">
        <v>598</v>
      </c>
      <c r="F2891" s="107" t="s">
        <v>776</v>
      </c>
      <c r="G2891" s="107">
        <v>54</v>
      </c>
      <c r="H2891" s="107">
        <v>0</v>
      </c>
      <c r="I2891" s="107">
        <v>0</v>
      </c>
      <c r="J2891" s="107">
        <f t="shared" si="45"/>
        <v>18</v>
      </c>
      <c r="K2891" s="107">
        <v>6387</v>
      </c>
      <c r="L2891" s="107"/>
      <c r="M2891" s="107"/>
      <c r="N2891" s="107"/>
    </row>
    <row r="2892" spans="1:14" x14ac:dyDescent="0.15">
      <c r="A2892" s="107">
        <v>1761</v>
      </c>
      <c r="B2892" s="107" t="s">
        <v>260</v>
      </c>
      <c r="C2892" s="107" t="s">
        <v>268</v>
      </c>
      <c r="D2892" s="25">
        <v>3</v>
      </c>
      <c r="E2892" s="107" t="s">
        <v>598</v>
      </c>
      <c r="F2892" s="107" t="s">
        <v>776</v>
      </c>
      <c r="G2892" s="107">
        <v>54</v>
      </c>
      <c r="H2892" s="107">
        <v>0</v>
      </c>
      <c r="I2892" s="107">
        <v>0</v>
      </c>
      <c r="J2892" s="107">
        <f t="shared" si="45"/>
        <v>18</v>
      </c>
      <c r="K2892" s="107">
        <v>6394</v>
      </c>
      <c r="L2892" s="107"/>
      <c r="M2892" s="107"/>
      <c r="N2892" s="107"/>
    </row>
    <row r="2893" spans="1:14" x14ac:dyDescent="0.15">
      <c r="A2893" s="107">
        <v>1763</v>
      </c>
      <c r="B2893" s="107" t="s">
        <v>197</v>
      </c>
      <c r="C2893" s="107" t="s">
        <v>268</v>
      </c>
      <c r="D2893" s="25">
        <v>3</v>
      </c>
      <c r="E2893" s="107" t="s">
        <v>598</v>
      </c>
      <c r="F2893" s="107" t="s">
        <v>776</v>
      </c>
      <c r="G2893" s="107">
        <v>54</v>
      </c>
      <c r="H2893" s="107">
        <v>0</v>
      </c>
      <c r="I2893" s="107">
        <v>0</v>
      </c>
      <c r="J2893" s="107">
        <f t="shared" si="45"/>
        <v>18</v>
      </c>
      <c r="K2893" s="107">
        <v>6423</v>
      </c>
      <c r="L2893" s="107"/>
      <c r="M2893" s="107"/>
      <c r="N2893" s="107"/>
    </row>
    <row r="2894" spans="1:14" x14ac:dyDescent="0.15">
      <c r="A2894" s="107">
        <v>1766</v>
      </c>
      <c r="B2894" s="107" t="s">
        <v>261</v>
      </c>
      <c r="C2894" s="107" t="s">
        <v>268</v>
      </c>
      <c r="D2894" s="25">
        <v>3</v>
      </c>
      <c r="E2894" s="107" t="s">
        <v>598</v>
      </c>
      <c r="F2894" s="107" t="s">
        <v>776</v>
      </c>
      <c r="G2894" s="107">
        <v>54</v>
      </c>
      <c r="H2894" s="107">
        <v>0</v>
      </c>
      <c r="I2894" s="107">
        <v>0</v>
      </c>
      <c r="J2894" s="107">
        <f t="shared" si="45"/>
        <v>18</v>
      </c>
      <c r="K2894" s="107">
        <v>6457</v>
      </c>
      <c r="L2894" s="107"/>
      <c r="M2894" s="107"/>
      <c r="N2894" s="107"/>
    </row>
    <row r="2895" spans="1:14" x14ac:dyDescent="0.15">
      <c r="A2895" s="107">
        <v>1767</v>
      </c>
      <c r="B2895" s="107" t="s">
        <v>197</v>
      </c>
      <c r="C2895" s="107" t="s">
        <v>268</v>
      </c>
      <c r="D2895" s="25">
        <v>3</v>
      </c>
      <c r="E2895" s="107" t="s">
        <v>598</v>
      </c>
      <c r="F2895" s="107" t="s">
        <v>776</v>
      </c>
      <c r="G2895" s="107">
        <v>54</v>
      </c>
      <c r="H2895" s="107">
        <v>0</v>
      </c>
      <c r="I2895" s="107">
        <v>0</v>
      </c>
      <c r="J2895" s="107">
        <f t="shared" si="45"/>
        <v>18</v>
      </c>
      <c r="K2895" s="107">
        <v>6475</v>
      </c>
      <c r="L2895" s="107"/>
      <c r="M2895" s="107"/>
      <c r="N2895" s="107"/>
    </row>
    <row r="2896" spans="1:14" x14ac:dyDescent="0.15">
      <c r="A2896" s="107">
        <v>1768</v>
      </c>
      <c r="B2896" s="107" t="s">
        <v>260</v>
      </c>
      <c r="C2896" s="107" t="s">
        <v>268</v>
      </c>
      <c r="D2896" s="25">
        <v>3</v>
      </c>
      <c r="E2896" s="107" t="s">
        <v>598</v>
      </c>
      <c r="F2896" s="107" t="s">
        <v>776</v>
      </c>
      <c r="G2896" s="107">
        <v>54</v>
      </c>
      <c r="H2896" s="107">
        <v>0</v>
      </c>
      <c r="I2896" s="107">
        <v>0</v>
      </c>
      <c r="J2896" s="107">
        <f t="shared" si="45"/>
        <v>18</v>
      </c>
      <c r="K2896" s="107">
        <v>6489</v>
      </c>
      <c r="L2896" s="107"/>
      <c r="M2896" s="107"/>
      <c r="N2896" s="107"/>
    </row>
    <row r="2897" spans="1:11" x14ac:dyDescent="0.15">
      <c r="A2897" s="107">
        <v>1769</v>
      </c>
      <c r="B2897" s="107" t="s">
        <v>260</v>
      </c>
      <c r="C2897" s="107" t="s">
        <v>268</v>
      </c>
      <c r="D2897" s="25">
        <v>3</v>
      </c>
      <c r="E2897" s="107" t="s">
        <v>598</v>
      </c>
      <c r="F2897" s="107" t="s">
        <v>776</v>
      </c>
      <c r="G2897" s="107">
        <v>54</v>
      </c>
      <c r="H2897" s="107">
        <v>0</v>
      </c>
      <c r="I2897" s="107">
        <v>0</v>
      </c>
      <c r="J2897" s="107">
        <f t="shared" si="45"/>
        <v>18</v>
      </c>
      <c r="K2897" s="107">
        <v>6518</v>
      </c>
    </row>
    <row r="2898" spans="1:11" x14ac:dyDescent="0.15">
      <c r="A2898" s="107">
        <v>1770</v>
      </c>
      <c r="B2898" s="107" t="s">
        <v>200</v>
      </c>
      <c r="C2898" s="107" t="s">
        <v>268</v>
      </c>
      <c r="D2898" s="25">
        <v>3</v>
      </c>
      <c r="E2898" s="107" t="s">
        <v>598</v>
      </c>
      <c r="F2898" s="107" t="s">
        <v>776</v>
      </c>
      <c r="G2898" s="107">
        <v>49</v>
      </c>
      <c r="H2898" s="107">
        <v>10</v>
      </c>
      <c r="I2898" s="107">
        <v>0</v>
      </c>
      <c r="J2898" s="107">
        <f t="shared" si="45"/>
        <v>16.5</v>
      </c>
      <c r="K2898" s="107">
        <v>6535</v>
      </c>
    </row>
    <row r="2899" spans="1:11" x14ac:dyDescent="0.15">
      <c r="A2899" s="107">
        <v>1771</v>
      </c>
      <c r="B2899" s="107" t="s">
        <v>261</v>
      </c>
      <c r="C2899" s="107" t="s">
        <v>268</v>
      </c>
      <c r="D2899" s="25">
        <v>3</v>
      </c>
      <c r="E2899" s="107" t="s">
        <v>598</v>
      </c>
      <c r="F2899" s="107" t="s">
        <v>776</v>
      </c>
      <c r="G2899" s="107">
        <v>49</v>
      </c>
      <c r="H2899" s="107">
        <v>10</v>
      </c>
      <c r="I2899" s="107">
        <v>0</v>
      </c>
      <c r="J2899" s="107">
        <f t="shared" si="45"/>
        <v>16.5</v>
      </c>
      <c r="K2899" s="107">
        <v>6540</v>
      </c>
    </row>
    <row r="2900" spans="1:11" x14ac:dyDescent="0.15">
      <c r="A2900" s="107">
        <v>1772</v>
      </c>
      <c r="B2900" s="107" t="s">
        <v>197</v>
      </c>
      <c r="C2900" s="107" t="s">
        <v>268</v>
      </c>
      <c r="D2900" s="25">
        <v>3</v>
      </c>
      <c r="E2900" s="107" t="s">
        <v>598</v>
      </c>
      <c r="F2900" s="107" t="s">
        <v>776</v>
      </c>
      <c r="G2900" s="107">
        <v>49</v>
      </c>
      <c r="H2900" s="107">
        <v>10</v>
      </c>
      <c r="I2900" s="107">
        <v>0</v>
      </c>
      <c r="J2900" s="107">
        <f t="shared" si="45"/>
        <v>16.5</v>
      </c>
      <c r="K2900" s="107">
        <v>6551</v>
      </c>
    </row>
    <row r="2901" spans="1:11" x14ac:dyDescent="0.15">
      <c r="A2901" s="107">
        <v>1773</v>
      </c>
      <c r="B2901" s="107" t="s">
        <v>260</v>
      </c>
      <c r="C2901" s="107" t="s">
        <v>268</v>
      </c>
      <c r="D2901" s="25">
        <v>3</v>
      </c>
      <c r="E2901" s="107" t="s">
        <v>598</v>
      </c>
      <c r="F2901" s="107" t="s">
        <v>776</v>
      </c>
      <c r="G2901" s="107">
        <v>49</v>
      </c>
      <c r="H2901" s="107">
        <v>10</v>
      </c>
      <c r="I2901" s="107">
        <v>0</v>
      </c>
      <c r="J2901" s="107">
        <f t="shared" si="45"/>
        <v>16.5</v>
      </c>
      <c r="K2901" s="107">
        <v>6566</v>
      </c>
    </row>
    <row r="2902" spans="1:11" x14ac:dyDescent="0.15">
      <c r="A2902" s="107">
        <v>1774</v>
      </c>
      <c r="B2902" s="107" t="s">
        <v>260</v>
      </c>
      <c r="C2902" s="107" t="s">
        <v>268</v>
      </c>
      <c r="D2902" s="25">
        <v>4</v>
      </c>
      <c r="E2902" s="107" t="s">
        <v>598</v>
      </c>
      <c r="F2902" s="107" t="s">
        <v>776</v>
      </c>
      <c r="G2902" s="107">
        <v>66</v>
      </c>
      <c r="H2902" s="107">
        <v>0</v>
      </c>
      <c r="I2902" s="107">
        <v>0</v>
      </c>
      <c r="J2902" s="107">
        <f t="shared" si="45"/>
        <v>16.5</v>
      </c>
      <c r="K2902" s="25">
        <v>6589</v>
      </c>
    </row>
    <row r="2903" spans="1:11" x14ac:dyDescent="0.15">
      <c r="A2903" s="107">
        <v>1778</v>
      </c>
      <c r="B2903" s="107" t="s">
        <v>192</v>
      </c>
      <c r="C2903" s="107" t="s">
        <v>268</v>
      </c>
      <c r="D2903" s="25">
        <v>3</v>
      </c>
      <c r="E2903" s="107" t="s">
        <v>598</v>
      </c>
      <c r="F2903" s="107" t="s">
        <v>776</v>
      </c>
      <c r="G2903" s="107">
        <v>49</v>
      </c>
      <c r="H2903" s="107">
        <v>50</v>
      </c>
      <c r="I2903" s="107">
        <v>0</v>
      </c>
      <c r="J2903" s="107">
        <f t="shared" si="45"/>
        <v>17.166666666666668</v>
      </c>
      <c r="K2903" s="107">
        <v>6663</v>
      </c>
    </row>
    <row r="2904" spans="1:11" x14ac:dyDescent="0.15">
      <c r="A2904" s="107">
        <v>1779</v>
      </c>
      <c r="B2904" s="107" t="s">
        <v>260</v>
      </c>
      <c r="C2904" s="107" t="s">
        <v>268</v>
      </c>
      <c r="D2904" s="25">
        <v>2</v>
      </c>
      <c r="E2904" s="107" t="s">
        <v>598</v>
      </c>
      <c r="F2904" s="107" t="s">
        <v>776</v>
      </c>
      <c r="G2904" s="107">
        <v>33</v>
      </c>
      <c r="H2904" s="107">
        <v>0</v>
      </c>
      <c r="I2904" s="107">
        <v>0</v>
      </c>
      <c r="J2904" s="107">
        <f t="shared" si="45"/>
        <v>16.5</v>
      </c>
      <c r="K2904" s="107">
        <v>6669</v>
      </c>
    </row>
    <row r="2905" spans="1:11" x14ac:dyDescent="0.15">
      <c r="A2905" s="107">
        <v>1780</v>
      </c>
      <c r="B2905" s="107" t="s">
        <v>196</v>
      </c>
      <c r="C2905" s="107" t="s">
        <v>268</v>
      </c>
      <c r="D2905" s="25">
        <v>3</v>
      </c>
      <c r="E2905" s="107" t="s">
        <v>598</v>
      </c>
      <c r="F2905" s="107" t="s">
        <v>776</v>
      </c>
      <c r="G2905" s="107">
        <v>49</v>
      </c>
      <c r="H2905" s="107">
        <v>10</v>
      </c>
      <c r="I2905" s="107">
        <v>0</v>
      </c>
      <c r="J2905" s="107">
        <f t="shared" si="45"/>
        <v>16.5</v>
      </c>
      <c r="K2905" s="107">
        <v>6679</v>
      </c>
    </row>
    <row r="2906" spans="1:11" x14ac:dyDescent="0.15">
      <c r="A2906" s="107">
        <v>1780</v>
      </c>
      <c r="B2906" s="107" t="s">
        <v>200</v>
      </c>
      <c r="C2906" s="107" t="s">
        <v>268</v>
      </c>
      <c r="D2906" s="25">
        <v>3</v>
      </c>
      <c r="E2906" s="107" t="s">
        <v>598</v>
      </c>
      <c r="F2906" s="107" t="s">
        <v>776</v>
      </c>
      <c r="G2906" s="107">
        <v>49</v>
      </c>
      <c r="H2906" s="107">
        <v>10</v>
      </c>
      <c r="I2906" s="107">
        <v>0</v>
      </c>
      <c r="J2906" s="107">
        <f t="shared" si="45"/>
        <v>16.5</v>
      </c>
      <c r="K2906" s="107">
        <v>6689</v>
      </c>
    </row>
    <row r="2907" spans="1:11" x14ac:dyDescent="0.15">
      <c r="A2907" s="107">
        <v>1784</v>
      </c>
      <c r="B2907" s="107" t="s">
        <v>236</v>
      </c>
      <c r="C2907" s="107" t="s">
        <v>268</v>
      </c>
      <c r="D2907" s="25">
        <v>3</v>
      </c>
      <c r="E2907" s="107" t="s">
        <v>598</v>
      </c>
      <c r="F2907" s="107" t="s">
        <v>776</v>
      </c>
      <c r="G2907" s="107">
        <v>49</v>
      </c>
      <c r="H2907" s="107">
        <v>10</v>
      </c>
      <c r="I2907" s="107">
        <v>0</v>
      </c>
      <c r="J2907" s="107">
        <f t="shared" si="45"/>
        <v>16.5</v>
      </c>
      <c r="K2907" s="107">
        <v>6733</v>
      </c>
    </row>
    <row r="2908" spans="1:11" x14ac:dyDescent="0.15">
      <c r="A2908" s="107">
        <v>1785</v>
      </c>
      <c r="B2908" s="107" t="s">
        <v>186</v>
      </c>
      <c r="C2908" s="107" t="s">
        <v>268</v>
      </c>
      <c r="D2908" s="25">
        <v>4</v>
      </c>
      <c r="E2908" s="107" t="s">
        <v>598</v>
      </c>
      <c r="F2908" s="107" t="s">
        <v>776</v>
      </c>
      <c r="G2908" s="107">
        <v>66</v>
      </c>
      <c r="H2908" s="107">
        <v>0</v>
      </c>
      <c r="I2908" s="107">
        <v>0</v>
      </c>
      <c r="J2908" s="107">
        <f t="shared" si="45"/>
        <v>16.5</v>
      </c>
      <c r="K2908" s="107">
        <v>6736</v>
      </c>
    </row>
    <row r="2909" spans="1:11" x14ac:dyDescent="0.15">
      <c r="A2909" s="107">
        <v>1787</v>
      </c>
      <c r="B2909" s="107" t="s">
        <v>197</v>
      </c>
      <c r="C2909" s="107" t="s">
        <v>268</v>
      </c>
      <c r="D2909" s="25">
        <v>1</v>
      </c>
      <c r="E2909" s="107" t="s">
        <v>598</v>
      </c>
      <c r="F2909" s="107" t="s">
        <v>776</v>
      </c>
      <c r="G2909" s="107">
        <v>16</v>
      </c>
      <c r="H2909" s="107">
        <v>10</v>
      </c>
      <c r="I2909" s="107">
        <v>0</v>
      </c>
      <c r="J2909" s="107">
        <f t="shared" si="45"/>
        <v>16.5</v>
      </c>
      <c r="K2909" s="107">
        <v>6752</v>
      </c>
    </row>
    <row r="2910" spans="1:11" x14ac:dyDescent="0.15">
      <c r="A2910" s="107">
        <v>1788</v>
      </c>
      <c r="B2910" s="107" t="s">
        <v>236</v>
      </c>
      <c r="C2910" s="107" t="s">
        <v>268</v>
      </c>
      <c r="D2910" s="25">
        <v>1</v>
      </c>
      <c r="E2910" s="107" t="s">
        <v>598</v>
      </c>
      <c r="F2910" s="107" t="s">
        <v>776</v>
      </c>
      <c r="G2910" s="107">
        <v>16</v>
      </c>
      <c r="H2910" s="107">
        <v>10</v>
      </c>
      <c r="I2910" s="107">
        <v>0</v>
      </c>
      <c r="J2910" s="107">
        <f t="shared" si="45"/>
        <v>16.5</v>
      </c>
      <c r="K2910" s="25">
        <v>6786</v>
      </c>
    </row>
    <row r="2911" spans="1:11" x14ac:dyDescent="0.15">
      <c r="A2911" s="107">
        <v>1789</v>
      </c>
      <c r="B2911" s="107" t="s">
        <v>253</v>
      </c>
      <c r="C2911" s="107" t="s">
        <v>268</v>
      </c>
      <c r="D2911" s="25">
        <v>1</v>
      </c>
      <c r="E2911" s="107" t="s">
        <v>598</v>
      </c>
      <c r="F2911" s="107" t="s">
        <v>776</v>
      </c>
      <c r="G2911" s="107">
        <v>16</v>
      </c>
      <c r="H2911" s="107">
        <v>10</v>
      </c>
      <c r="I2911" s="107">
        <v>0</v>
      </c>
      <c r="J2911" s="107">
        <f t="shared" si="45"/>
        <v>16.5</v>
      </c>
      <c r="K2911" s="25">
        <v>6785</v>
      </c>
    </row>
    <row r="2912" spans="1:11" x14ac:dyDescent="0.15">
      <c r="A2912" s="107">
        <v>1794</v>
      </c>
      <c r="B2912" s="107" t="s">
        <v>260</v>
      </c>
      <c r="C2912" s="107" t="s">
        <v>270</v>
      </c>
      <c r="D2912" s="25">
        <v>3</v>
      </c>
      <c r="E2912" s="107" t="s">
        <v>598</v>
      </c>
      <c r="F2912" s="107" t="s">
        <v>776</v>
      </c>
      <c r="G2912" s="107">
        <v>32</v>
      </c>
      <c r="H2912" s="107">
        <v>3</v>
      </c>
      <c r="I2912" s="107">
        <v>8</v>
      </c>
      <c r="J2912" s="107">
        <f t="shared" si="45"/>
        <v>10.725</v>
      </c>
      <c r="K2912" s="107">
        <v>6840</v>
      </c>
    </row>
    <row r="2913" spans="1:13" x14ac:dyDescent="0.15">
      <c r="A2913" s="107">
        <v>1794</v>
      </c>
      <c r="B2913" s="107" t="s">
        <v>261</v>
      </c>
      <c r="C2913" s="107" t="s">
        <v>268</v>
      </c>
      <c r="D2913" s="25">
        <v>25</v>
      </c>
      <c r="E2913" s="107" t="s">
        <v>598</v>
      </c>
      <c r="F2913" s="107" t="s">
        <v>776</v>
      </c>
      <c r="G2913" s="107">
        <v>14</v>
      </c>
      <c r="H2913" s="107">
        <v>0</v>
      </c>
      <c r="I2913" s="107">
        <v>8</v>
      </c>
      <c r="J2913" s="107">
        <f t="shared" si="45"/>
        <v>0.56100000000000005</v>
      </c>
      <c r="K2913" s="107">
        <v>6839</v>
      </c>
      <c r="L2913" s="107"/>
      <c r="M2913" s="107"/>
    </row>
    <row r="2914" spans="1:13" x14ac:dyDescent="0.15">
      <c r="A2914" s="107">
        <v>1655</v>
      </c>
      <c r="B2914" s="107" t="s">
        <v>197</v>
      </c>
      <c r="C2914" s="107" t="s">
        <v>274</v>
      </c>
      <c r="D2914" s="107">
        <v>14.75</v>
      </c>
      <c r="E2914" s="107" t="s">
        <v>375</v>
      </c>
      <c r="F2914" s="107" t="s">
        <v>777</v>
      </c>
      <c r="G2914" s="107">
        <v>168</v>
      </c>
      <c r="H2914" s="107">
        <v>13</v>
      </c>
      <c r="I2914" s="107">
        <v>4</v>
      </c>
      <c r="J2914" s="107">
        <f t="shared" si="45"/>
        <v>11.434745762711865</v>
      </c>
      <c r="K2914" s="107">
        <v>3990</v>
      </c>
      <c r="L2914" s="107">
        <v>1788</v>
      </c>
      <c r="M2914" s="107">
        <v>149</v>
      </c>
    </row>
    <row r="2915" spans="1:13" x14ac:dyDescent="0.15">
      <c r="A2915" s="107">
        <v>1656</v>
      </c>
      <c r="B2915" s="107" t="s">
        <v>197</v>
      </c>
      <c r="C2915" s="107" t="s">
        <v>274</v>
      </c>
      <c r="D2915" s="107">
        <v>13</v>
      </c>
      <c r="E2915" s="107" t="s">
        <v>375</v>
      </c>
      <c r="F2915" s="107" t="s">
        <v>777</v>
      </c>
      <c r="G2915" s="107">
        <v>66</v>
      </c>
      <c r="H2915" s="107">
        <v>6</v>
      </c>
      <c r="I2915" s="107">
        <v>0</v>
      </c>
      <c r="J2915" s="107">
        <f t="shared" si="45"/>
        <v>5.0999999999999996</v>
      </c>
      <c r="K2915" s="107">
        <v>3991</v>
      </c>
      <c r="L2915" s="107">
        <v>1788</v>
      </c>
      <c r="M2915" s="107">
        <v>149</v>
      </c>
    </row>
    <row r="2916" spans="1:13" x14ac:dyDescent="0.15">
      <c r="A2916" s="107">
        <v>1668</v>
      </c>
      <c r="B2916" s="107" t="s">
        <v>197</v>
      </c>
      <c r="C2916" s="107" t="s">
        <v>274</v>
      </c>
      <c r="D2916" s="107">
        <v>4989</v>
      </c>
      <c r="E2916" s="107" t="s">
        <v>193</v>
      </c>
      <c r="F2916" s="107" t="s">
        <v>777</v>
      </c>
      <c r="G2916" s="107">
        <v>249</v>
      </c>
      <c r="H2916" s="107">
        <v>9</v>
      </c>
      <c r="I2916" s="107">
        <v>0</v>
      </c>
      <c r="J2916" s="107">
        <f t="shared" si="45"/>
        <v>4.9999999999999996E-2</v>
      </c>
      <c r="K2916" s="107">
        <v>4003</v>
      </c>
      <c r="L2916" s="107">
        <v>1802</v>
      </c>
      <c r="M2916" s="107">
        <v>31</v>
      </c>
    </row>
    <row r="2917" spans="1:13" x14ac:dyDescent="0.15">
      <c r="A2917" s="107">
        <v>1669</v>
      </c>
      <c r="B2917" s="107" t="s">
        <v>197</v>
      </c>
      <c r="C2917" s="107" t="s">
        <v>274</v>
      </c>
      <c r="D2917" s="107">
        <v>20557</v>
      </c>
      <c r="E2917" s="107" t="s">
        <v>193</v>
      </c>
      <c r="F2917" s="107" t="s">
        <v>777</v>
      </c>
      <c r="G2917" s="107">
        <v>1341</v>
      </c>
      <c r="H2917" s="107">
        <v>10</v>
      </c>
      <c r="I2917" s="107">
        <v>4</v>
      </c>
      <c r="J2917" s="107">
        <f t="shared" si="45"/>
        <v>6.5258184560003887E-2</v>
      </c>
      <c r="K2917" s="107">
        <v>4004</v>
      </c>
      <c r="L2917" s="107">
        <v>1805</v>
      </c>
      <c r="M2917" s="107">
        <v>558</v>
      </c>
    </row>
    <row r="2918" spans="1:13" x14ac:dyDescent="0.15">
      <c r="A2918" s="107">
        <v>1672</v>
      </c>
      <c r="B2918" s="107" t="s">
        <v>197</v>
      </c>
      <c r="C2918" s="107" t="s">
        <v>274</v>
      </c>
      <c r="D2918" s="107">
        <v>397</v>
      </c>
      <c r="E2918" s="107" t="s">
        <v>193</v>
      </c>
      <c r="F2918" s="107" t="s">
        <v>777</v>
      </c>
      <c r="G2918" s="107">
        <v>99</v>
      </c>
      <c r="H2918" s="107">
        <v>5</v>
      </c>
      <c r="I2918" s="107">
        <v>0</v>
      </c>
      <c r="J2918" s="107">
        <f t="shared" si="45"/>
        <v>0.25</v>
      </c>
      <c r="K2918" s="107">
        <v>4008</v>
      </c>
      <c r="L2918" s="107">
        <v>1810</v>
      </c>
      <c r="M2918" s="107">
        <v>525</v>
      </c>
    </row>
    <row r="2919" spans="1:13" x14ac:dyDescent="0.15">
      <c r="A2919" s="107">
        <v>1673</v>
      </c>
      <c r="B2919" s="107" t="s">
        <v>197</v>
      </c>
      <c r="C2919" s="107" t="s">
        <v>274</v>
      </c>
      <c r="D2919" s="107">
        <v>50</v>
      </c>
      <c r="E2919" s="107" t="s">
        <v>193</v>
      </c>
      <c r="F2919" s="107" t="s">
        <v>777</v>
      </c>
      <c r="G2919" s="107">
        <v>3</v>
      </c>
      <c r="H2919" s="107">
        <v>15</v>
      </c>
      <c r="I2919" s="107">
        <v>0</v>
      </c>
      <c r="J2919" s="107">
        <f t="shared" si="45"/>
        <v>7.4999999999999997E-2</v>
      </c>
      <c r="K2919" s="107">
        <v>4010</v>
      </c>
      <c r="L2919" s="107">
        <v>1812</v>
      </c>
      <c r="M2919" s="107">
        <v>548</v>
      </c>
    </row>
    <row r="2920" spans="1:13" x14ac:dyDescent="0.15">
      <c r="A2920" s="107">
        <v>1676</v>
      </c>
      <c r="B2920" s="107" t="s">
        <v>197</v>
      </c>
      <c r="C2920" s="107" t="s">
        <v>274</v>
      </c>
      <c r="D2920" s="107">
        <v>112</v>
      </c>
      <c r="E2920" s="107" t="s">
        <v>193</v>
      </c>
      <c r="F2920" s="107" t="s">
        <v>777</v>
      </c>
      <c r="G2920" s="107">
        <v>7</v>
      </c>
      <c r="H2920" s="107">
        <v>0</v>
      </c>
      <c r="I2920" s="107">
        <v>0</v>
      </c>
      <c r="J2920" s="107">
        <f t="shared" si="45"/>
        <v>6.25E-2</v>
      </c>
      <c r="K2920" s="107">
        <v>4012</v>
      </c>
      <c r="L2920" s="107">
        <v>1814</v>
      </c>
      <c r="M2920" s="107">
        <v>430</v>
      </c>
    </row>
    <row r="2921" spans="1:13" x14ac:dyDescent="0.15">
      <c r="A2921" s="107">
        <v>1677</v>
      </c>
      <c r="B2921" s="107" t="s">
        <v>197</v>
      </c>
      <c r="C2921" s="107" t="s">
        <v>274</v>
      </c>
      <c r="D2921" s="107">
        <v>260</v>
      </c>
      <c r="E2921" s="107" t="s">
        <v>193</v>
      </c>
      <c r="F2921" s="107" t="s">
        <v>777</v>
      </c>
      <c r="G2921" s="107">
        <v>13</v>
      </c>
      <c r="H2921" s="107">
        <v>0</v>
      </c>
      <c r="I2921" s="107">
        <v>0</v>
      </c>
      <c r="J2921" s="107">
        <f t="shared" si="45"/>
        <v>0.05</v>
      </c>
      <c r="K2921" s="107">
        <v>4013</v>
      </c>
      <c r="L2921" s="107">
        <v>1816</v>
      </c>
      <c r="M2921" s="107">
        <v>759</v>
      </c>
    </row>
    <row r="2922" spans="1:13" x14ac:dyDescent="0.15">
      <c r="A2922" s="107">
        <v>1678</v>
      </c>
      <c r="B2922" s="107" t="s">
        <v>197</v>
      </c>
      <c r="C2922" s="107" t="s">
        <v>295</v>
      </c>
      <c r="D2922" s="107">
        <v>600</v>
      </c>
      <c r="E2922" s="107" t="s">
        <v>193</v>
      </c>
      <c r="F2922" s="107" t="s">
        <v>777</v>
      </c>
      <c r="G2922" s="107">
        <v>22</v>
      </c>
      <c r="H2922" s="107">
        <v>0</v>
      </c>
      <c r="I2922" s="107">
        <v>0</v>
      </c>
      <c r="J2922" s="107">
        <f t="shared" si="45"/>
        <v>3.6666666666666667E-2</v>
      </c>
      <c r="K2922" s="107">
        <v>4014</v>
      </c>
      <c r="L2922" s="107">
        <v>4903</v>
      </c>
      <c r="M2922" s="107">
        <v>666</v>
      </c>
    </row>
    <row r="2923" spans="1:13" x14ac:dyDescent="0.15">
      <c r="A2923" s="107">
        <v>1685</v>
      </c>
      <c r="B2923" s="107" t="s">
        <v>197</v>
      </c>
      <c r="C2923" s="107" t="s">
        <v>271</v>
      </c>
      <c r="D2923" s="107">
        <v>1150</v>
      </c>
      <c r="E2923" s="107" t="s">
        <v>193</v>
      </c>
      <c r="F2923" s="107" t="s">
        <v>777</v>
      </c>
      <c r="G2923" s="107">
        <v>230</v>
      </c>
      <c r="H2923" s="107">
        <v>0</v>
      </c>
      <c r="I2923" s="107">
        <v>0</v>
      </c>
      <c r="J2923" s="107">
        <f t="shared" si="45"/>
        <v>0.2</v>
      </c>
      <c r="K2923" s="107">
        <v>4022</v>
      </c>
      <c r="L2923" s="107">
        <v>1827</v>
      </c>
      <c r="M2923" s="107">
        <v>609</v>
      </c>
    </row>
    <row r="2924" spans="1:13" x14ac:dyDescent="0.15">
      <c r="A2924" s="107">
        <v>1686</v>
      </c>
      <c r="B2924" s="107" t="s">
        <v>197</v>
      </c>
      <c r="C2924" s="107" t="s">
        <v>271</v>
      </c>
      <c r="D2924" s="107">
        <v>400</v>
      </c>
      <c r="E2924" s="107" t="s">
        <v>193</v>
      </c>
      <c r="F2924" s="107" t="s">
        <v>777</v>
      </c>
      <c r="G2924" s="107">
        <v>20</v>
      </c>
      <c r="H2924" s="107">
        <v>0</v>
      </c>
      <c r="I2924" s="107">
        <v>0</v>
      </c>
      <c r="J2924" s="107">
        <f t="shared" si="45"/>
        <v>0.05</v>
      </c>
      <c r="K2924" s="107">
        <v>4023</v>
      </c>
      <c r="L2924" s="107">
        <v>1829</v>
      </c>
      <c r="M2924" s="107">
        <v>706</v>
      </c>
    </row>
    <row r="2925" spans="1:13" x14ac:dyDescent="0.15">
      <c r="A2925" s="107">
        <v>1686</v>
      </c>
      <c r="B2925" s="107" t="s">
        <v>247</v>
      </c>
      <c r="C2925" s="107" t="s">
        <v>295</v>
      </c>
      <c r="D2925" s="107">
        <v>30</v>
      </c>
      <c r="E2925" s="107" t="s">
        <v>193</v>
      </c>
      <c r="F2925" s="107" t="s">
        <v>777</v>
      </c>
      <c r="G2925" s="107">
        <v>2</v>
      </c>
      <c r="H2925" s="107">
        <v>8</v>
      </c>
      <c r="I2925" s="107">
        <v>11</v>
      </c>
      <c r="J2925" s="107">
        <f t="shared" si="45"/>
        <v>8.114583333333332E-2</v>
      </c>
      <c r="K2925" s="107">
        <v>4023</v>
      </c>
      <c r="L2925" s="107">
        <v>1829</v>
      </c>
      <c r="M2925" s="107">
        <v>832</v>
      </c>
    </row>
    <row r="2926" spans="1:13" x14ac:dyDescent="0.15">
      <c r="A2926" s="107">
        <v>1692</v>
      </c>
      <c r="B2926" s="107" t="s">
        <v>247</v>
      </c>
      <c r="C2926" s="107" t="s">
        <v>271</v>
      </c>
      <c r="D2926" s="107">
        <v>50</v>
      </c>
      <c r="E2926" s="107" t="s">
        <v>193</v>
      </c>
      <c r="F2926" s="107" t="s">
        <v>777</v>
      </c>
      <c r="G2926" s="107">
        <v>3</v>
      </c>
      <c r="H2926" s="107">
        <v>15</v>
      </c>
      <c r="I2926" s="107">
        <v>0</v>
      </c>
      <c r="J2926" s="107">
        <f t="shared" si="45"/>
        <v>7.4999999999999997E-2</v>
      </c>
      <c r="K2926" s="107">
        <v>4030</v>
      </c>
      <c r="L2926" s="107">
        <v>1836</v>
      </c>
      <c r="M2926" s="107">
        <v>242</v>
      </c>
    </row>
    <row r="2927" spans="1:13" x14ac:dyDescent="0.15">
      <c r="A2927" s="107">
        <v>1693</v>
      </c>
      <c r="B2927" s="107" t="s">
        <v>253</v>
      </c>
      <c r="C2927" s="107" t="s">
        <v>271</v>
      </c>
      <c r="D2927" s="107">
        <v>150</v>
      </c>
      <c r="E2927" s="107" t="s">
        <v>193</v>
      </c>
      <c r="F2927" s="107" t="s">
        <v>777</v>
      </c>
      <c r="G2927" s="107">
        <v>11</v>
      </c>
      <c r="H2927" s="107">
        <v>5</v>
      </c>
      <c r="I2927" s="107">
        <v>0</v>
      </c>
      <c r="J2927" s="107">
        <f t="shared" si="45"/>
        <v>7.4999999999999997E-2</v>
      </c>
      <c r="K2927" s="107">
        <v>4030</v>
      </c>
      <c r="L2927" s="107">
        <v>1836</v>
      </c>
      <c r="M2927" s="107">
        <v>236</v>
      </c>
    </row>
    <row r="2928" spans="1:13" x14ac:dyDescent="0.15">
      <c r="A2928" s="107">
        <v>1696</v>
      </c>
      <c r="B2928" s="107" t="s">
        <v>260</v>
      </c>
      <c r="C2928" s="107" t="s">
        <v>271</v>
      </c>
      <c r="D2928" s="107">
        <v>200</v>
      </c>
      <c r="E2928" s="107" t="s">
        <v>193</v>
      </c>
      <c r="F2928" s="107" t="s">
        <v>777</v>
      </c>
      <c r="G2928" s="107">
        <v>11</v>
      </c>
      <c r="H2928" s="107">
        <v>5</v>
      </c>
      <c r="I2928" s="107">
        <v>0</v>
      </c>
      <c r="J2928" s="107">
        <f t="shared" ref="J2928:J2930" si="46">(G2928+H2928/20+I2928/320)/D2928</f>
        <v>5.6250000000000001E-2</v>
      </c>
      <c r="K2928" s="107">
        <v>4035</v>
      </c>
      <c r="L2928" s="107">
        <v>1841</v>
      </c>
      <c r="M2928" s="107">
        <v>67</v>
      </c>
    </row>
    <row r="2929" spans="1:13" x14ac:dyDescent="0.15">
      <c r="A2929" s="107">
        <v>1702</v>
      </c>
      <c r="B2929" s="107" t="s">
        <v>226</v>
      </c>
      <c r="C2929" s="107" t="s">
        <v>271</v>
      </c>
      <c r="D2929" s="107">
        <v>350</v>
      </c>
      <c r="E2929" s="107" t="s">
        <v>193</v>
      </c>
      <c r="F2929" s="107" t="s">
        <v>777</v>
      </c>
      <c r="G2929" s="107">
        <v>17</v>
      </c>
      <c r="H2929" s="107">
        <v>10</v>
      </c>
      <c r="I2929" s="107">
        <v>0</v>
      </c>
      <c r="J2929" s="107">
        <f t="shared" si="46"/>
        <v>0.05</v>
      </c>
      <c r="K2929" s="107">
        <v>4049</v>
      </c>
      <c r="L2929" s="107">
        <v>1856</v>
      </c>
      <c r="M2929" s="107">
        <v>512</v>
      </c>
    </row>
    <row r="2930" spans="1:13" x14ac:dyDescent="0.15">
      <c r="A2930" s="107">
        <v>1703</v>
      </c>
      <c r="B2930" s="107" t="s">
        <v>226</v>
      </c>
      <c r="C2930" s="107" t="s">
        <v>271</v>
      </c>
      <c r="D2930" s="107">
        <v>1051</v>
      </c>
      <c r="E2930" s="107" t="s">
        <v>193</v>
      </c>
      <c r="F2930" s="107" t="s">
        <v>777</v>
      </c>
      <c r="G2930" s="107">
        <v>52</v>
      </c>
      <c r="H2930" s="107">
        <v>11</v>
      </c>
      <c r="I2930" s="107">
        <v>0</v>
      </c>
      <c r="J2930" s="107">
        <f t="shared" si="46"/>
        <v>4.9999999999999996E-2</v>
      </c>
      <c r="K2930" s="107">
        <v>4050</v>
      </c>
      <c r="L2930" s="107">
        <v>1858</v>
      </c>
      <c r="M2930" s="107">
        <v>539</v>
      </c>
    </row>
  </sheetData>
  <sortState ref="A2:O2929">
    <sortCondition ref="F2:F2929"/>
    <sortCondition ref="A2:A2929"/>
  </sortState>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pane ySplit="1" topLeftCell="A2" activePane="bottomLeft" state="frozen"/>
      <selection activeCell="J51" sqref="J51"/>
      <selection pane="bottomLeft" activeCell="J51" sqref="J51"/>
    </sheetView>
  </sheetViews>
  <sheetFormatPr baseColWidth="10" defaultColWidth="8.83203125" defaultRowHeight="13" x14ac:dyDescent="0.15"/>
  <cols>
    <col min="4" max="4" width="22" customWidth="1"/>
  </cols>
  <sheetData>
    <row r="1" spans="1:14" x14ac:dyDescent="0.15">
      <c r="A1" s="23" t="s">
        <v>778</v>
      </c>
      <c r="B1" s="23" t="s">
        <v>779</v>
      </c>
      <c r="C1" s="23" t="s">
        <v>780</v>
      </c>
      <c r="D1" s="23" t="s">
        <v>781</v>
      </c>
      <c r="E1" s="23" t="s">
        <v>782</v>
      </c>
      <c r="F1" s="23" t="s">
        <v>783</v>
      </c>
      <c r="G1" s="23" t="s">
        <v>784</v>
      </c>
      <c r="H1" s="23" t="s">
        <v>785</v>
      </c>
      <c r="I1" s="23" t="s">
        <v>786</v>
      </c>
      <c r="J1" s="23" t="s">
        <v>787</v>
      </c>
      <c r="K1" s="23" t="s">
        <v>788</v>
      </c>
      <c r="L1" s="23" t="s">
        <v>789</v>
      </c>
      <c r="M1" s="23"/>
      <c r="N1" s="107"/>
    </row>
    <row r="2" spans="1:14" x14ac:dyDescent="0.15">
      <c r="A2" s="107">
        <v>1811</v>
      </c>
      <c r="B2" s="107">
        <v>1</v>
      </c>
      <c r="C2" s="24" t="s">
        <v>790</v>
      </c>
      <c r="D2" s="24" t="s">
        <v>242</v>
      </c>
      <c r="E2" s="107">
        <v>0</v>
      </c>
      <c r="F2" s="107">
        <v>12</v>
      </c>
      <c r="G2" s="25">
        <v>1</v>
      </c>
      <c r="H2" s="26">
        <f t="shared" ref="H2:H38" si="0">(E2+F2/20+G2/240)/B2</f>
        <v>0.60416666666666663</v>
      </c>
      <c r="I2" s="26">
        <f>H2*111.4</f>
        <v>67.30416666666666</v>
      </c>
      <c r="J2" s="26"/>
      <c r="K2" s="107">
        <v>8</v>
      </c>
      <c r="L2" s="107">
        <v>209</v>
      </c>
      <c r="M2" s="107"/>
      <c r="N2" s="107"/>
    </row>
    <row r="3" spans="1:14" x14ac:dyDescent="0.15">
      <c r="A3" s="107">
        <v>1825</v>
      </c>
      <c r="B3" s="107">
        <v>66</v>
      </c>
      <c r="C3" s="24" t="s">
        <v>791</v>
      </c>
      <c r="D3" s="24" t="s">
        <v>792</v>
      </c>
      <c r="E3" s="107">
        <v>53</v>
      </c>
      <c r="F3" s="107">
        <v>0</v>
      </c>
      <c r="G3" s="25">
        <v>0</v>
      </c>
      <c r="H3" s="26">
        <f t="shared" si="0"/>
        <v>0.80303030303030298</v>
      </c>
      <c r="I3" s="26">
        <f>H3*104.6</f>
        <v>83.996969696969686</v>
      </c>
      <c r="J3" s="26">
        <f>I3/(111.5*0.772)</f>
        <v>0.97582390038069755</v>
      </c>
      <c r="K3" s="107">
        <v>24</v>
      </c>
      <c r="L3" s="107">
        <v>247</v>
      </c>
      <c r="M3" s="107" t="s">
        <v>793</v>
      </c>
      <c r="N3" s="107"/>
    </row>
    <row r="4" spans="1:14" x14ac:dyDescent="0.15">
      <c r="A4" s="107">
        <v>1827</v>
      </c>
      <c r="B4" s="107">
        <v>21</v>
      </c>
      <c r="C4" s="24" t="s">
        <v>794</v>
      </c>
      <c r="D4" s="24" t="s">
        <v>792</v>
      </c>
      <c r="E4" s="107">
        <v>18</v>
      </c>
      <c r="F4" s="107">
        <v>0</v>
      </c>
      <c r="G4" s="25">
        <v>0</v>
      </c>
      <c r="H4" s="26">
        <f t="shared" si="0"/>
        <v>0.8571428571428571</v>
      </c>
      <c r="I4" s="26">
        <f>H4*104.6</f>
        <v>89.657142857142844</v>
      </c>
      <c r="J4" s="26">
        <f>I4/(111.5*0.772)</f>
        <v>1.0415802278996125</v>
      </c>
      <c r="K4" s="107">
        <v>35</v>
      </c>
      <c r="L4" s="107">
        <v>92</v>
      </c>
      <c r="M4" s="107" t="s">
        <v>793</v>
      </c>
      <c r="N4" s="107"/>
    </row>
    <row r="5" spans="1:14" x14ac:dyDescent="0.15">
      <c r="A5" s="107">
        <v>1827</v>
      </c>
      <c r="B5" s="107">
        <v>30</v>
      </c>
      <c r="C5" s="24" t="s">
        <v>795</v>
      </c>
      <c r="D5" s="24" t="s">
        <v>796</v>
      </c>
      <c r="E5" s="107">
        <v>154</v>
      </c>
      <c r="F5" s="107">
        <v>0</v>
      </c>
      <c r="G5" s="25">
        <v>0</v>
      </c>
      <c r="H5" s="26">
        <f t="shared" si="0"/>
        <v>5.1333333333333337</v>
      </c>
      <c r="I5" s="26">
        <f>H5*104.6</f>
        <v>536.94666666666672</v>
      </c>
      <c r="J5" s="107"/>
      <c r="K5" s="107">
        <v>35</v>
      </c>
      <c r="L5" s="107">
        <v>92</v>
      </c>
      <c r="M5" s="107" t="s">
        <v>793</v>
      </c>
      <c r="N5" s="107"/>
    </row>
    <row r="6" spans="1:14" x14ac:dyDescent="0.15">
      <c r="A6" s="107">
        <v>1811</v>
      </c>
      <c r="B6" s="107">
        <v>1</v>
      </c>
      <c r="C6" s="24" t="s">
        <v>239</v>
      </c>
      <c r="D6" s="24" t="s">
        <v>797</v>
      </c>
      <c r="E6" s="107">
        <v>0</v>
      </c>
      <c r="F6" s="107">
        <v>0</v>
      </c>
      <c r="G6" s="25">
        <v>2</v>
      </c>
      <c r="H6" s="26">
        <f t="shared" si="0"/>
        <v>8.3333333333333332E-3</v>
      </c>
      <c r="I6" s="26">
        <f>H6*111.4</f>
        <v>0.92833333333333334</v>
      </c>
      <c r="J6" s="26">
        <f t="shared" ref="J6:J18" si="1">I6*2.2046</f>
        <v>2.0466036666666669</v>
      </c>
      <c r="K6" s="107">
        <v>8</v>
      </c>
      <c r="L6" s="107">
        <v>209</v>
      </c>
      <c r="M6" s="107"/>
      <c r="N6" s="107"/>
    </row>
    <row r="7" spans="1:14" x14ac:dyDescent="0.15">
      <c r="A7" s="107">
        <v>1812</v>
      </c>
      <c r="B7" s="107">
        <v>1</v>
      </c>
      <c r="C7" s="24" t="s">
        <v>239</v>
      </c>
      <c r="D7" s="24" t="s">
        <v>797</v>
      </c>
      <c r="E7" s="107">
        <v>0</v>
      </c>
      <c r="F7" s="107">
        <v>0</v>
      </c>
      <c r="G7" s="27">
        <v>1.0694444444444444</v>
      </c>
      <c r="H7" s="26">
        <f t="shared" si="0"/>
        <v>4.456018518518518E-3</v>
      </c>
      <c r="I7" s="26">
        <f>H7*111.4</f>
        <v>0.49640046296296292</v>
      </c>
      <c r="J7" s="26">
        <f t="shared" si="1"/>
        <v>1.0943644606481482</v>
      </c>
      <c r="K7" s="107">
        <v>8</v>
      </c>
      <c r="L7" s="107">
        <v>209</v>
      </c>
      <c r="M7" s="107"/>
      <c r="N7" s="107"/>
    </row>
    <row r="8" spans="1:14" x14ac:dyDescent="0.15">
      <c r="A8" s="107">
        <v>1825</v>
      </c>
      <c r="B8" s="107">
        <v>34052</v>
      </c>
      <c r="C8" s="24" t="s">
        <v>239</v>
      </c>
      <c r="D8" s="24" t="s">
        <v>240</v>
      </c>
      <c r="E8" s="107">
        <v>875</v>
      </c>
      <c r="F8" s="107">
        <v>0</v>
      </c>
      <c r="G8" s="25">
        <v>0</v>
      </c>
      <c r="H8" s="26">
        <f t="shared" si="0"/>
        <v>2.5695994361564667E-2</v>
      </c>
      <c r="I8" s="26">
        <f>H8*104.6</f>
        <v>2.6878010102196641</v>
      </c>
      <c r="J8" s="26">
        <f t="shared" si="1"/>
        <v>5.9255261071302714</v>
      </c>
      <c r="K8" s="107">
        <v>24</v>
      </c>
      <c r="L8" s="107">
        <v>247</v>
      </c>
      <c r="M8" s="107" t="s">
        <v>793</v>
      </c>
      <c r="N8" s="107">
        <f>AVERAGE(H8:H11)</f>
        <v>2.5352138016211924E-2</v>
      </c>
    </row>
    <row r="9" spans="1:14" x14ac:dyDescent="0.15">
      <c r="A9" s="107">
        <v>1825</v>
      </c>
      <c r="B9" s="107">
        <v>48643</v>
      </c>
      <c r="C9" s="24" t="s">
        <v>239</v>
      </c>
      <c r="D9" s="24" t="s">
        <v>240</v>
      </c>
      <c r="E9" s="107">
        <v>1288</v>
      </c>
      <c r="F9" s="107">
        <v>0</v>
      </c>
      <c r="G9" s="25">
        <v>0</v>
      </c>
      <c r="H9" s="26">
        <f t="shared" si="0"/>
        <v>2.6478630018707729E-2</v>
      </c>
      <c r="I9" s="26">
        <f>H9*104.6</f>
        <v>2.7696646999568282</v>
      </c>
      <c r="J9" s="26">
        <f t="shared" si="1"/>
        <v>6.1060027975248241</v>
      </c>
      <c r="K9" s="107">
        <v>24</v>
      </c>
      <c r="L9" s="107">
        <v>247</v>
      </c>
      <c r="M9" s="107" t="s">
        <v>793</v>
      </c>
      <c r="N9" s="107"/>
    </row>
    <row r="10" spans="1:14" x14ac:dyDescent="0.15">
      <c r="A10" s="107">
        <v>1825</v>
      </c>
      <c r="B10" s="107">
        <v>9400</v>
      </c>
      <c r="C10" s="24" t="s">
        <v>239</v>
      </c>
      <c r="D10" s="24" t="s">
        <v>240</v>
      </c>
      <c r="E10" s="107">
        <v>220</v>
      </c>
      <c r="F10" s="107">
        <v>0</v>
      </c>
      <c r="G10" s="25">
        <v>0</v>
      </c>
      <c r="H10" s="26">
        <f t="shared" si="0"/>
        <v>2.3404255319148935E-2</v>
      </c>
      <c r="I10" s="26">
        <f>H10*104.6</f>
        <v>2.4480851063829787</v>
      </c>
      <c r="J10" s="26">
        <f t="shared" si="1"/>
        <v>5.3970484255319153</v>
      </c>
      <c r="K10" s="107">
        <v>24</v>
      </c>
      <c r="L10" s="107">
        <v>247</v>
      </c>
      <c r="M10" s="107" t="s">
        <v>793</v>
      </c>
      <c r="N10" s="107"/>
    </row>
    <row r="11" spans="1:14" x14ac:dyDescent="0.15">
      <c r="A11" s="107">
        <v>1825</v>
      </c>
      <c r="B11" s="107">
        <v>113358</v>
      </c>
      <c r="C11" s="24" t="s">
        <v>239</v>
      </c>
      <c r="D11" s="24" t="s">
        <v>240</v>
      </c>
      <c r="E11" s="107">
        <v>2928</v>
      </c>
      <c r="F11" s="107">
        <v>0</v>
      </c>
      <c r="G11" s="25">
        <v>0</v>
      </c>
      <c r="H11" s="26">
        <f t="shared" si="0"/>
        <v>2.5829672365426347E-2</v>
      </c>
      <c r="I11" s="26">
        <f>H11*104.6</f>
        <v>2.7017837294235956</v>
      </c>
      <c r="J11" s="26">
        <f t="shared" si="1"/>
        <v>5.9563524098872591</v>
      </c>
      <c r="K11" s="107">
        <v>24</v>
      </c>
      <c r="L11" s="107">
        <v>247</v>
      </c>
      <c r="M11" s="107" t="s">
        <v>793</v>
      </c>
      <c r="N11" s="107"/>
    </row>
    <row r="12" spans="1:14" x14ac:dyDescent="0.15">
      <c r="A12" s="107">
        <v>1827</v>
      </c>
      <c r="B12" s="107">
        <v>98914</v>
      </c>
      <c r="C12" s="24" t="s">
        <v>239</v>
      </c>
      <c r="D12" s="24" t="s">
        <v>240</v>
      </c>
      <c r="E12" s="107">
        <v>2917</v>
      </c>
      <c r="F12" s="107">
        <v>0</v>
      </c>
      <c r="G12" s="25">
        <v>0</v>
      </c>
      <c r="H12" s="26">
        <f t="shared" si="0"/>
        <v>2.9490264269971894E-2</v>
      </c>
      <c r="I12" s="26">
        <f>H12*104.6</f>
        <v>3.08468164263906</v>
      </c>
      <c r="J12" s="26">
        <f t="shared" si="1"/>
        <v>6.8004891493620718</v>
      </c>
      <c r="K12" s="107">
        <v>35</v>
      </c>
      <c r="L12" s="107">
        <v>92</v>
      </c>
      <c r="M12" s="107" t="s">
        <v>793</v>
      </c>
      <c r="N12" s="107"/>
    </row>
    <row r="13" spans="1:14" x14ac:dyDescent="0.15">
      <c r="A13" s="107">
        <v>1811</v>
      </c>
      <c r="B13" s="107">
        <v>100</v>
      </c>
      <c r="C13" s="24" t="s">
        <v>239</v>
      </c>
      <c r="D13" s="24" t="s">
        <v>798</v>
      </c>
      <c r="E13" s="107">
        <v>5</v>
      </c>
      <c r="F13" s="107">
        <v>3</v>
      </c>
      <c r="G13" s="25">
        <v>5</v>
      </c>
      <c r="H13" s="26">
        <f t="shared" si="0"/>
        <v>5.1708333333333335E-2</v>
      </c>
      <c r="I13" s="26">
        <f>H13*111.4</f>
        <v>5.7603083333333336</v>
      </c>
      <c r="J13" s="26">
        <f t="shared" si="1"/>
        <v>12.699175751666667</v>
      </c>
      <c r="K13" s="107">
        <v>8</v>
      </c>
      <c r="L13" s="107">
        <v>209</v>
      </c>
      <c r="M13" s="107"/>
      <c r="N13" s="107"/>
    </row>
    <row r="14" spans="1:14" x14ac:dyDescent="0.15">
      <c r="A14" s="107">
        <v>1812</v>
      </c>
      <c r="B14" s="107">
        <v>100</v>
      </c>
      <c r="C14" s="24" t="s">
        <v>239</v>
      </c>
      <c r="D14" s="24" t="s">
        <v>798</v>
      </c>
      <c r="E14" s="107">
        <v>4</v>
      </c>
      <c r="F14" s="107">
        <v>7</v>
      </c>
      <c r="G14" s="25">
        <v>10</v>
      </c>
      <c r="H14" s="26">
        <f t="shared" si="0"/>
        <v>4.3916666666666666E-2</v>
      </c>
      <c r="I14" s="26">
        <f>H14*111.4</f>
        <v>4.8923166666666669</v>
      </c>
      <c r="J14" s="26">
        <f t="shared" si="1"/>
        <v>10.785601323333335</v>
      </c>
      <c r="K14" s="107">
        <v>8</v>
      </c>
      <c r="L14" s="107">
        <v>209</v>
      </c>
      <c r="M14" s="107"/>
      <c r="N14" s="107"/>
    </row>
    <row r="15" spans="1:14" x14ac:dyDescent="0.15">
      <c r="A15" s="107">
        <v>1827</v>
      </c>
      <c r="B15" s="107">
        <v>6775</v>
      </c>
      <c r="C15" s="24" t="s">
        <v>239</v>
      </c>
      <c r="D15" s="24" t="s">
        <v>798</v>
      </c>
      <c r="E15" s="107">
        <v>699</v>
      </c>
      <c r="F15" s="107">
        <v>0</v>
      </c>
      <c r="G15" s="25">
        <v>0</v>
      </c>
      <c r="H15" s="26">
        <f t="shared" si="0"/>
        <v>0.10317343173431734</v>
      </c>
      <c r="I15" s="26">
        <f>H15*104.6</f>
        <v>10.791940959409594</v>
      </c>
      <c r="J15" s="26">
        <f t="shared" si="1"/>
        <v>23.791913039114391</v>
      </c>
      <c r="K15" s="107">
        <v>35</v>
      </c>
      <c r="L15" s="107">
        <v>82</v>
      </c>
      <c r="M15" s="107" t="s">
        <v>799</v>
      </c>
      <c r="N15" s="107"/>
    </row>
    <row r="16" spans="1:14" x14ac:dyDescent="0.15">
      <c r="A16" s="107">
        <v>1825</v>
      </c>
      <c r="B16" s="107">
        <v>2800</v>
      </c>
      <c r="C16" s="24" t="s">
        <v>239</v>
      </c>
      <c r="D16" s="24" t="s">
        <v>800</v>
      </c>
      <c r="E16" s="107">
        <v>125</v>
      </c>
      <c r="F16" s="107">
        <v>0</v>
      </c>
      <c r="G16" s="25">
        <v>0</v>
      </c>
      <c r="H16" s="26">
        <f t="shared" si="0"/>
        <v>4.4642857142857144E-2</v>
      </c>
      <c r="I16" s="26">
        <f>H16*104.6</f>
        <v>4.6696428571428568</v>
      </c>
      <c r="J16" s="26">
        <f t="shared" si="1"/>
        <v>10.294694642857143</v>
      </c>
      <c r="K16" s="107">
        <v>24</v>
      </c>
      <c r="L16" s="107">
        <v>247</v>
      </c>
      <c r="M16" s="107" t="s">
        <v>793</v>
      </c>
      <c r="N16" s="107"/>
    </row>
    <row r="17" spans="1:14" x14ac:dyDescent="0.15">
      <c r="A17" s="107">
        <v>1825</v>
      </c>
      <c r="B17" s="107">
        <v>400</v>
      </c>
      <c r="C17" s="24" t="s">
        <v>239</v>
      </c>
      <c r="D17" s="24" t="s">
        <v>800</v>
      </c>
      <c r="E17" s="107">
        <v>16</v>
      </c>
      <c r="F17" s="107">
        <v>10</v>
      </c>
      <c r="G17" s="25">
        <v>0</v>
      </c>
      <c r="H17" s="26">
        <f t="shared" si="0"/>
        <v>4.1250000000000002E-2</v>
      </c>
      <c r="I17" s="26">
        <f>H17*104.6</f>
        <v>4.3147500000000001</v>
      </c>
      <c r="J17" s="26">
        <f t="shared" si="1"/>
        <v>9.5122978500000013</v>
      </c>
      <c r="K17" s="107">
        <v>24</v>
      </c>
      <c r="L17" s="107">
        <v>242</v>
      </c>
      <c r="M17" s="107" t="s">
        <v>799</v>
      </c>
      <c r="N17" s="107"/>
    </row>
    <row r="18" spans="1:14" x14ac:dyDescent="0.15">
      <c r="A18" s="107">
        <v>1825</v>
      </c>
      <c r="B18" s="107">
        <v>620</v>
      </c>
      <c r="C18" s="24" t="s">
        <v>239</v>
      </c>
      <c r="D18" s="24" t="s">
        <v>801</v>
      </c>
      <c r="E18" s="107">
        <v>103</v>
      </c>
      <c r="F18" s="107">
        <v>8</v>
      </c>
      <c r="G18" s="25">
        <v>0</v>
      </c>
      <c r="H18" s="26">
        <f t="shared" si="0"/>
        <v>0.1667741935483871</v>
      </c>
      <c r="I18" s="26">
        <f>H18*104.6</f>
        <v>17.444580645161288</v>
      </c>
      <c r="J18" s="26">
        <f t="shared" si="1"/>
        <v>38.45832249032258</v>
      </c>
      <c r="K18" s="107">
        <v>24</v>
      </c>
      <c r="L18" s="107">
        <v>242</v>
      </c>
      <c r="M18" s="107" t="s">
        <v>799</v>
      </c>
      <c r="N18" s="107"/>
    </row>
    <row r="19" spans="1:14" x14ac:dyDescent="0.15">
      <c r="A19" s="107">
        <v>1827</v>
      </c>
      <c r="B19" s="107">
        <v>5336</v>
      </c>
      <c r="C19" s="24" t="s">
        <v>802</v>
      </c>
      <c r="D19" s="24" t="s">
        <v>803</v>
      </c>
      <c r="E19" s="107">
        <v>1105</v>
      </c>
      <c r="F19" s="107">
        <v>0</v>
      </c>
      <c r="G19" s="25">
        <v>0</v>
      </c>
      <c r="H19" s="26">
        <f t="shared" si="0"/>
        <v>0.2070839580209895</v>
      </c>
      <c r="I19" s="26">
        <f>H19*104.6</f>
        <v>21.6609820089955</v>
      </c>
      <c r="J19" s="107"/>
      <c r="K19" s="107">
        <v>35</v>
      </c>
      <c r="L19" s="107">
        <v>82</v>
      </c>
      <c r="M19" s="107" t="s">
        <v>799</v>
      </c>
      <c r="N19" s="107"/>
    </row>
    <row r="20" spans="1:14" x14ac:dyDescent="0.15">
      <c r="A20" s="107">
        <v>1811</v>
      </c>
      <c r="B20" s="107">
        <v>100</v>
      </c>
      <c r="C20" s="24" t="s">
        <v>239</v>
      </c>
      <c r="D20" s="24" t="s">
        <v>804</v>
      </c>
      <c r="E20" s="107">
        <v>3</v>
      </c>
      <c r="F20" s="107">
        <v>10</v>
      </c>
      <c r="G20" s="25">
        <v>5.75</v>
      </c>
      <c r="H20" s="26">
        <f t="shared" si="0"/>
        <v>3.5239583333333331E-2</v>
      </c>
      <c r="I20" s="26">
        <f t="shared" ref="I20:I25" si="2">H20*111.4</f>
        <v>3.9256895833333334</v>
      </c>
      <c r="J20" s="26">
        <f>I20*2.2046</f>
        <v>8.6545752554166668</v>
      </c>
      <c r="K20" s="107">
        <v>8</v>
      </c>
      <c r="L20" s="107">
        <v>209</v>
      </c>
      <c r="M20" s="107"/>
      <c r="N20" s="107"/>
    </row>
    <row r="21" spans="1:14" x14ac:dyDescent="0.15">
      <c r="A21" s="107">
        <v>1811</v>
      </c>
      <c r="B21" s="107">
        <v>1</v>
      </c>
      <c r="C21" s="24" t="s">
        <v>805</v>
      </c>
      <c r="D21" s="24" t="s">
        <v>806</v>
      </c>
      <c r="E21" s="107">
        <v>1</v>
      </c>
      <c r="F21" s="107">
        <v>8</v>
      </c>
      <c r="G21" s="25">
        <v>11</v>
      </c>
      <c r="H21" s="26">
        <f t="shared" si="0"/>
        <v>1.4458333333333333</v>
      </c>
      <c r="I21" s="26">
        <f t="shared" si="2"/>
        <v>161.06583333333333</v>
      </c>
      <c r="J21" s="26">
        <f>(I21/2000)*2.2046</f>
        <v>0.17754286808333333</v>
      </c>
      <c r="K21" s="107">
        <v>8</v>
      </c>
      <c r="L21" s="107">
        <v>209</v>
      </c>
      <c r="M21" s="107"/>
      <c r="N21" s="107"/>
    </row>
    <row r="22" spans="1:14" x14ac:dyDescent="0.15">
      <c r="A22" s="107">
        <v>1812</v>
      </c>
      <c r="B22" s="107">
        <v>1</v>
      </c>
      <c r="C22" s="24" t="s">
        <v>805</v>
      </c>
      <c r="D22" s="24" t="s">
        <v>806</v>
      </c>
      <c r="E22" s="107">
        <v>1</v>
      </c>
      <c r="F22" s="107">
        <v>5</v>
      </c>
      <c r="G22" s="25">
        <v>6</v>
      </c>
      <c r="H22" s="26">
        <f t="shared" si="0"/>
        <v>1.2749999999999999</v>
      </c>
      <c r="I22" s="26">
        <f t="shared" si="2"/>
        <v>142.035</v>
      </c>
      <c r="J22" s="26">
        <f>(I22/2000)*2.2046</f>
        <v>0.15656518050000001</v>
      </c>
      <c r="K22" s="107">
        <v>8</v>
      </c>
      <c r="L22" s="107">
        <v>209</v>
      </c>
      <c r="M22" s="107"/>
      <c r="N22" s="107"/>
    </row>
    <row r="23" spans="1:14" x14ac:dyDescent="0.15">
      <c r="A23" s="107">
        <v>1811</v>
      </c>
      <c r="B23" s="107">
        <v>1</v>
      </c>
      <c r="C23" s="24" t="s">
        <v>239</v>
      </c>
      <c r="D23" s="24" t="s">
        <v>807</v>
      </c>
      <c r="E23" s="107">
        <v>0</v>
      </c>
      <c r="F23" s="107">
        <v>0</v>
      </c>
      <c r="G23" s="25">
        <v>1.875</v>
      </c>
      <c r="H23" s="26">
        <f t="shared" si="0"/>
        <v>7.8125E-3</v>
      </c>
      <c r="I23" s="26">
        <f t="shared" si="2"/>
        <v>0.87031250000000004</v>
      </c>
      <c r="J23" s="26">
        <f>I23*2.2046</f>
        <v>1.9186909375000003</v>
      </c>
      <c r="K23" s="107">
        <v>8</v>
      </c>
      <c r="L23" s="107">
        <v>209</v>
      </c>
      <c r="M23" s="107"/>
      <c r="N23" s="107"/>
    </row>
    <row r="24" spans="1:14" x14ac:dyDescent="0.15">
      <c r="A24" s="107">
        <v>1812</v>
      </c>
      <c r="B24" s="107">
        <v>1</v>
      </c>
      <c r="C24" s="24" t="s">
        <v>239</v>
      </c>
      <c r="D24" s="24" t="s">
        <v>807</v>
      </c>
      <c r="E24" s="107">
        <v>0</v>
      </c>
      <c r="F24" s="107">
        <v>0</v>
      </c>
      <c r="G24" s="28">
        <v>1.75</v>
      </c>
      <c r="H24" s="26">
        <f t="shared" si="0"/>
        <v>7.2916666666666668E-3</v>
      </c>
      <c r="I24" s="26">
        <f t="shared" si="2"/>
        <v>0.81229166666666675</v>
      </c>
      <c r="J24" s="26">
        <f>I24*2.2046</f>
        <v>1.7907782083333337</v>
      </c>
      <c r="K24" s="107">
        <v>8</v>
      </c>
      <c r="L24" s="107">
        <v>209</v>
      </c>
      <c r="M24" s="107"/>
      <c r="N24" s="107"/>
    </row>
    <row r="25" spans="1:14" x14ac:dyDescent="0.15">
      <c r="A25" s="107">
        <v>1811</v>
      </c>
      <c r="B25" s="107">
        <v>1</v>
      </c>
      <c r="C25" s="24" t="s">
        <v>808</v>
      </c>
      <c r="D25" s="24" t="s">
        <v>809</v>
      </c>
      <c r="E25" s="107">
        <v>0</v>
      </c>
      <c r="F25" s="107">
        <v>7</v>
      </c>
      <c r="G25" s="25">
        <v>8</v>
      </c>
      <c r="H25" s="26">
        <f t="shared" si="0"/>
        <v>0.3833333333333333</v>
      </c>
      <c r="I25" s="26">
        <f t="shared" si="2"/>
        <v>42.703333333333333</v>
      </c>
      <c r="J25" s="26"/>
      <c r="K25" s="107">
        <v>8</v>
      </c>
      <c r="L25" s="107">
        <v>209</v>
      </c>
      <c r="M25" s="107"/>
      <c r="N25" s="107"/>
    </row>
    <row r="26" spans="1:14" x14ac:dyDescent="0.15">
      <c r="A26" s="107">
        <v>1825</v>
      </c>
      <c r="B26" s="107">
        <v>26043</v>
      </c>
      <c r="C26" s="24" t="s">
        <v>810</v>
      </c>
      <c r="D26" s="24" t="s">
        <v>811</v>
      </c>
      <c r="E26" s="107">
        <v>1683</v>
      </c>
      <c r="F26" s="107">
        <v>0</v>
      </c>
      <c r="G26" s="25">
        <v>0</v>
      </c>
      <c r="H26" s="26">
        <f t="shared" si="0"/>
        <v>6.4623891256767652E-2</v>
      </c>
      <c r="I26" s="26">
        <f t="shared" ref="I26:I34" si="3">H26*104.6</f>
        <v>6.7596590254578963</v>
      </c>
      <c r="J26" s="26">
        <f>I26*0.26417</f>
        <v>1.7856991247552125</v>
      </c>
      <c r="K26" s="107">
        <v>24</v>
      </c>
      <c r="L26" s="107">
        <v>247</v>
      </c>
      <c r="M26" s="107" t="s">
        <v>793</v>
      </c>
      <c r="N26" s="107">
        <f>AVERAGE(H26:H29)</f>
        <v>7.4863306058552181E-2</v>
      </c>
    </row>
    <row r="27" spans="1:14" x14ac:dyDescent="0.15">
      <c r="A27" s="107">
        <v>1825</v>
      </c>
      <c r="B27" s="107">
        <v>4378</v>
      </c>
      <c r="C27" s="24" t="s">
        <v>810</v>
      </c>
      <c r="D27" s="24" t="s">
        <v>811</v>
      </c>
      <c r="E27" s="107">
        <v>412</v>
      </c>
      <c r="F27" s="107">
        <v>0</v>
      </c>
      <c r="G27" s="25">
        <v>0</v>
      </c>
      <c r="H27" s="26">
        <f t="shared" si="0"/>
        <v>9.4106898126998628E-2</v>
      </c>
      <c r="I27" s="26">
        <f t="shared" si="3"/>
        <v>9.8435815440840564</v>
      </c>
      <c r="J27" s="26">
        <f>I27*0.26417</f>
        <v>2.6003789365006855</v>
      </c>
      <c r="K27" s="107">
        <v>24</v>
      </c>
      <c r="L27" s="107">
        <v>247</v>
      </c>
      <c r="M27" s="107" t="s">
        <v>793</v>
      </c>
      <c r="N27" s="107"/>
    </row>
    <row r="28" spans="1:14" x14ac:dyDescent="0.15">
      <c r="A28" s="107">
        <v>1825</v>
      </c>
      <c r="B28" s="107">
        <v>5000</v>
      </c>
      <c r="C28" s="24" t="s">
        <v>810</v>
      </c>
      <c r="D28" s="24" t="s">
        <v>811</v>
      </c>
      <c r="E28" s="107">
        <v>375</v>
      </c>
      <c r="F28" s="107">
        <v>0</v>
      </c>
      <c r="G28" s="25">
        <v>0</v>
      </c>
      <c r="H28" s="26">
        <f t="shared" si="0"/>
        <v>7.4999999999999997E-2</v>
      </c>
      <c r="I28" s="26">
        <f t="shared" si="3"/>
        <v>7.8449999999999989</v>
      </c>
      <c r="J28" s="26">
        <f>I28*0.26417</f>
        <v>2.0724136499999997</v>
      </c>
      <c r="K28" s="107">
        <v>24</v>
      </c>
      <c r="L28" s="107">
        <v>247</v>
      </c>
      <c r="M28" s="107" t="s">
        <v>793</v>
      </c>
      <c r="N28" s="107"/>
    </row>
    <row r="29" spans="1:14" x14ac:dyDescent="0.15">
      <c r="A29" s="107">
        <v>1825</v>
      </c>
      <c r="B29" s="107">
        <v>41021</v>
      </c>
      <c r="C29" s="24" t="s">
        <v>810</v>
      </c>
      <c r="D29" s="24" t="s">
        <v>811</v>
      </c>
      <c r="E29" s="107">
        <v>2696</v>
      </c>
      <c r="F29" s="107">
        <v>0</v>
      </c>
      <c r="G29" s="25">
        <v>0</v>
      </c>
      <c r="H29" s="26">
        <f t="shared" si="0"/>
        <v>6.5722434850442463E-2</v>
      </c>
      <c r="I29" s="26">
        <f t="shared" si="3"/>
        <v>6.8745666853562808</v>
      </c>
      <c r="J29" s="26">
        <f>I29*0.26417</f>
        <v>1.8160542812705689</v>
      </c>
      <c r="K29" s="107">
        <v>24</v>
      </c>
      <c r="L29" s="107">
        <v>247</v>
      </c>
      <c r="M29" s="107" t="s">
        <v>793</v>
      </c>
      <c r="N29" s="107"/>
    </row>
    <row r="30" spans="1:14" x14ac:dyDescent="0.15">
      <c r="A30" s="107">
        <v>1827</v>
      </c>
      <c r="B30" s="107">
        <v>24463</v>
      </c>
      <c r="C30" s="24" t="s">
        <v>810</v>
      </c>
      <c r="D30" s="24" t="s">
        <v>811</v>
      </c>
      <c r="E30" s="107">
        <v>2156</v>
      </c>
      <c r="F30" s="107">
        <v>0</v>
      </c>
      <c r="G30" s="25">
        <v>0</v>
      </c>
      <c r="H30" s="26">
        <f t="shared" si="0"/>
        <v>8.813309896578507E-2</v>
      </c>
      <c r="I30" s="26">
        <f t="shared" si="3"/>
        <v>9.2187221518211171</v>
      </c>
      <c r="J30" s="26">
        <f>I30*0.26417</f>
        <v>2.4353098308465846</v>
      </c>
      <c r="K30" s="107">
        <v>35</v>
      </c>
      <c r="L30" s="107">
        <v>92</v>
      </c>
      <c r="M30" s="107" t="s">
        <v>793</v>
      </c>
      <c r="N30" s="107"/>
    </row>
    <row r="31" spans="1:14" x14ac:dyDescent="0.15">
      <c r="A31" s="107">
        <v>1827</v>
      </c>
      <c r="B31" s="107">
        <v>72</v>
      </c>
      <c r="C31" s="24" t="s">
        <v>812</v>
      </c>
      <c r="D31" s="24" t="s">
        <v>813</v>
      </c>
      <c r="E31" s="107">
        <v>36</v>
      </c>
      <c r="F31" s="107">
        <v>0</v>
      </c>
      <c r="G31" s="25">
        <v>0</v>
      </c>
      <c r="H31" s="26">
        <f t="shared" si="0"/>
        <v>0.5</v>
      </c>
      <c r="I31" s="26">
        <f t="shared" si="3"/>
        <v>52.3</v>
      </c>
      <c r="J31" s="107"/>
      <c r="K31" s="107">
        <v>35</v>
      </c>
      <c r="L31" s="107">
        <v>82</v>
      </c>
      <c r="M31" s="107" t="s">
        <v>799</v>
      </c>
      <c r="N31" s="107"/>
    </row>
    <row r="32" spans="1:14" x14ac:dyDescent="0.15">
      <c r="A32" s="107">
        <v>1825</v>
      </c>
      <c r="B32" s="107">
        <v>2500</v>
      </c>
      <c r="C32" s="24" t="s">
        <v>239</v>
      </c>
      <c r="D32" s="24" t="s">
        <v>814</v>
      </c>
      <c r="E32" s="107">
        <v>55</v>
      </c>
      <c r="F32" s="107">
        <v>0</v>
      </c>
      <c r="G32" s="25">
        <v>0</v>
      </c>
      <c r="H32" s="26">
        <f t="shared" si="0"/>
        <v>2.1999999999999999E-2</v>
      </c>
      <c r="I32" s="26">
        <f t="shared" si="3"/>
        <v>2.3011999999999997</v>
      </c>
      <c r="J32" s="26">
        <f>I32*2.2046</f>
        <v>5.0732255199999994</v>
      </c>
      <c r="K32" s="107">
        <v>24</v>
      </c>
      <c r="L32" s="107">
        <v>242</v>
      </c>
      <c r="M32" s="107" t="s">
        <v>799</v>
      </c>
      <c r="N32" s="107"/>
    </row>
    <row r="33" spans="1:13" x14ac:dyDescent="0.15">
      <c r="A33" s="107">
        <v>1827</v>
      </c>
      <c r="B33" s="107">
        <v>1037</v>
      </c>
      <c r="C33" s="24" t="s">
        <v>815</v>
      </c>
      <c r="D33" s="24" t="s">
        <v>814</v>
      </c>
      <c r="E33" s="107">
        <v>1483</v>
      </c>
      <c r="F33" s="107">
        <v>0</v>
      </c>
      <c r="G33" s="25">
        <v>0</v>
      </c>
      <c r="H33" s="26">
        <f t="shared" si="0"/>
        <v>1.4300867888138862</v>
      </c>
      <c r="I33" s="26">
        <f t="shared" si="3"/>
        <v>149.58707810993249</v>
      </c>
      <c r="J33" s="107"/>
      <c r="K33" s="107">
        <v>35</v>
      </c>
      <c r="L33" s="107">
        <v>82</v>
      </c>
      <c r="M33" s="107" t="s">
        <v>799</v>
      </c>
    </row>
    <row r="34" spans="1:13" x14ac:dyDescent="0.15">
      <c r="A34" s="107">
        <v>1827</v>
      </c>
      <c r="B34" s="107">
        <v>250</v>
      </c>
      <c r="C34" s="24" t="s">
        <v>239</v>
      </c>
      <c r="D34" s="24" t="s">
        <v>814</v>
      </c>
      <c r="E34" s="107">
        <v>12</v>
      </c>
      <c r="F34" s="107">
        <v>0</v>
      </c>
      <c r="G34" s="25">
        <v>0</v>
      </c>
      <c r="H34" s="26">
        <f t="shared" si="0"/>
        <v>4.8000000000000001E-2</v>
      </c>
      <c r="I34" s="26">
        <f t="shared" si="3"/>
        <v>5.0207999999999995</v>
      </c>
      <c r="J34" s="26">
        <f>I34*2.2046</f>
        <v>11.068855679999999</v>
      </c>
      <c r="K34" s="107">
        <v>35</v>
      </c>
      <c r="L34" s="107">
        <v>92</v>
      </c>
      <c r="M34" s="107" t="s">
        <v>793</v>
      </c>
    </row>
    <row r="35" spans="1:13" x14ac:dyDescent="0.15">
      <c r="A35" s="107">
        <v>1811</v>
      </c>
      <c r="B35" s="107">
        <v>100</v>
      </c>
      <c r="C35" s="24" t="s">
        <v>239</v>
      </c>
      <c r="D35" s="24" t="s">
        <v>816</v>
      </c>
      <c r="E35" s="107">
        <v>1</v>
      </c>
      <c r="F35" s="107">
        <v>9</v>
      </c>
      <c r="G35" s="25">
        <v>9</v>
      </c>
      <c r="H35" s="26">
        <f t="shared" si="0"/>
        <v>1.4875000000000001E-2</v>
      </c>
      <c r="I35" s="26">
        <f>H35*111.4</f>
        <v>1.6570750000000003</v>
      </c>
      <c r="J35" s="26">
        <f>I35*2.2046</f>
        <v>3.6531875450000006</v>
      </c>
      <c r="K35" s="107">
        <v>8</v>
      </c>
      <c r="L35" s="107">
        <v>209</v>
      </c>
      <c r="M35" s="107"/>
    </row>
    <row r="36" spans="1:13" x14ac:dyDescent="0.15">
      <c r="A36" s="107">
        <v>1827</v>
      </c>
      <c r="B36" s="107">
        <v>226877</v>
      </c>
      <c r="C36" s="24" t="s">
        <v>239</v>
      </c>
      <c r="D36" s="24" t="s">
        <v>816</v>
      </c>
      <c r="E36" s="107">
        <v>9780</v>
      </c>
      <c r="F36" s="107">
        <v>0</v>
      </c>
      <c r="G36" s="25">
        <v>0</v>
      </c>
      <c r="H36" s="26">
        <f t="shared" si="0"/>
        <v>4.310705800940598E-2</v>
      </c>
      <c r="I36" s="26">
        <f>H36*104.6</f>
        <v>4.5089982677838654</v>
      </c>
      <c r="J36" s="26">
        <f>I36*2.2046</f>
        <v>9.9405375811563097</v>
      </c>
      <c r="K36" s="107">
        <v>35</v>
      </c>
      <c r="L36" s="107">
        <v>82</v>
      </c>
      <c r="M36" s="107" t="s">
        <v>799</v>
      </c>
    </row>
    <row r="37" spans="1:13" x14ac:dyDescent="0.15">
      <c r="A37" s="107">
        <v>1827</v>
      </c>
      <c r="B37" s="107">
        <v>817220</v>
      </c>
      <c r="C37" s="24" t="s">
        <v>239</v>
      </c>
      <c r="D37" s="24" t="s">
        <v>234</v>
      </c>
      <c r="E37" s="107">
        <v>2760</v>
      </c>
      <c r="F37" s="107">
        <v>0</v>
      </c>
      <c r="G37" s="25">
        <v>0</v>
      </c>
      <c r="H37" s="26">
        <f t="shared" si="0"/>
        <v>3.3773035412740754E-3</v>
      </c>
      <c r="I37" s="26">
        <f>H37*104.6</f>
        <v>0.35326595041726827</v>
      </c>
      <c r="J37" s="26">
        <f>I37*2.2046</f>
        <v>0.77881011428990965</v>
      </c>
      <c r="K37" s="107">
        <v>35</v>
      </c>
      <c r="L37" s="107">
        <v>82</v>
      </c>
      <c r="M37" s="107" t="s">
        <v>799</v>
      </c>
    </row>
    <row r="38" spans="1:13" x14ac:dyDescent="0.15">
      <c r="A38" s="107">
        <v>1827</v>
      </c>
      <c r="B38" s="107">
        <v>9000</v>
      </c>
      <c r="C38" s="24" t="s">
        <v>239</v>
      </c>
      <c r="D38" s="24" t="s">
        <v>234</v>
      </c>
      <c r="E38" s="107">
        <v>40</v>
      </c>
      <c r="F38" s="107">
        <v>0</v>
      </c>
      <c r="G38" s="25">
        <v>0</v>
      </c>
      <c r="H38" s="26">
        <f t="shared" si="0"/>
        <v>4.4444444444444444E-3</v>
      </c>
      <c r="I38" s="26">
        <f>H38*104.6</f>
        <v>0.46488888888888885</v>
      </c>
      <c r="J38" s="26">
        <f>I38*2.2046</f>
        <v>1.0248940444444443</v>
      </c>
      <c r="K38" s="107">
        <v>35</v>
      </c>
      <c r="L38" s="107">
        <v>92</v>
      </c>
      <c r="M38" s="107" t="s">
        <v>793</v>
      </c>
    </row>
  </sheetData>
  <sortState ref="A2:M38">
    <sortCondition ref="D2:D38"/>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pane ySplit="1" topLeftCell="A2" activePane="bottomLeft" state="frozen"/>
      <selection activeCell="C17" sqref="C17"/>
      <selection pane="bottomLeft" activeCell="C17" sqref="C17"/>
    </sheetView>
  </sheetViews>
  <sheetFormatPr baseColWidth="10" defaultColWidth="8.83203125" defaultRowHeight="13" x14ac:dyDescent="0.15"/>
  <cols>
    <col min="1" max="3" width="8.83203125" style="18"/>
    <col min="4" max="4" width="23.6640625" style="18" customWidth="1"/>
    <col min="5" max="7" width="8.83203125" style="18"/>
    <col min="8" max="8" width="12.5" style="18" customWidth="1"/>
    <col min="9" max="16384" width="8.83203125" style="18"/>
  </cols>
  <sheetData>
    <row r="1" spans="1:11" s="22" customFormat="1" x14ac:dyDescent="0.15">
      <c r="A1" s="22" t="s">
        <v>778</v>
      </c>
      <c r="B1" s="22" t="s">
        <v>779</v>
      </c>
      <c r="C1" s="22" t="s">
        <v>780</v>
      </c>
      <c r="D1" s="22" t="s">
        <v>781</v>
      </c>
      <c r="E1" s="22" t="s">
        <v>817</v>
      </c>
      <c r="F1" s="22" t="s">
        <v>818</v>
      </c>
      <c r="G1" s="22" t="s">
        <v>819</v>
      </c>
      <c r="H1" s="22" t="s">
        <v>820</v>
      </c>
      <c r="I1" s="22" t="s">
        <v>788</v>
      </c>
      <c r="J1" s="22" t="s">
        <v>789</v>
      </c>
    </row>
    <row r="2" spans="1:11" x14ac:dyDescent="0.15">
      <c r="A2" s="18">
        <v>1801</v>
      </c>
      <c r="B2" s="18">
        <v>10</v>
      </c>
      <c r="C2" s="19" t="s">
        <v>791</v>
      </c>
      <c r="D2" s="19" t="s">
        <v>242</v>
      </c>
      <c r="E2" s="18">
        <v>27</v>
      </c>
      <c r="F2" s="18">
        <v>0</v>
      </c>
      <c r="G2" s="18">
        <v>0</v>
      </c>
      <c r="H2" s="18">
        <f t="shared" ref="H2:H40" si="0">((E2+(F2/8)+(G2/48))/B2)</f>
        <v>2.7</v>
      </c>
      <c r="I2" s="19">
        <v>3</v>
      </c>
      <c r="J2" s="18">
        <v>397</v>
      </c>
    </row>
    <row r="3" spans="1:11" x14ac:dyDescent="0.15">
      <c r="A3" s="18">
        <v>1795</v>
      </c>
      <c r="B3" s="18">
        <v>156</v>
      </c>
      <c r="C3" s="18" t="s">
        <v>791</v>
      </c>
      <c r="D3" s="18" t="s">
        <v>821</v>
      </c>
      <c r="E3" s="18">
        <v>624</v>
      </c>
      <c r="F3" s="18">
        <v>0</v>
      </c>
      <c r="G3" s="18">
        <v>0</v>
      </c>
      <c r="H3" s="18">
        <f t="shared" si="0"/>
        <v>4</v>
      </c>
      <c r="I3" s="18">
        <v>1</v>
      </c>
      <c r="J3" s="18">
        <v>216</v>
      </c>
    </row>
    <row r="4" spans="1:11" x14ac:dyDescent="0.15">
      <c r="A4" s="18">
        <v>1797</v>
      </c>
      <c r="B4" s="18">
        <v>1</v>
      </c>
      <c r="C4" s="19" t="s">
        <v>791</v>
      </c>
      <c r="D4" s="19" t="s">
        <v>821</v>
      </c>
      <c r="E4" s="18">
        <v>4</v>
      </c>
      <c r="F4" s="18">
        <v>0</v>
      </c>
      <c r="G4" s="18">
        <v>0</v>
      </c>
      <c r="H4" s="18">
        <f t="shared" si="0"/>
        <v>4</v>
      </c>
      <c r="I4" s="19">
        <v>2</v>
      </c>
      <c r="J4" s="19">
        <v>237</v>
      </c>
    </row>
    <row r="5" spans="1:11" x14ac:dyDescent="0.15">
      <c r="A5" s="18">
        <v>1800</v>
      </c>
      <c r="B5" s="20">
        <v>2.5</v>
      </c>
      <c r="C5" s="19" t="s">
        <v>239</v>
      </c>
      <c r="D5" s="19" t="s">
        <v>822</v>
      </c>
      <c r="E5" s="18">
        <v>0</v>
      </c>
      <c r="F5" s="18">
        <v>1</v>
      </c>
      <c r="G5" s="18">
        <v>0</v>
      </c>
      <c r="H5" s="18">
        <f t="shared" si="0"/>
        <v>0.05</v>
      </c>
      <c r="I5" s="19">
        <v>3</v>
      </c>
      <c r="J5" s="19">
        <v>195</v>
      </c>
    </row>
    <row r="6" spans="1:11" x14ac:dyDescent="0.15">
      <c r="A6" s="18">
        <v>1795</v>
      </c>
      <c r="B6" s="18">
        <v>1</v>
      </c>
      <c r="C6" s="18" t="s">
        <v>823</v>
      </c>
      <c r="D6" s="18" t="s">
        <v>824</v>
      </c>
      <c r="E6" s="18">
        <v>80</v>
      </c>
      <c r="F6" s="18">
        <v>0</v>
      </c>
      <c r="G6" s="18">
        <v>0</v>
      </c>
      <c r="H6" s="18">
        <f t="shared" si="0"/>
        <v>80</v>
      </c>
      <c r="I6" s="18">
        <v>1</v>
      </c>
      <c r="J6" s="18">
        <v>216</v>
      </c>
    </row>
    <row r="7" spans="1:11" x14ac:dyDescent="0.15">
      <c r="A7" s="18">
        <v>1795</v>
      </c>
      <c r="B7" s="18">
        <v>197180</v>
      </c>
      <c r="C7" s="18" t="s">
        <v>239</v>
      </c>
      <c r="D7" s="18" t="s">
        <v>797</v>
      </c>
      <c r="E7" s="18">
        <v>3765</v>
      </c>
      <c r="F7" s="18">
        <v>5</v>
      </c>
      <c r="G7" s="18">
        <v>2</v>
      </c>
      <c r="H7" s="18">
        <f t="shared" si="0"/>
        <v>1.9097609629103694E-2</v>
      </c>
      <c r="I7" s="18">
        <v>1</v>
      </c>
      <c r="J7" s="18">
        <v>216</v>
      </c>
    </row>
    <row r="8" spans="1:11" x14ac:dyDescent="0.15">
      <c r="A8" s="18">
        <v>1801</v>
      </c>
      <c r="B8" s="19">
        <v>1</v>
      </c>
      <c r="C8" s="19" t="s">
        <v>239</v>
      </c>
      <c r="D8" s="19" t="s">
        <v>240</v>
      </c>
      <c r="E8" s="18">
        <v>0</v>
      </c>
      <c r="F8" s="18">
        <v>0</v>
      </c>
      <c r="G8" s="18">
        <v>15</v>
      </c>
      <c r="H8" s="18">
        <f t="shared" si="0"/>
        <v>0.3125</v>
      </c>
      <c r="I8" s="19">
        <v>3</v>
      </c>
      <c r="J8" s="18">
        <v>397</v>
      </c>
    </row>
    <row r="9" spans="1:11" x14ac:dyDescent="0.15">
      <c r="A9" s="18">
        <v>1795</v>
      </c>
      <c r="B9" s="18">
        <v>730</v>
      </c>
      <c r="C9" s="19" t="s">
        <v>825</v>
      </c>
      <c r="D9" s="18" t="s">
        <v>798</v>
      </c>
      <c r="E9" s="18">
        <v>15</v>
      </c>
      <c r="F9" s="18">
        <v>1</v>
      </c>
      <c r="G9" s="18">
        <v>4</v>
      </c>
      <c r="H9" s="18">
        <f t="shared" si="0"/>
        <v>2.0833333333333336E-2</v>
      </c>
      <c r="I9" s="18">
        <v>1</v>
      </c>
      <c r="J9" s="18">
        <v>216</v>
      </c>
      <c r="K9" s="18" t="s">
        <v>826</v>
      </c>
    </row>
    <row r="10" spans="1:11" x14ac:dyDescent="0.15">
      <c r="A10" s="18">
        <v>1795</v>
      </c>
      <c r="B10" s="18">
        <v>31</v>
      </c>
      <c r="C10" s="18" t="s">
        <v>825</v>
      </c>
      <c r="D10" s="18" t="s">
        <v>827</v>
      </c>
      <c r="E10" s="18">
        <v>248</v>
      </c>
      <c r="F10" s="18">
        <v>0</v>
      </c>
      <c r="G10" s="18">
        <v>0</v>
      </c>
      <c r="H10" s="18">
        <f t="shared" si="0"/>
        <v>8</v>
      </c>
      <c r="I10" s="18">
        <v>1</v>
      </c>
      <c r="J10" s="18">
        <v>216</v>
      </c>
    </row>
    <row r="11" spans="1:11" x14ac:dyDescent="0.15">
      <c r="A11" s="18">
        <v>1795</v>
      </c>
      <c r="B11" s="18">
        <v>27</v>
      </c>
      <c r="C11" s="18" t="s">
        <v>825</v>
      </c>
      <c r="D11" s="18" t="s">
        <v>828</v>
      </c>
      <c r="E11" s="18">
        <v>189</v>
      </c>
      <c r="F11" s="18">
        <v>0</v>
      </c>
      <c r="G11" s="18">
        <v>0</v>
      </c>
      <c r="H11" s="18">
        <f t="shared" si="0"/>
        <v>7</v>
      </c>
      <c r="I11" s="18">
        <v>1</v>
      </c>
      <c r="J11" s="18">
        <v>216</v>
      </c>
    </row>
    <row r="12" spans="1:11" x14ac:dyDescent="0.15">
      <c r="A12" s="18">
        <v>1795</v>
      </c>
      <c r="B12" s="18">
        <v>299</v>
      </c>
      <c r="C12" s="18" t="s">
        <v>825</v>
      </c>
      <c r="D12" s="18" t="s">
        <v>829</v>
      </c>
      <c r="E12" s="18">
        <v>4485</v>
      </c>
      <c r="F12" s="18">
        <v>0</v>
      </c>
      <c r="G12" s="18">
        <v>0</v>
      </c>
      <c r="H12" s="18">
        <f t="shared" si="0"/>
        <v>15</v>
      </c>
      <c r="I12" s="18">
        <v>1</v>
      </c>
      <c r="J12" s="18">
        <v>216</v>
      </c>
    </row>
    <row r="13" spans="1:11" x14ac:dyDescent="0.15">
      <c r="A13" s="18">
        <v>1795</v>
      </c>
      <c r="B13" s="18">
        <v>117</v>
      </c>
      <c r="C13" s="18" t="s">
        <v>825</v>
      </c>
      <c r="D13" s="18" t="s">
        <v>830</v>
      </c>
      <c r="E13" s="18">
        <v>1404</v>
      </c>
      <c r="F13" s="18">
        <v>0</v>
      </c>
      <c r="G13" s="18">
        <v>0</v>
      </c>
      <c r="H13" s="18">
        <f t="shared" si="0"/>
        <v>12</v>
      </c>
      <c r="I13" s="18">
        <v>1</v>
      </c>
      <c r="J13" s="18">
        <v>216</v>
      </c>
    </row>
    <row r="14" spans="1:11" x14ac:dyDescent="0.15">
      <c r="A14" s="18">
        <v>1797</v>
      </c>
      <c r="B14" s="19">
        <v>1</v>
      </c>
      <c r="C14" s="19" t="s">
        <v>831</v>
      </c>
      <c r="D14" s="19" t="s">
        <v>832</v>
      </c>
      <c r="E14" s="18">
        <v>1</v>
      </c>
      <c r="F14" s="18">
        <v>0</v>
      </c>
      <c r="G14" s="18">
        <v>0</v>
      </c>
      <c r="H14" s="18">
        <f t="shared" si="0"/>
        <v>1</v>
      </c>
      <c r="I14" s="19">
        <v>2</v>
      </c>
      <c r="J14" s="19">
        <v>237</v>
      </c>
    </row>
    <row r="15" spans="1:11" x14ac:dyDescent="0.15">
      <c r="A15" s="18">
        <v>1798</v>
      </c>
      <c r="B15" s="18">
        <v>1</v>
      </c>
      <c r="C15" s="19" t="s">
        <v>831</v>
      </c>
      <c r="D15" s="19" t="s">
        <v>832</v>
      </c>
      <c r="E15" s="18">
        <v>0</v>
      </c>
      <c r="F15" s="18">
        <v>7.5</v>
      </c>
      <c r="G15" s="18">
        <v>0</v>
      </c>
      <c r="H15" s="18">
        <f t="shared" si="0"/>
        <v>0.9375</v>
      </c>
      <c r="I15" s="19">
        <v>2</v>
      </c>
      <c r="J15" s="19">
        <v>237</v>
      </c>
    </row>
    <row r="16" spans="1:11" x14ac:dyDescent="0.15">
      <c r="A16" s="18">
        <v>1797</v>
      </c>
      <c r="B16" s="18">
        <v>1</v>
      </c>
      <c r="C16" s="19" t="s">
        <v>833</v>
      </c>
      <c r="D16" s="19" t="s">
        <v>806</v>
      </c>
      <c r="E16" s="18">
        <v>4</v>
      </c>
      <c r="F16" s="18">
        <v>0</v>
      </c>
      <c r="G16" s="18">
        <v>0</v>
      </c>
      <c r="H16" s="18">
        <f t="shared" si="0"/>
        <v>4</v>
      </c>
      <c r="I16" s="19">
        <v>2</v>
      </c>
      <c r="J16" s="19">
        <v>237</v>
      </c>
    </row>
    <row r="17" spans="1:11" x14ac:dyDescent="0.15">
      <c r="A17" s="18">
        <v>1798</v>
      </c>
      <c r="B17" s="18">
        <v>1</v>
      </c>
      <c r="C17" s="19" t="s">
        <v>833</v>
      </c>
      <c r="D17" s="19" t="s">
        <v>806</v>
      </c>
      <c r="E17" s="18">
        <v>7</v>
      </c>
      <c r="F17" s="18">
        <v>0</v>
      </c>
      <c r="G17" s="18">
        <v>0</v>
      </c>
      <c r="H17" s="18">
        <f t="shared" si="0"/>
        <v>7</v>
      </c>
      <c r="I17" s="19">
        <v>2</v>
      </c>
      <c r="J17" s="19">
        <v>237</v>
      </c>
    </row>
    <row r="18" spans="1:11" x14ac:dyDescent="0.15">
      <c r="A18" s="18">
        <v>1801</v>
      </c>
      <c r="B18" s="18">
        <v>1</v>
      </c>
      <c r="C18" s="19" t="s">
        <v>815</v>
      </c>
      <c r="D18" s="19" t="s">
        <v>834</v>
      </c>
      <c r="E18" s="18">
        <v>7</v>
      </c>
      <c r="F18" s="18">
        <v>0</v>
      </c>
      <c r="G18" s="18">
        <v>0</v>
      </c>
      <c r="H18" s="18">
        <f t="shared" si="0"/>
        <v>7</v>
      </c>
      <c r="I18" s="19">
        <v>3</v>
      </c>
      <c r="J18" s="18">
        <v>397</v>
      </c>
    </row>
    <row r="19" spans="1:11" x14ac:dyDescent="0.15">
      <c r="A19" s="18">
        <v>1795</v>
      </c>
      <c r="B19" s="18">
        <v>120</v>
      </c>
      <c r="C19" s="18" t="s">
        <v>831</v>
      </c>
      <c r="D19" s="18" t="s">
        <v>835</v>
      </c>
      <c r="E19" s="18">
        <v>45</v>
      </c>
      <c r="F19" s="18">
        <v>0</v>
      </c>
      <c r="G19" s="18">
        <v>0</v>
      </c>
      <c r="H19" s="18">
        <f t="shared" si="0"/>
        <v>0.375</v>
      </c>
      <c r="I19" s="18">
        <v>1</v>
      </c>
      <c r="J19" s="18">
        <v>216</v>
      </c>
    </row>
    <row r="20" spans="1:11" x14ac:dyDescent="0.15">
      <c r="A20" s="18">
        <v>1795</v>
      </c>
      <c r="B20" s="18">
        <v>156</v>
      </c>
      <c r="C20" s="18" t="s">
        <v>791</v>
      </c>
      <c r="D20" s="18" t="s">
        <v>836</v>
      </c>
      <c r="E20" s="18">
        <v>468</v>
      </c>
      <c r="F20" s="18">
        <v>0</v>
      </c>
      <c r="G20" s="18">
        <v>0</v>
      </c>
      <c r="H20" s="18">
        <f t="shared" si="0"/>
        <v>3</v>
      </c>
      <c r="I20" s="18">
        <v>1</v>
      </c>
      <c r="J20" s="18">
        <v>216</v>
      </c>
    </row>
    <row r="21" spans="1:11" x14ac:dyDescent="0.15">
      <c r="A21" s="18">
        <v>1795</v>
      </c>
      <c r="B21" s="18">
        <v>129575</v>
      </c>
      <c r="C21" s="18" t="s">
        <v>239</v>
      </c>
      <c r="D21" s="18" t="s">
        <v>837</v>
      </c>
      <c r="E21" s="18">
        <v>4049</v>
      </c>
      <c r="F21" s="18">
        <v>7</v>
      </c>
      <c r="G21" s="18">
        <v>4</v>
      </c>
      <c r="H21" s="18">
        <f t="shared" si="0"/>
        <v>3.1255707762557081E-2</v>
      </c>
      <c r="I21" s="18">
        <v>1</v>
      </c>
      <c r="J21" s="18">
        <v>216</v>
      </c>
    </row>
    <row r="22" spans="1:11" x14ac:dyDescent="0.15">
      <c r="A22" s="18">
        <v>1801</v>
      </c>
      <c r="B22" s="18">
        <v>1</v>
      </c>
      <c r="C22" s="19" t="s">
        <v>239</v>
      </c>
      <c r="D22" s="19" t="s">
        <v>837</v>
      </c>
      <c r="E22" s="18">
        <v>0</v>
      </c>
      <c r="F22" s="18">
        <v>0</v>
      </c>
      <c r="G22" s="18">
        <v>2</v>
      </c>
      <c r="H22" s="18">
        <f t="shared" si="0"/>
        <v>4.1666666666666664E-2</v>
      </c>
      <c r="I22" s="19">
        <v>3</v>
      </c>
      <c r="J22" s="18">
        <v>397</v>
      </c>
    </row>
    <row r="23" spans="1:11" x14ac:dyDescent="0.15">
      <c r="A23" s="18">
        <v>1795</v>
      </c>
      <c r="B23" s="18">
        <v>156</v>
      </c>
      <c r="C23" s="18" t="s">
        <v>791</v>
      </c>
      <c r="D23" s="18" t="s">
        <v>813</v>
      </c>
      <c r="E23" s="18">
        <v>780</v>
      </c>
      <c r="F23" s="18">
        <v>0</v>
      </c>
      <c r="G23" s="18">
        <v>0</v>
      </c>
      <c r="H23" s="18">
        <f t="shared" si="0"/>
        <v>5</v>
      </c>
      <c r="I23" s="18">
        <v>1</v>
      </c>
      <c r="J23" s="18">
        <v>216</v>
      </c>
    </row>
    <row r="24" spans="1:11" x14ac:dyDescent="0.15">
      <c r="A24" s="18">
        <f>A23</f>
        <v>1795</v>
      </c>
      <c r="B24" s="18">
        <f>B23</f>
        <v>156</v>
      </c>
      <c r="C24" s="18" t="str">
        <f>C23</f>
        <v>muids</v>
      </c>
      <c r="D24" s="19" t="s">
        <v>813</v>
      </c>
      <c r="E24" s="18">
        <v>5</v>
      </c>
      <c r="F24" s="18">
        <v>0</v>
      </c>
      <c r="G24" s="18">
        <v>0</v>
      </c>
      <c r="H24" s="18">
        <f t="shared" si="0"/>
        <v>3.2051282051282048E-2</v>
      </c>
      <c r="I24" s="19">
        <v>2</v>
      </c>
      <c r="J24" s="19">
        <v>237</v>
      </c>
    </row>
    <row r="25" spans="1:11" x14ac:dyDescent="0.15">
      <c r="A25" s="18">
        <v>1795</v>
      </c>
      <c r="B25" s="18">
        <v>200</v>
      </c>
      <c r="C25" s="18" t="s">
        <v>239</v>
      </c>
      <c r="D25" s="18" t="s">
        <v>838</v>
      </c>
      <c r="E25" s="18">
        <v>90</v>
      </c>
      <c r="F25" s="18">
        <v>0</v>
      </c>
      <c r="G25" s="18">
        <v>0</v>
      </c>
      <c r="H25" s="18">
        <f t="shared" si="0"/>
        <v>0.45</v>
      </c>
      <c r="I25" s="18">
        <v>1</v>
      </c>
      <c r="J25" s="18">
        <v>216</v>
      </c>
    </row>
    <row r="26" spans="1:11" x14ac:dyDescent="0.15">
      <c r="A26" s="18">
        <v>1795</v>
      </c>
      <c r="B26" s="18">
        <v>3600</v>
      </c>
      <c r="C26" s="18" t="s">
        <v>239</v>
      </c>
      <c r="D26" s="18" t="s">
        <v>839</v>
      </c>
      <c r="E26" s="18">
        <v>1800</v>
      </c>
      <c r="F26" s="18">
        <v>0</v>
      </c>
      <c r="G26" s="18">
        <v>0</v>
      </c>
      <c r="H26" s="18">
        <f t="shared" si="0"/>
        <v>0.5</v>
      </c>
      <c r="I26" s="18">
        <v>1</v>
      </c>
      <c r="J26" s="18">
        <v>216</v>
      </c>
    </row>
    <row r="27" spans="1:11" x14ac:dyDescent="0.15">
      <c r="A27" s="18">
        <v>1801</v>
      </c>
      <c r="B27" s="18">
        <v>1</v>
      </c>
      <c r="C27" s="19" t="s">
        <v>840</v>
      </c>
      <c r="D27" s="19" t="s">
        <v>839</v>
      </c>
      <c r="E27" s="18">
        <v>12</v>
      </c>
      <c r="F27" s="18">
        <v>0</v>
      </c>
      <c r="G27" s="18">
        <v>0</v>
      </c>
      <c r="H27" s="18">
        <f t="shared" si="0"/>
        <v>12</v>
      </c>
      <c r="I27" s="19">
        <v>3</v>
      </c>
      <c r="J27" s="18">
        <v>397</v>
      </c>
    </row>
    <row r="28" spans="1:11" x14ac:dyDescent="0.15">
      <c r="A28" s="18">
        <v>1795</v>
      </c>
      <c r="B28" s="18">
        <v>12</v>
      </c>
      <c r="C28" s="18" t="s">
        <v>239</v>
      </c>
      <c r="D28" s="18" t="s">
        <v>814</v>
      </c>
      <c r="E28" s="18">
        <v>3</v>
      </c>
      <c r="F28" s="18">
        <v>0</v>
      </c>
      <c r="G28" s="18">
        <v>0</v>
      </c>
      <c r="H28" s="18">
        <f t="shared" si="0"/>
        <v>0.25</v>
      </c>
      <c r="I28" s="18">
        <v>1</v>
      </c>
      <c r="J28" s="18">
        <v>216</v>
      </c>
    </row>
    <row r="29" spans="1:11" x14ac:dyDescent="0.15">
      <c r="A29" s="18">
        <v>1801</v>
      </c>
      <c r="B29" s="19">
        <v>1</v>
      </c>
      <c r="C29" s="19" t="s">
        <v>239</v>
      </c>
      <c r="D29" s="19" t="s">
        <v>814</v>
      </c>
      <c r="E29" s="18">
        <v>0</v>
      </c>
      <c r="F29" s="18">
        <v>0</v>
      </c>
      <c r="G29" s="18">
        <v>18</v>
      </c>
      <c r="H29" s="18">
        <f t="shared" si="0"/>
        <v>0.375</v>
      </c>
      <c r="I29" s="19">
        <v>3</v>
      </c>
      <c r="J29" s="18">
        <v>397</v>
      </c>
    </row>
    <row r="30" spans="1:11" x14ac:dyDescent="0.15">
      <c r="A30" s="18">
        <v>1795</v>
      </c>
      <c r="B30" s="18">
        <v>360</v>
      </c>
      <c r="C30" s="18" t="s">
        <v>239</v>
      </c>
      <c r="D30" s="18" t="s">
        <v>841</v>
      </c>
      <c r="E30" s="18">
        <v>90</v>
      </c>
      <c r="F30" s="18">
        <v>0</v>
      </c>
      <c r="G30" s="18">
        <v>0</v>
      </c>
      <c r="H30" s="18">
        <f t="shared" si="0"/>
        <v>0.25</v>
      </c>
      <c r="I30" s="18">
        <v>1</v>
      </c>
      <c r="J30" s="18">
        <v>216</v>
      </c>
    </row>
    <row r="31" spans="1:11" x14ac:dyDescent="0.15">
      <c r="A31" s="18">
        <v>1801</v>
      </c>
      <c r="B31" s="19">
        <v>1</v>
      </c>
      <c r="C31" s="19" t="s">
        <v>815</v>
      </c>
      <c r="D31" s="19" t="s">
        <v>842</v>
      </c>
      <c r="E31" s="18">
        <v>19</v>
      </c>
      <c r="F31" s="18">
        <v>0</v>
      </c>
      <c r="G31" s="18">
        <v>0</v>
      </c>
      <c r="H31" s="18">
        <f t="shared" si="0"/>
        <v>19</v>
      </c>
      <c r="I31" s="19">
        <v>3</v>
      </c>
      <c r="J31" s="18">
        <v>397</v>
      </c>
      <c r="K31" s="19" t="s">
        <v>843</v>
      </c>
    </row>
    <row r="32" spans="1:11" x14ac:dyDescent="0.15">
      <c r="A32" s="18">
        <v>1795</v>
      </c>
      <c r="B32" s="18">
        <v>6</v>
      </c>
      <c r="C32" s="18" t="s">
        <v>239</v>
      </c>
      <c r="D32" s="18" t="s">
        <v>844</v>
      </c>
      <c r="E32" s="18">
        <v>4</v>
      </c>
      <c r="F32" s="18">
        <v>4</v>
      </c>
      <c r="G32" s="18">
        <v>0</v>
      </c>
      <c r="H32" s="18">
        <f t="shared" si="0"/>
        <v>0.75</v>
      </c>
      <c r="I32" s="18">
        <v>1</v>
      </c>
      <c r="J32" s="18">
        <v>216</v>
      </c>
    </row>
    <row r="33" spans="1:11" x14ac:dyDescent="0.15">
      <c r="A33" s="18">
        <v>1795</v>
      </c>
      <c r="B33" s="18">
        <v>2.5</v>
      </c>
      <c r="C33" s="18" t="s">
        <v>823</v>
      </c>
      <c r="D33" s="18" t="s">
        <v>845</v>
      </c>
      <c r="E33" s="18">
        <v>63</v>
      </c>
      <c r="F33" s="18">
        <v>0</v>
      </c>
      <c r="G33" s="18">
        <v>0</v>
      </c>
      <c r="H33" s="18">
        <f t="shared" si="0"/>
        <v>25.2</v>
      </c>
      <c r="I33" s="18">
        <v>1</v>
      </c>
      <c r="J33" s="18">
        <v>216</v>
      </c>
    </row>
    <row r="34" spans="1:11" x14ac:dyDescent="0.15">
      <c r="A34" s="18">
        <v>1797</v>
      </c>
      <c r="B34" s="19">
        <v>10</v>
      </c>
      <c r="C34" s="19" t="s">
        <v>791</v>
      </c>
      <c r="D34" s="19" t="s">
        <v>234</v>
      </c>
      <c r="E34" s="18">
        <v>55</v>
      </c>
      <c r="F34" s="18">
        <v>0</v>
      </c>
      <c r="G34" s="18">
        <v>0</v>
      </c>
      <c r="H34" s="18">
        <f t="shared" si="0"/>
        <v>5.5</v>
      </c>
      <c r="I34" s="19">
        <v>2</v>
      </c>
      <c r="J34" s="19">
        <v>119</v>
      </c>
    </row>
    <row r="35" spans="1:11" x14ac:dyDescent="0.15">
      <c r="A35" s="18">
        <v>1797</v>
      </c>
      <c r="B35" s="19">
        <v>1</v>
      </c>
      <c r="C35" s="19" t="s">
        <v>791</v>
      </c>
      <c r="D35" s="19" t="s">
        <v>234</v>
      </c>
      <c r="E35" s="18">
        <v>2</v>
      </c>
      <c r="F35" s="18">
        <v>4</v>
      </c>
      <c r="G35" s="18">
        <v>0</v>
      </c>
      <c r="H35" s="18">
        <f t="shared" si="0"/>
        <v>2.5</v>
      </c>
      <c r="I35" s="19">
        <v>2</v>
      </c>
      <c r="J35" s="19">
        <v>237</v>
      </c>
    </row>
    <row r="36" spans="1:11" x14ac:dyDescent="0.15">
      <c r="A36" s="18">
        <v>1798</v>
      </c>
      <c r="B36" s="19">
        <v>1</v>
      </c>
      <c r="C36" s="19" t="s">
        <v>791</v>
      </c>
      <c r="D36" s="19" t="s">
        <v>234</v>
      </c>
      <c r="E36" s="18">
        <v>3</v>
      </c>
      <c r="F36" s="18">
        <v>2</v>
      </c>
      <c r="G36" s="18">
        <v>0</v>
      </c>
      <c r="H36" s="18">
        <f t="shared" si="0"/>
        <v>3.25</v>
      </c>
      <c r="I36" s="19">
        <v>2</v>
      </c>
      <c r="J36" s="19">
        <v>237</v>
      </c>
    </row>
    <row r="37" spans="1:11" x14ac:dyDescent="0.15">
      <c r="A37" s="18">
        <v>1801</v>
      </c>
      <c r="B37" s="18">
        <v>10</v>
      </c>
      <c r="C37" s="19" t="s">
        <v>791</v>
      </c>
      <c r="D37" s="19" t="s">
        <v>234</v>
      </c>
      <c r="E37" s="18">
        <v>52.5</v>
      </c>
      <c r="F37" s="18">
        <v>0</v>
      </c>
      <c r="G37" s="18">
        <v>0</v>
      </c>
      <c r="H37" s="18">
        <f t="shared" si="0"/>
        <v>5.25</v>
      </c>
      <c r="I37" s="19">
        <v>3</v>
      </c>
      <c r="J37" s="18">
        <v>397</v>
      </c>
      <c r="K37" s="19" t="s">
        <v>846</v>
      </c>
    </row>
    <row r="38" spans="1:11" x14ac:dyDescent="0.15">
      <c r="A38" s="18">
        <v>1802</v>
      </c>
      <c r="B38" s="19">
        <v>1000</v>
      </c>
      <c r="C38" s="19" t="s">
        <v>791</v>
      </c>
      <c r="D38" s="19" t="s">
        <v>234</v>
      </c>
      <c r="E38" s="18">
        <v>4300</v>
      </c>
      <c r="F38" s="18">
        <v>0</v>
      </c>
      <c r="G38" s="18">
        <v>0</v>
      </c>
      <c r="H38" s="18">
        <f t="shared" si="0"/>
        <v>4.3</v>
      </c>
      <c r="I38" s="19">
        <v>4</v>
      </c>
      <c r="J38" s="18">
        <v>456</v>
      </c>
    </row>
    <row r="39" spans="1:11" x14ac:dyDescent="0.15">
      <c r="A39" s="18">
        <v>1795</v>
      </c>
      <c r="B39" s="21">
        <v>1.0666666666666667</v>
      </c>
      <c r="C39" s="18" t="s">
        <v>823</v>
      </c>
      <c r="D39" s="18" t="s">
        <v>847</v>
      </c>
      <c r="E39" s="18">
        <v>60</v>
      </c>
      <c r="F39" s="18">
        <v>0</v>
      </c>
      <c r="G39" s="18">
        <v>0</v>
      </c>
      <c r="H39" s="18">
        <f t="shared" si="0"/>
        <v>56.25</v>
      </c>
      <c r="I39" s="18">
        <v>1</v>
      </c>
      <c r="J39" s="18">
        <v>216</v>
      </c>
    </row>
    <row r="40" spans="1:11" x14ac:dyDescent="0.15">
      <c r="A40" s="18">
        <v>1820</v>
      </c>
      <c r="B40" s="18">
        <v>1</v>
      </c>
      <c r="C40" s="19" t="s">
        <v>239</v>
      </c>
      <c r="D40" s="19" t="s">
        <v>822</v>
      </c>
      <c r="E40" s="18">
        <v>0</v>
      </c>
      <c r="F40" s="18">
        <v>2</v>
      </c>
      <c r="G40" s="18">
        <v>0</v>
      </c>
      <c r="H40" s="18">
        <f t="shared" si="0"/>
        <v>0.25</v>
      </c>
      <c r="I40" s="19">
        <v>16</v>
      </c>
      <c r="J40" s="19">
        <v>151</v>
      </c>
    </row>
  </sheetData>
  <sortState ref="A2:N41">
    <sortCondition ref="D2:D41"/>
    <sortCondition ref="A2:A41"/>
  </sortState>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zoomScale="85" zoomScaleNormal="85" zoomScalePageLayoutView="85" workbookViewId="0">
      <pane ySplit="1" topLeftCell="A68" activePane="bottomLeft" state="frozen"/>
      <selection activeCell="C17" sqref="C17"/>
      <selection pane="bottomLeft" activeCell="C17" sqref="C17"/>
    </sheetView>
  </sheetViews>
  <sheetFormatPr baseColWidth="10" defaultColWidth="8.83203125" defaultRowHeight="15" x14ac:dyDescent="0.2"/>
  <cols>
    <col min="1" max="4" width="8.83203125" style="5"/>
    <col min="5" max="5" width="39.5" style="5" customWidth="1"/>
    <col min="6" max="8" width="8.83203125" style="5"/>
    <col min="9" max="9" width="8.83203125" style="10"/>
    <col min="10" max="11" width="8.83203125" style="5"/>
    <col min="12" max="12" width="13.5" style="5" customWidth="1"/>
    <col min="13" max="13" width="8.83203125" style="10"/>
    <col min="14" max="267" width="8.83203125" style="5"/>
    <col min="268" max="268" width="13.5" style="5" customWidth="1"/>
    <col min="269" max="523" width="8.83203125" style="5"/>
    <col min="524" max="524" width="13.5" style="5" customWidth="1"/>
    <col min="525" max="779" width="8.83203125" style="5"/>
    <col min="780" max="780" width="13.5" style="5" customWidth="1"/>
    <col min="781" max="1035" width="8.83203125" style="5"/>
    <col min="1036" max="1036" width="13.5" style="5" customWidth="1"/>
    <col min="1037" max="1291" width="8.83203125" style="5"/>
    <col min="1292" max="1292" width="13.5" style="5" customWidth="1"/>
    <col min="1293" max="1547" width="8.83203125" style="5"/>
    <col min="1548" max="1548" width="13.5" style="5" customWidth="1"/>
    <col min="1549" max="1803" width="8.83203125" style="5"/>
    <col min="1804" max="1804" width="13.5" style="5" customWidth="1"/>
    <col min="1805" max="2059" width="8.83203125" style="5"/>
    <col min="2060" max="2060" width="13.5" style="5" customWidth="1"/>
    <col min="2061" max="2315" width="8.83203125" style="5"/>
    <col min="2316" max="2316" width="13.5" style="5" customWidth="1"/>
    <col min="2317" max="2571" width="8.83203125" style="5"/>
    <col min="2572" max="2572" width="13.5" style="5" customWidth="1"/>
    <col min="2573" max="2827" width="8.83203125" style="5"/>
    <col min="2828" max="2828" width="13.5" style="5" customWidth="1"/>
    <col min="2829" max="3083" width="8.83203125" style="5"/>
    <col min="3084" max="3084" width="13.5" style="5" customWidth="1"/>
    <col min="3085" max="3339" width="8.83203125" style="5"/>
    <col min="3340" max="3340" width="13.5" style="5" customWidth="1"/>
    <col min="3341" max="3595" width="8.83203125" style="5"/>
    <col min="3596" max="3596" width="13.5" style="5" customWidth="1"/>
    <col min="3597" max="3851" width="8.83203125" style="5"/>
    <col min="3852" max="3852" width="13.5" style="5" customWidth="1"/>
    <col min="3853" max="4107" width="8.83203125" style="5"/>
    <col min="4108" max="4108" width="13.5" style="5" customWidth="1"/>
    <col min="4109" max="4363" width="8.83203125" style="5"/>
    <col min="4364" max="4364" width="13.5" style="5" customWidth="1"/>
    <col min="4365" max="4619" width="8.83203125" style="5"/>
    <col min="4620" max="4620" width="13.5" style="5" customWidth="1"/>
    <col min="4621" max="4875" width="8.83203125" style="5"/>
    <col min="4876" max="4876" width="13.5" style="5" customWidth="1"/>
    <col min="4877" max="5131" width="8.83203125" style="5"/>
    <col min="5132" max="5132" width="13.5" style="5" customWidth="1"/>
    <col min="5133" max="5387" width="8.83203125" style="5"/>
    <col min="5388" max="5388" width="13.5" style="5" customWidth="1"/>
    <col min="5389" max="5643" width="8.83203125" style="5"/>
    <col min="5644" max="5644" width="13.5" style="5" customWidth="1"/>
    <col min="5645" max="5899" width="8.83203125" style="5"/>
    <col min="5900" max="5900" width="13.5" style="5" customWidth="1"/>
    <col min="5901" max="6155" width="8.83203125" style="5"/>
    <col min="6156" max="6156" width="13.5" style="5" customWidth="1"/>
    <col min="6157" max="6411" width="8.83203125" style="5"/>
    <col min="6412" max="6412" width="13.5" style="5" customWidth="1"/>
    <col min="6413" max="6667" width="8.83203125" style="5"/>
    <col min="6668" max="6668" width="13.5" style="5" customWidth="1"/>
    <col min="6669" max="6923" width="8.83203125" style="5"/>
    <col min="6924" max="6924" width="13.5" style="5" customWidth="1"/>
    <col min="6925" max="7179" width="8.83203125" style="5"/>
    <col min="7180" max="7180" width="13.5" style="5" customWidth="1"/>
    <col min="7181" max="7435" width="8.83203125" style="5"/>
    <col min="7436" max="7436" width="13.5" style="5" customWidth="1"/>
    <col min="7437" max="7691" width="8.83203125" style="5"/>
    <col min="7692" max="7692" width="13.5" style="5" customWidth="1"/>
    <col min="7693" max="7947" width="8.83203125" style="5"/>
    <col min="7948" max="7948" width="13.5" style="5" customWidth="1"/>
    <col min="7949" max="8203" width="8.83203125" style="5"/>
    <col min="8204" max="8204" width="13.5" style="5" customWidth="1"/>
    <col min="8205" max="8459" width="8.83203125" style="5"/>
    <col min="8460" max="8460" width="13.5" style="5" customWidth="1"/>
    <col min="8461" max="8715" width="8.83203125" style="5"/>
    <col min="8716" max="8716" width="13.5" style="5" customWidth="1"/>
    <col min="8717" max="8971" width="8.83203125" style="5"/>
    <col min="8972" max="8972" width="13.5" style="5" customWidth="1"/>
    <col min="8973" max="9227" width="8.83203125" style="5"/>
    <col min="9228" max="9228" width="13.5" style="5" customWidth="1"/>
    <col min="9229" max="9483" width="8.83203125" style="5"/>
    <col min="9484" max="9484" width="13.5" style="5" customWidth="1"/>
    <col min="9485" max="9739" width="8.83203125" style="5"/>
    <col min="9740" max="9740" width="13.5" style="5" customWidth="1"/>
    <col min="9741" max="9995" width="8.83203125" style="5"/>
    <col min="9996" max="9996" width="13.5" style="5" customWidth="1"/>
    <col min="9997" max="10251" width="8.83203125" style="5"/>
    <col min="10252" max="10252" width="13.5" style="5" customWidth="1"/>
    <col min="10253" max="10507" width="8.83203125" style="5"/>
    <col min="10508" max="10508" width="13.5" style="5" customWidth="1"/>
    <col min="10509" max="10763" width="8.83203125" style="5"/>
    <col min="10764" max="10764" width="13.5" style="5" customWidth="1"/>
    <col min="10765" max="11019" width="8.83203125" style="5"/>
    <col min="11020" max="11020" width="13.5" style="5" customWidth="1"/>
    <col min="11021" max="11275" width="8.83203125" style="5"/>
    <col min="11276" max="11276" width="13.5" style="5" customWidth="1"/>
    <col min="11277" max="11531" width="8.83203125" style="5"/>
    <col min="11532" max="11532" width="13.5" style="5" customWidth="1"/>
    <col min="11533" max="11787" width="8.83203125" style="5"/>
    <col min="11788" max="11788" width="13.5" style="5" customWidth="1"/>
    <col min="11789" max="12043" width="8.83203125" style="5"/>
    <col min="12044" max="12044" width="13.5" style="5" customWidth="1"/>
    <col min="12045" max="12299" width="8.83203125" style="5"/>
    <col min="12300" max="12300" width="13.5" style="5" customWidth="1"/>
    <col min="12301" max="12555" width="8.83203125" style="5"/>
    <col min="12556" max="12556" width="13.5" style="5" customWidth="1"/>
    <col min="12557" max="12811" width="8.83203125" style="5"/>
    <col min="12812" max="12812" width="13.5" style="5" customWidth="1"/>
    <col min="12813" max="13067" width="8.83203125" style="5"/>
    <col min="13068" max="13068" width="13.5" style="5" customWidth="1"/>
    <col min="13069" max="13323" width="8.83203125" style="5"/>
    <col min="13324" max="13324" width="13.5" style="5" customWidth="1"/>
    <col min="13325" max="13579" width="8.83203125" style="5"/>
    <col min="13580" max="13580" width="13.5" style="5" customWidth="1"/>
    <col min="13581" max="13835" width="8.83203125" style="5"/>
    <col min="13836" max="13836" width="13.5" style="5" customWidth="1"/>
    <col min="13837" max="14091" width="8.83203125" style="5"/>
    <col min="14092" max="14092" width="13.5" style="5" customWidth="1"/>
    <col min="14093" max="14347" width="8.83203125" style="5"/>
    <col min="14348" max="14348" width="13.5" style="5" customWidth="1"/>
    <col min="14349" max="14603" width="8.83203125" style="5"/>
    <col min="14604" max="14604" width="13.5" style="5" customWidth="1"/>
    <col min="14605" max="14859" width="8.83203125" style="5"/>
    <col min="14860" max="14860" width="13.5" style="5" customWidth="1"/>
    <col min="14861" max="15115" width="8.83203125" style="5"/>
    <col min="15116" max="15116" width="13.5" style="5" customWidth="1"/>
    <col min="15117" max="15371" width="8.83203125" style="5"/>
    <col min="15372" max="15372" width="13.5" style="5" customWidth="1"/>
    <col min="15373" max="15627" width="8.83203125" style="5"/>
    <col min="15628" max="15628" width="13.5" style="5" customWidth="1"/>
    <col min="15629" max="15883" width="8.83203125" style="5"/>
    <col min="15884" max="15884" width="13.5" style="5" customWidth="1"/>
    <col min="15885" max="16139" width="8.83203125" style="5"/>
    <col min="16140" max="16140" width="13.5" style="5" customWidth="1"/>
    <col min="16141" max="16384" width="8.83203125" style="5"/>
  </cols>
  <sheetData>
    <row r="1" spans="1:15" x14ac:dyDescent="0.2">
      <c r="A1" s="10" t="s">
        <v>171</v>
      </c>
      <c r="B1" s="10" t="s">
        <v>172</v>
      </c>
      <c r="C1" s="12" t="s">
        <v>174</v>
      </c>
      <c r="D1" s="10" t="s">
        <v>175</v>
      </c>
      <c r="E1" s="10" t="s">
        <v>176</v>
      </c>
      <c r="F1" s="10" t="s">
        <v>85</v>
      </c>
      <c r="G1" s="10" t="s">
        <v>180</v>
      </c>
      <c r="H1" s="10" t="s">
        <v>181</v>
      </c>
      <c r="I1" s="10" t="s">
        <v>266</v>
      </c>
      <c r="J1" s="10" t="s">
        <v>87</v>
      </c>
      <c r="K1" s="10" t="s">
        <v>783</v>
      </c>
      <c r="L1" s="10" t="s">
        <v>183</v>
      </c>
      <c r="M1" s="10" t="s">
        <v>185</v>
      </c>
    </row>
    <row r="2" spans="1:15" x14ac:dyDescent="0.2">
      <c r="A2" s="5">
        <v>1708</v>
      </c>
      <c r="B2" s="5" t="s">
        <v>200</v>
      </c>
      <c r="C2" s="5">
        <v>1.5</v>
      </c>
      <c r="D2" s="5" t="s">
        <v>204</v>
      </c>
      <c r="E2" s="5" t="s">
        <v>848</v>
      </c>
      <c r="F2" s="5">
        <f>J2*N2</f>
        <v>9.6</v>
      </c>
      <c r="G2" s="5">
        <v>5</v>
      </c>
      <c r="H2" s="5">
        <v>0</v>
      </c>
      <c r="I2" s="10">
        <f>(F2+G2/20+H2/320)/C2</f>
        <v>6.5666666666666664</v>
      </c>
      <c r="J2" s="5">
        <v>4</v>
      </c>
      <c r="K2" s="5">
        <v>5</v>
      </c>
      <c r="L2" s="5" t="s">
        <v>849</v>
      </c>
      <c r="M2" s="10" t="s">
        <v>817</v>
      </c>
      <c r="N2" s="5">
        <v>2.4</v>
      </c>
    </row>
    <row r="3" spans="1:15" x14ac:dyDescent="0.2">
      <c r="A3" s="5">
        <v>1712</v>
      </c>
      <c r="B3" s="5" t="s">
        <v>186</v>
      </c>
      <c r="C3" s="5">
        <v>2</v>
      </c>
      <c r="D3" s="5" t="s">
        <v>204</v>
      </c>
      <c r="E3" s="5" t="s">
        <v>848</v>
      </c>
      <c r="F3" s="5">
        <f>J3*N3</f>
        <v>14.399999999999999</v>
      </c>
      <c r="G3" s="5">
        <v>0</v>
      </c>
      <c r="H3" s="5">
        <v>0</v>
      </c>
      <c r="I3" s="10">
        <f>(F3+G3/20+H3/320)/C3</f>
        <v>7.1999999999999993</v>
      </c>
      <c r="J3" s="5">
        <v>6</v>
      </c>
      <c r="K3" s="5">
        <v>0</v>
      </c>
      <c r="L3" s="5" t="s">
        <v>850</v>
      </c>
      <c r="M3" s="10" t="s">
        <v>817</v>
      </c>
      <c r="N3" s="5">
        <v>2.4</v>
      </c>
    </row>
    <row r="4" spans="1:15" x14ac:dyDescent="0.2">
      <c r="A4" s="5">
        <v>1721</v>
      </c>
      <c r="B4" s="5" t="s">
        <v>192</v>
      </c>
      <c r="C4" s="5">
        <v>1</v>
      </c>
      <c r="D4" s="5" t="s">
        <v>204</v>
      </c>
      <c r="E4" s="5" t="s">
        <v>848</v>
      </c>
      <c r="F4" s="5">
        <f>J4*N4</f>
        <v>7.1999999999999993</v>
      </c>
      <c r="G4" s="5">
        <v>0</v>
      </c>
      <c r="H4" s="5">
        <v>0</v>
      </c>
      <c r="I4" s="10">
        <f>(F4+G4/20+H4/320)/C4</f>
        <v>7.1999999999999993</v>
      </c>
      <c r="J4" s="5">
        <v>3</v>
      </c>
      <c r="K4" s="5">
        <v>0</v>
      </c>
      <c r="L4" s="5" t="s">
        <v>851</v>
      </c>
      <c r="M4" s="10" t="s">
        <v>817</v>
      </c>
      <c r="N4" s="5">
        <v>2.4</v>
      </c>
    </row>
    <row r="5" spans="1:15" x14ac:dyDescent="0.2">
      <c r="A5" s="5">
        <v>1722</v>
      </c>
      <c r="B5" s="5" t="s">
        <v>247</v>
      </c>
      <c r="C5" s="5">
        <v>1</v>
      </c>
      <c r="D5" s="5" t="s">
        <v>204</v>
      </c>
      <c r="E5" s="5" t="s">
        <v>848</v>
      </c>
      <c r="F5" s="5">
        <f>J5*N5</f>
        <v>4.8</v>
      </c>
      <c r="G5" s="5">
        <v>1</v>
      </c>
      <c r="H5" s="5">
        <v>0</v>
      </c>
      <c r="I5" s="10">
        <f>(F5+G5/20+H5/320)/C5</f>
        <v>4.8499999999999996</v>
      </c>
      <c r="J5" s="5">
        <v>2</v>
      </c>
      <c r="K5" s="5">
        <v>1</v>
      </c>
      <c r="L5" s="5" t="s">
        <v>852</v>
      </c>
      <c r="M5" s="10" t="s">
        <v>817</v>
      </c>
      <c r="N5" s="5">
        <v>2.4</v>
      </c>
      <c r="O5" s="5" t="s">
        <v>853</v>
      </c>
    </row>
    <row r="6" spans="1:15" x14ac:dyDescent="0.2">
      <c r="A6" s="5">
        <v>1736</v>
      </c>
      <c r="B6" s="5" t="s">
        <v>200</v>
      </c>
      <c r="C6" s="5">
        <v>4</v>
      </c>
      <c r="D6" s="5" t="s">
        <v>204</v>
      </c>
      <c r="E6" s="5" t="s">
        <v>848</v>
      </c>
      <c r="F6" s="5">
        <v>21</v>
      </c>
      <c r="G6" s="5">
        <v>0</v>
      </c>
      <c r="H6" s="5">
        <v>0</v>
      </c>
      <c r="I6" s="10">
        <f>(F6+G6/20+H6/320)/C6</f>
        <v>5.25</v>
      </c>
      <c r="L6" s="5" t="s">
        <v>854</v>
      </c>
    </row>
    <row r="7" spans="1:15" x14ac:dyDescent="0.2">
      <c r="A7" s="5">
        <v>1748</v>
      </c>
      <c r="B7" s="5" t="s">
        <v>200</v>
      </c>
      <c r="C7" s="5">
        <v>1</v>
      </c>
      <c r="D7" s="5" t="s">
        <v>204</v>
      </c>
      <c r="E7" s="5" t="s">
        <v>848</v>
      </c>
      <c r="I7" s="10">
        <v>6.9254999999999942</v>
      </c>
      <c r="L7" s="5" t="s">
        <v>851</v>
      </c>
      <c r="O7" s="5" t="s">
        <v>855</v>
      </c>
    </row>
    <row r="8" spans="1:15" x14ac:dyDescent="0.2">
      <c r="A8" s="5">
        <v>1753</v>
      </c>
      <c r="B8" s="5" t="s">
        <v>200</v>
      </c>
      <c r="C8" s="5">
        <v>1</v>
      </c>
      <c r="D8" s="5" t="s">
        <v>204</v>
      </c>
      <c r="E8" s="5" t="s">
        <v>848</v>
      </c>
      <c r="F8" s="5">
        <f t="shared" ref="F8:F16" si="0">J8*N8</f>
        <v>7.1999999999999993</v>
      </c>
      <c r="G8" s="5">
        <v>0</v>
      </c>
      <c r="H8" s="5">
        <v>0</v>
      </c>
      <c r="I8" s="10">
        <f t="shared" ref="I8:I71" si="1">(F8+G8/20+H8/320)/C8</f>
        <v>7.1999999999999993</v>
      </c>
      <c r="J8" s="5">
        <v>3</v>
      </c>
      <c r="K8" s="5">
        <v>0</v>
      </c>
      <c r="L8" s="5" t="s">
        <v>856</v>
      </c>
      <c r="M8" s="10" t="s">
        <v>817</v>
      </c>
      <c r="N8" s="5">
        <v>2.4</v>
      </c>
    </row>
    <row r="9" spans="1:15" x14ac:dyDescent="0.2">
      <c r="A9" s="5">
        <v>1757</v>
      </c>
      <c r="B9" s="5" t="s">
        <v>186</v>
      </c>
      <c r="C9" s="5">
        <v>2</v>
      </c>
      <c r="D9" s="5" t="s">
        <v>204</v>
      </c>
      <c r="E9" s="5" t="s">
        <v>848</v>
      </c>
      <c r="F9" s="5">
        <f t="shared" si="0"/>
        <v>9.6</v>
      </c>
      <c r="G9" s="5">
        <v>0</v>
      </c>
      <c r="H9" s="5">
        <v>0</v>
      </c>
      <c r="I9" s="10">
        <f t="shared" si="1"/>
        <v>4.8</v>
      </c>
      <c r="J9" s="5">
        <v>4</v>
      </c>
      <c r="K9" s="5">
        <v>0</v>
      </c>
      <c r="L9" s="5" t="s">
        <v>857</v>
      </c>
      <c r="M9" s="10" t="s">
        <v>817</v>
      </c>
      <c r="N9" s="5">
        <v>2.4</v>
      </c>
    </row>
    <row r="10" spans="1:15" x14ac:dyDescent="0.2">
      <c r="A10" s="5">
        <v>1822</v>
      </c>
      <c r="B10" s="5" t="s">
        <v>236</v>
      </c>
      <c r="C10" s="5">
        <v>1</v>
      </c>
      <c r="D10" s="5" t="s">
        <v>204</v>
      </c>
      <c r="E10" s="5" t="s">
        <v>848</v>
      </c>
      <c r="F10" s="5">
        <f t="shared" si="0"/>
        <v>14.399999999999999</v>
      </c>
      <c r="G10" s="5">
        <f>K10</f>
        <v>0</v>
      </c>
      <c r="H10" s="5">
        <v>0</v>
      </c>
      <c r="I10" s="10">
        <f t="shared" si="1"/>
        <v>14.399999999999999</v>
      </c>
      <c r="J10" s="5">
        <v>6</v>
      </c>
      <c r="K10" s="5">
        <v>0</v>
      </c>
      <c r="L10" s="5" t="s">
        <v>858</v>
      </c>
      <c r="M10" s="10" t="s">
        <v>817</v>
      </c>
      <c r="N10" s="5">
        <v>2.4</v>
      </c>
    </row>
    <row r="11" spans="1:15" x14ac:dyDescent="0.2">
      <c r="A11" s="5">
        <v>1709</v>
      </c>
      <c r="B11" s="5" t="s">
        <v>244</v>
      </c>
      <c r="C11" s="5">
        <v>1</v>
      </c>
      <c r="D11" s="5" t="s">
        <v>204</v>
      </c>
      <c r="E11" s="5" t="s">
        <v>859</v>
      </c>
      <c r="F11" s="5">
        <f t="shared" si="0"/>
        <v>4.8</v>
      </c>
      <c r="G11" s="5">
        <f t="shared" ref="G11:G24" si="2">K11</f>
        <v>4</v>
      </c>
      <c r="H11" s="5">
        <v>0</v>
      </c>
      <c r="I11" s="10">
        <f t="shared" si="1"/>
        <v>5</v>
      </c>
      <c r="J11" s="5">
        <v>2</v>
      </c>
      <c r="K11" s="5">
        <v>4</v>
      </c>
      <c r="L11" s="5" t="s">
        <v>860</v>
      </c>
      <c r="M11" s="10" t="s">
        <v>817</v>
      </c>
      <c r="N11" s="5">
        <v>2.4</v>
      </c>
    </row>
    <row r="12" spans="1:15" x14ac:dyDescent="0.2">
      <c r="A12" s="5">
        <v>1713</v>
      </c>
      <c r="B12" s="5" t="s">
        <v>244</v>
      </c>
      <c r="C12" s="5">
        <v>1</v>
      </c>
      <c r="D12" s="5" t="s">
        <v>204</v>
      </c>
      <c r="E12" s="5" t="s">
        <v>859</v>
      </c>
      <c r="F12" s="5">
        <f t="shared" si="0"/>
        <v>4.8</v>
      </c>
      <c r="G12" s="5">
        <f t="shared" si="2"/>
        <v>4</v>
      </c>
      <c r="H12" s="5">
        <v>0</v>
      </c>
      <c r="I12" s="10">
        <f t="shared" si="1"/>
        <v>5</v>
      </c>
      <c r="J12" s="5">
        <v>2</v>
      </c>
      <c r="K12" s="5">
        <v>4</v>
      </c>
      <c r="L12" s="5" t="s">
        <v>861</v>
      </c>
      <c r="M12" s="10" t="s">
        <v>817</v>
      </c>
      <c r="N12" s="5">
        <v>2.4</v>
      </c>
    </row>
    <row r="13" spans="1:15" x14ac:dyDescent="0.2">
      <c r="A13" s="5">
        <v>1713</v>
      </c>
      <c r="B13" s="5" t="s">
        <v>244</v>
      </c>
      <c r="C13" s="5">
        <v>1</v>
      </c>
      <c r="D13" s="5" t="s">
        <v>204</v>
      </c>
      <c r="E13" s="5" t="s">
        <v>859</v>
      </c>
      <c r="F13" s="5">
        <f t="shared" si="0"/>
        <v>4.8</v>
      </c>
      <c r="G13" s="5">
        <f t="shared" si="2"/>
        <v>3</v>
      </c>
      <c r="H13" s="5">
        <v>0</v>
      </c>
      <c r="I13" s="10">
        <f t="shared" si="1"/>
        <v>4.95</v>
      </c>
      <c r="J13" s="5">
        <v>2</v>
      </c>
      <c r="K13" s="5">
        <v>3</v>
      </c>
      <c r="L13" s="5" t="s">
        <v>862</v>
      </c>
      <c r="M13" s="10" t="s">
        <v>817</v>
      </c>
      <c r="N13" s="5">
        <v>2.4</v>
      </c>
      <c r="O13" s="5">
        <f>AVERAGE(I12:I14)</f>
        <v>5.7166666666666659</v>
      </c>
    </row>
    <row r="14" spans="1:15" x14ac:dyDescent="0.2">
      <c r="A14" s="5">
        <v>1713</v>
      </c>
      <c r="B14" s="5" t="s">
        <v>244</v>
      </c>
      <c r="C14" s="5">
        <v>1</v>
      </c>
      <c r="D14" s="5" t="s">
        <v>204</v>
      </c>
      <c r="E14" s="5" t="s">
        <v>859</v>
      </c>
      <c r="F14" s="5">
        <f t="shared" si="0"/>
        <v>7.1999999999999993</v>
      </c>
      <c r="G14" s="5">
        <f t="shared" si="2"/>
        <v>0</v>
      </c>
      <c r="H14" s="5">
        <v>0</v>
      </c>
      <c r="I14" s="10">
        <f t="shared" si="1"/>
        <v>7.1999999999999993</v>
      </c>
      <c r="J14" s="5">
        <v>3</v>
      </c>
      <c r="K14" s="5">
        <v>0</v>
      </c>
      <c r="L14" s="5" t="s">
        <v>862</v>
      </c>
      <c r="M14" s="10" t="s">
        <v>817</v>
      </c>
      <c r="N14" s="5">
        <v>2.4</v>
      </c>
    </row>
    <row r="15" spans="1:15" x14ac:dyDescent="0.2">
      <c r="A15" s="5">
        <v>1771</v>
      </c>
      <c r="B15" s="5" t="s">
        <v>253</v>
      </c>
      <c r="C15" s="5">
        <v>2</v>
      </c>
      <c r="D15" s="5" t="s">
        <v>204</v>
      </c>
      <c r="E15" s="5" t="s">
        <v>859</v>
      </c>
      <c r="F15" s="5">
        <f t="shared" si="0"/>
        <v>21.599999999999998</v>
      </c>
      <c r="G15" s="5">
        <f t="shared" si="2"/>
        <v>0</v>
      </c>
      <c r="H15" s="5">
        <v>0</v>
      </c>
      <c r="I15" s="10">
        <f t="shared" si="1"/>
        <v>10.799999999999999</v>
      </c>
      <c r="J15" s="5">
        <v>9</v>
      </c>
      <c r="K15" s="5">
        <v>0</v>
      </c>
      <c r="L15" s="5" t="s">
        <v>863</v>
      </c>
      <c r="M15" s="10" t="s">
        <v>817</v>
      </c>
      <c r="N15" s="5">
        <v>2.4</v>
      </c>
    </row>
    <row r="16" spans="1:15" x14ac:dyDescent="0.2">
      <c r="A16" s="5">
        <v>1772</v>
      </c>
      <c r="B16" s="5" t="s">
        <v>244</v>
      </c>
      <c r="C16" s="5">
        <v>112</v>
      </c>
      <c r="D16" s="5" t="s">
        <v>204</v>
      </c>
      <c r="E16" s="5" t="s">
        <v>864</v>
      </c>
      <c r="F16" s="5">
        <f t="shared" si="0"/>
        <v>403.2</v>
      </c>
      <c r="G16" s="5">
        <f t="shared" si="2"/>
        <v>0</v>
      </c>
      <c r="H16" s="5">
        <v>0</v>
      </c>
      <c r="I16" s="10">
        <f t="shared" si="1"/>
        <v>3.6</v>
      </c>
      <c r="J16" s="5">
        <v>168</v>
      </c>
      <c r="K16" s="5">
        <v>0</v>
      </c>
      <c r="L16" s="5" t="s">
        <v>865</v>
      </c>
      <c r="M16" s="10" t="s">
        <v>817</v>
      </c>
      <c r="N16" s="5">
        <v>2.4</v>
      </c>
    </row>
    <row r="17" spans="1:15" x14ac:dyDescent="0.2">
      <c r="A17" s="5">
        <v>1716</v>
      </c>
      <c r="B17" s="5" t="s">
        <v>226</v>
      </c>
      <c r="C17" s="5">
        <v>1</v>
      </c>
      <c r="D17" s="5" t="s">
        <v>204</v>
      </c>
      <c r="E17" s="5" t="s">
        <v>866</v>
      </c>
      <c r="F17" s="5">
        <v>7</v>
      </c>
      <c r="G17" s="5">
        <f t="shared" si="2"/>
        <v>0</v>
      </c>
      <c r="H17" s="5">
        <v>0</v>
      </c>
      <c r="I17" s="10">
        <f t="shared" si="1"/>
        <v>7</v>
      </c>
      <c r="L17" s="5" t="s">
        <v>867</v>
      </c>
    </row>
    <row r="18" spans="1:15" x14ac:dyDescent="0.2">
      <c r="A18" s="5">
        <v>1772</v>
      </c>
      <c r="B18" s="5" t="s">
        <v>244</v>
      </c>
      <c r="C18" s="5">
        <v>19</v>
      </c>
      <c r="D18" s="5" t="s">
        <v>204</v>
      </c>
      <c r="E18" s="5" t="s">
        <v>868</v>
      </c>
      <c r="F18" s="5">
        <f>J18*N18</f>
        <v>136.79999999999998</v>
      </c>
      <c r="G18" s="5">
        <f t="shared" si="2"/>
        <v>0</v>
      </c>
      <c r="H18" s="5">
        <v>0</v>
      </c>
      <c r="I18" s="10">
        <f t="shared" si="1"/>
        <v>7.1999999999999993</v>
      </c>
      <c r="J18" s="5">
        <v>56.999999999999993</v>
      </c>
      <c r="K18" s="5">
        <v>0</v>
      </c>
      <c r="L18" s="5" t="s">
        <v>865</v>
      </c>
      <c r="M18" s="10" t="s">
        <v>817</v>
      </c>
      <c r="N18" s="5">
        <v>2.4</v>
      </c>
    </row>
    <row r="19" spans="1:15" x14ac:dyDescent="0.2">
      <c r="A19" s="5">
        <v>1707</v>
      </c>
      <c r="B19" s="5" t="s">
        <v>260</v>
      </c>
      <c r="C19" s="5">
        <v>1</v>
      </c>
      <c r="D19" s="5" t="s">
        <v>204</v>
      </c>
      <c r="E19" s="5" t="s">
        <v>869</v>
      </c>
      <c r="F19" s="5">
        <v>1</v>
      </c>
      <c r="G19" s="5">
        <f t="shared" si="2"/>
        <v>0</v>
      </c>
      <c r="H19" s="5">
        <v>0</v>
      </c>
      <c r="I19" s="10">
        <f t="shared" si="1"/>
        <v>1</v>
      </c>
      <c r="L19" s="5" t="s">
        <v>870</v>
      </c>
    </row>
    <row r="20" spans="1:15" x14ac:dyDescent="0.2">
      <c r="A20" s="5">
        <v>1719</v>
      </c>
      <c r="B20" s="5" t="s">
        <v>196</v>
      </c>
      <c r="C20" s="5">
        <v>2</v>
      </c>
      <c r="D20" s="5" t="s">
        <v>204</v>
      </c>
      <c r="E20" s="5" t="s">
        <v>871</v>
      </c>
      <c r="F20" s="5">
        <v>16</v>
      </c>
      <c r="G20" s="5">
        <f t="shared" si="2"/>
        <v>0</v>
      </c>
      <c r="H20" s="5">
        <v>0</v>
      </c>
      <c r="I20" s="10">
        <f t="shared" si="1"/>
        <v>8</v>
      </c>
      <c r="L20" s="5" t="s">
        <v>872</v>
      </c>
      <c r="M20" s="10" t="s">
        <v>873</v>
      </c>
    </row>
    <row r="21" spans="1:15" x14ac:dyDescent="0.2">
      <c r="A21" s="5">
        <v>1772</v>
      </c>
      <c r="B21" s="5" t="s">
        <v>244</v>
      </c>
      <c r="C21" s="5">
        <v>4</v>
      </c>
      <c r="D21" s="5" t="s">
        <v>204</v>
      </c>
      <c r="E21" s="5" t="s">
        <v>871</v>
      </c>
      <c r="F21" s="5">
        <f>J21*N21</f>
        <v>28.799999999999997</v>
      </c>
      <c r="G21" s="5">
        <f t="shared" si="2"/>
        <v>0</v>
      </c>
      <c r="H21" s="5">
        <v>0</v>
      </c>
      <c r="I21" s="10">
        <f t="shared" si="1"/>
        <v>7.1999999999999993</v>
      </c>
      <c r="J21" s="5">
        <v>12</v>
      </c>
      <c r="K21" s="5">
        <v>0</v>
      </c>
      <c r="L21" s="5" t="s">
        <v>865</v>
      </c>
      <c r="M21" s="10" t="s">
        <v>817</v>
      </c>
      <c r="N21" s="5">
        <v>2.4</v>
      </c>
    </row>
    <row r="22" spans="1:15" x14ac:dyDescent="0.2">
      <c r="A22" s="5">
        <v>1775</v>
      </c>
      <c r="B22" s="5" t="s">
        <v>253</v>
      </c>
      <c r="C22" s="5">
        <v>40</v>
      </c>
      <c r="D22" s="5" t="s">
        <v>204</v>
      </c>
      <c r="E22" s="5" t="s">
        <v>871</v>
      </c>
      <c r="F22" s="5">
        <f>J22*N22</f>
        <v>360</v>
      </c>
      <c r="G22" s="5">
        <f t="shared" si="2"/>
        <v>0</v>
      </c>
      <c r="H22" s="5">
        <v>0</v>
      </c>
      <c r="I22" s="10">
        <f t="shared" si="1"/>
        <v>9</v>
      </c>
      <c r="J22" s="5">
        <v>150</v>
      </c>
      <c r="K22" s="5">
        <v>0</v>
      </c>
      <c r="L22" s="5" t="s">
        <v>874</v>
      </c>
      <c r="M22" s="10" t="s">
        <v>817</v>
      </c>
      <c r="N22" s="5">
        <v>2.4</v>
      </c>
      <c r="O22" s="5">
        <f>AVERAGE(I22:I23)</f>
        <v>8.6999999999999993</v>
      </c>
    </row>
    <row r="23" spans="1:15" x14ac:dyDescent="0.2">
      <c r="A23" s="5">
        <v>1775</v>
      </c>
      <c r="B23" s="5" t="s">
        <v>226</v>
      </c>
      <c r="C23" s="5">
        <v>1</v>
      </c>
      <c r="D23" s="5" t="s">
        <v>204</v>
      </c>
      <c r="E23" s="5" t="s">
        <v>871</v>
      </c>
      <c r="F23" s="5">
        <f>J23*N23</f>
        <v>7.1999999999999993</v>
      </c>
      <c r="G23" s="5">
        <f t="shared" si="2"/>
        <v>24</v>
      </c>
      <c r="H23" s="5">
        <v>0</v>
      </c>
      <c r="I23" s="10">
        <f t="shared" si="1"/>
        <v>8.3999999999999986</v>
      </c>
      <c r="J23" s="5">
        <v>3</v>
      </c>
      <c r="K23" s="5">
        <v>24</v>
      </c>
      <c r="L23" s="5" t="s">
        <v>875</v>
      </c>
      <c r="M23" s="10" t="s">
        <v>817</v>
      </c>
      <c r="N23" s="5">
        <v>2.4</v>
      </c>
    </row>
    <row r="24" spans="1:15" x14ac:dyDescent="0.2">
      <c r="A24" s="5">
        <v>1763</v>
      </c>
      <c r="B24" s="5" t="s">
        <v>197</v>
      </c>
      <c r="C24" s="5">
        <v>3</v>
      </c>
      <c r="D24" s="5" t="s">
        <v>204</v>
      </c>
      <c r="E24" s="5" t="s">
        <v>876</v>
      </c>
      <c r="F24" s="5">
        <f>J24*N24</f>
        <v>16.8</v>
      </c>
      <c r="G24" s="5">
        <f t="shared" si="2"/>
        <v>24</v>
      </c>
      <c r="H24" s="5">
        <v>0</v>
      </c>
      <c r="I24" s="10">
        <f t="shared" si="1"/>
        <v>6</v>
      </c>
      <c r="J24" s="5">
        <v>7</v>
      </c>
      <c r="K24" s="5">
        <v>24</v>
      </c>
      <c r="L24" s="5" t="s">
        <v>877</v>
      </c>
      <c r="M24" s="10" t="s">
        <v>817</v>
      </c>
      <c r="N24" s="5">
        <v>2.4</v>
      </c>
    </row>
    <row r="25" spans="1:15" x14ac:dyDescent="0.2">
      <c r="A25" s="5">
        <v>1724</v>
      </c>
      <c r="B25" s="5" t="s">
        <v>200</v>
      </c>
      <c r="C25" s="5">
        <v>3</v>
      </c>
      <c r="D25" s="5" t="s">
        <v>188</v>
      </c>
      <c r="E25" s="5" t="s">
        <v>208</v>
      </c>
      <c r="F25" s="5">
        <v>45</v>
      </c>
      <c r="G25" s="5">
        <v>0</v>
      </c>
      <c r="H25" s="5">
        <v>0</v>
      </c>
      <c r="I25" s="10">
        <f t="shared" si="1"/>
        <v>15</v>
      </c>
      <c r="L25" s="5" t="s">
        <v>878</v>
      </c>
    </row>
    <row r="26" spans="1:15" x14ac:dyDescent="0.2">
      <c r="A26" s="5">
        <v>1714</v>
      </c>
      <c r="B26" s="5" t="s">
        <v>236</v>
      </c>
      <c r="C26" s="5">
        <v>3</v>
      </c>
      <c r="D26" s="5" t="s">
        <v>879</v>
      </c>
      <c r="E26" s="5" t="s">
        <v>350</v>
      </c>
      <c r="F26" s="5">
        <v>3</v>
      </c>
      <c r="G26" s="5">
        <v>0</v>
      </c>
      <c r="H26" s="5">
        <v>0</v>
      </c>
      <c r="I26" s="10">
        <f t="shared" si="1"/>
        <v>1</v>
      </c>
      <c r="L26" s="5" t="s">
        <v>880</v>
      </c>
    </row>
    <row r="27" spans="1:15" x14ac:dyDescent="0.2">
      <c r="A27" s="5">
        <v>1715</v>
      </c>
      <c r="B27" s="5" t="s">
        <v>226</v>
      </c>
      <c r="C27" s="5">
        <v>6</v>
      </c>
      <c r="D27" s="5" t="s">
        <v>879</v>
      </c>
      <c r="E27" s="5" t="s">
        <v>350</v>
      </c>
      <c r="F27" s="5">
        <v>2</v>
      </c>
      <c r="G27" s="5">
        <v>0</v>
      </c>
      <c r="H27" s="5">
        <v>0</v>
      </c>
      <c r="I27" s="10">
        <f t="shared" si="1"/>
        <v>0.33333333333333331</v>
      </c>
      <c r="L27" s="5" t="s">
        <v>881</v>
      </c>
    </row>
    <row r="28" spans="1:15" x14ac:dyDescent="0.2">
      <c r="A28" s="5">
        <v>1718</v>
      </c>
      <c r="B28" s="5" t="s">
        <v>236</v>
      </c>
      <c r="C28" s="5">
        <v>41.5</v>
      </c>
      <c r="D28" s="5" t="s">
        <v>278</v>
      </c>
      <c r="E28" s="5" t="s">
        <v>355</v>
      </c>
      <c r="F28" s="5">
        <v>7262</v>
      </c>
      <c r="G28" s="5">
        <v>10</v>
      </c>
      <c r="H28" s="5">
        <v>0</v>
      </c>
      <c r="I28" s="10">
        <f t="shared" si="1"/>
        <v>175</v>
      </c>
      <c r="L28" s="5" t="s">
        <v>882</v>
      </c>
    </row>
    <row r="29" spans="1:15" x14ac:dyDescent="0.2">
      <c r="A29" s="5">
        <v>1718</v>
      </c>
      <c r="B29" s="5" t="s">
        <v>236</v>
      </c>
      <c r="C29" s="5">
        <v>14</v>
      </c>
      <c r="D29" s="5" t="s">
        <v>883</v>
      </c>
      <c r="E29" s="5" t="s">
        <v>358</v>
      </c>
      <c r="F29" s="5">
        <v>504</v>
      </c>
      <c r="G29" s="5">
        <v>0</v>
      </c>
      <c r="H29" s="5">
        <v>0</v>
      </c>
      <c r="I29" s="10">
        <f t="shared" si="1"/>
        <v>36</v>
      </c>
      <c r="L29" s="5" t="s">
        <v>882</v>
      </c>
    </row>
    <row r="30" spans="1:15" x14ac:dyDescent="0.2">
      <c r="A30" s="5">
        <v>1716</v>
      </c>
      <c r="B30" s="5" t="s">
        <v>226</v>
      </c>
      <c r="C30" s="5">
        <v>6</v>
      </c>
      <c r="D30" s="5" t="s">
        <v>204</v>
      </c>
      <c r="E30" s="5" t="s">
        <v>884</v>
      </c>
      <c r="F30" s="5">
        <v>45</v>
      </c>
      <c r="G30" s="5">
        <v>0</v>
      </c>
      <c r="H30" s="5">
        <v>0</v>
      </c>
      <c r="I30" s="10">
        <f t="shared" si="1"/>
        <v>7.5</v>
      </c>
      <c r="L30" s="5" t="s">
        <v>867</v>
      </c>
    </row>
    <row r="31" spans="1:15" x14ac:dyDescent="0.2">
      <c r="A31" s="5">
        <v>1755</v>
      </c>
      <c r="B31" s="5" t="s">
        <v>200</v>
      </c>
      <c r="C31" s="5">
        <v>15</v>
      </c>
      <c r="D31" s="5" t="s">
        <v>204</v>
      </c>
      <c r="E31" s="5" t="s">
        <v>885</v>
      </c>
      <c r="F31" s="5">
        <v>60</v>
      </c>
      <c r="G31" s="5">
        <v>0</v>
      </c>
      <c r="H31" s="5">
        <v>0</v>
      </c>
      <c r="I31" s="10">
        <f t="shared" si="1"/>
        <v>4</v>
      </c>
      <c r="L31" s="5" t="s">
        <v>886</v>
      </c>
    </row>
    <row r="32" spans="1:15" x14ac:dyDescent="0.2">
      <c r="A32" s="5">
        <v>1755</v>
      </c>
      <c r="B32" s="5" t="s">
        <v>200</v>
      </c>
      <c r="C32" s="5">
        <v>2</v>
      </c>
      <c r="D32" s="5" t="s">
        <v>204</v>
      </c>
      <c r="E32" s="5" t="s">
        <v>887</v>
      </c>
      <c r="F32" s="5">
        <v>8</v>
      </c>
      <c r="G32" s="5">
        <v>0</v>
      </c>
      <c r="H32" s="5">
        <v>0</v>
      </c>
      <c r="I32" s="10">
        <f t="shared" si="1"/>
        <v>4</v>
      </c>
      <c r="L32" s="5" t="s">
        <v>886</v>
      </c>
    </row>
    <row r="33" spans="1:14" x14ac:dyDescent="0.2">
      <c r="A33" s="5">
        <v>1718</v>
      </c>
      <c r="B33" s="5" t="s">
        <v>236</v>
      </c>
      <c r="C33" s="5">
        <v>21</v>
      </c>
      <c r="D33" s="5" t="s">
        <v>204</v>
      </c>
      <c r="E33" s="5" t="s">
        <v>888</v>
      </c>
      <c r="F33" s="5">
        <v>157</v>
      </c>
      <c r="G33" s="5">
        <v>10</v>
      </c>
      <c r="H33" s="5">
        <v>0</v>
      </c>
      <c r="I33" s="10">
        <f t="shared" si="1"/>
        <v>7.5</v>
      </c>
      <c r="L33" s="5" t="s">
        <v>882</v>
      </c>
    </row>
    <row r="34" spans="1:14" x14ac:dyDescent="0.2">
      <c r="A34" s="5">
        <v>1707</v>
      </c>
      <c r="B34" s="5" t="s">
        <v>260</v>
      </c>
      <c r="C34" s="5">
        <v>10</v>
      </c>
      <c r="D34" s="5" t="s">
        <v>204</v>
      </c>
      <c r="E34" s="5" t="s">
        <v>889</v>
      </c>
      <c r="F34" s="5">
        <v>20</v>
      </c>
      <c r="G34" s="5">
        <v>0</v>
      </c>
      <c r="H34" s="5">
        <v>0</v>
      </c>
      <c r="I34" s="10">
        <f t="shared" si="1"/>
        <v>2</v>
      </c>
      <c r="L34" s="5" t="s">
        <v>870</v>
      </c>
    </row>
    <row r="35" spans="1:14" x14ac:dyDescent="0.2">
      <c r="A35" s="5">
        <v>1724</v>
      </c>
      <c r="B35" s="5" t="s">
        <v>200</v>
      </c>
      <c r="C35" s="5">
        <v>1</v>
      </c>
      <c r="D35" s="5" t="s">
        <v>188</v>
      </c>
      <c r="E35" s="5" t="s">
        <v>210</v>
      </c>
      <c r="F35" s="5">
        <v>15</v>
      </c>
      <c r="G35" s="5">
        <v>0</v>
      </c>
      <c r="H35" s="5">
        <v>0</v>
      </c>
      <c r="I35" s="10">
        <f t="shared" si="1"/>
        <v>15</v>
      </c>
      <c r="L35" s="5" t="s">
        <v>878</v>
      </c>
    </row>
    <row r="36" spans="1:14" x14ac:dyDescent="0.2">
      <c r="A36" s="5">
        <v>1718</v>
      </c>
      <c r="B36" s="5" t="s">
        <v>236</v>
      </c>
      <c r="C36" s="5">
        <v>3</v>
      </c>
      <c r="D36" s="5" t="s">
        <v>204</v>
      </c>
      <c r="E36" s="5" t="s">
        <v>890</v>
      </c>
      <c r="F36" s="5">
        <v>27</v>
      </c>
      <c r="G36" s="5">
        <v>0</v>
      </c>
      <c r="H36" s="5">
        <v>0</v>
      </c>
      <c r="I36" s="10">
        <f t="shared" si="1"/>
        <v>9</v>
      </c>
      <c r="L36" s="5" t="s">
        <v>882</v>
      </c>
    </row>
    <row r="37" spans="1:14" x14ac:dyDescent="0.2">
      <c r="A37" s="5">
        <v>1714</v>
      </c>
      <c r="B37" s="5" t="s">
        <v>236</v>
      </c>
      <c r="C37" s="5">
        <v>1</v>
      </c>
      <c r="D37" s="5" t="s">
        <v>891</v>
      </c>
      <c r="E37" s="5" t="s">
        <v>892</v>
      </c>
      <c r="F37" s="5">
        <v>9</v>
      </c>
      <c r="G37" s="5">
        <v>0</v>
      </c>
      <c r="H37" s="5">
        <v>0</v>
      </c>
      <c r="I37" s="10">
        <f t="shared" si="1"/>
        <v>9</v>
      </c>
      <c r="L37" s="5" t="s">
        <v>880</v>
      </c>
    </row>
    <row r="38" spans="1:14" x14ac:dyDescent="0.2">
      <c r="A38" s="5">
        <v>1749</v>
      </c>
      <c r="B38" s="5" t="s">
        <v>247</v>
      </c>
      <c r="C38" s="5">
        <v>2</v>
      </c>
      <c r="D38" s="5" t="s">
        <v>193</v>
      </c>
      <c r="E38" s="5" t="s">
        <v>893</v>
      </c>
      <c r="F38" s="5">
        <v>1</v>
      </c>
      <c r="G38" s="5">
        <v>2</v>
      </c>
      <c r="H38" s="5">
        <v>0</v>
      </c>
      <c r="I38" s="10">
        <f t="shared" si="1"/>
        <v>0.55000000000000004</v>
      </c>
      <c r="L38" s="5" t="s">
        <v>894</v>
      </c>
    </row>
    <row r="39" spans="1:14" x14ac:dyDescent="0.2">
      <c r="A39" s="5">
        <v>1755</v>
      </c>
      <c r="B39" s="5" t="s">
        <v>200</v>
      </c>
      <c r="C39" s="5">
        <v>32</v>
      </c>
      <c r="D39" s="5" t="s">
        <v>879</v>
      </c>
      <c r="E39" s="5" t="s">
        <v>540</v>
      </c>
      <c r="F39" s="5">
        <v>18</v>
      </c>
      <c r="G39" s="5">
        <v>0</v>
      </c>
      <c r="H39" s="5">
        <v>0</v>
      </c>
      <c r="I39" s="10">
        <f t="shared" si="1"/>
        <v>0.5625</v>
      </c>
      <c r="L39" s="5" t="s">
        <v>886</v>
      </c>
    </row>
    <row r="40" spans="1:14" x14ac:dyDescent="0.2">
      <c r="A40" s="5">
        <v>1755</v>
      </c>
      <c r="B40" s="5" t="s">
        <v>200</v>
      </c>
      <c r="C40" s="5">
        <v>700</v>
      </c>
      <c r="D40" s="5" t="s">
        <v>879</v>
      </c>
      <c r="E40" s="5" t="s">
        <v>211</v>
      </c>
      <c r="F40" s="5">
        <v>85</v>
      </c>
      <c r="G40" s="5">
        <v>0</v>
      </c>
      <c r="H40" s="5">
        <v>0</v>
      </c>
      <c r="I40" s="10">
        <f t="shared" si="1"/>
        <v>0.12142857142857143</v>
      </c>
      <c r="L40" s="5" t="s">
        <v>886</v>
      </c>
    </row>
    <row r="41" spans="1:14" x14ac:dyDescent="0.2">
      <c r="A41" s="5">
        <v>1757</v>
      </c>
      <c r="B41" s="5" t="s">
        <v>186</v>
      </c>
      <c r="C41" s="5">
        <v>5000</v>
      </c>
      <c r="D41" s="5" t="s">
        <v>879</v>
      </c>
      <c r="E41" s="5" t="s">
        <v>211</v>
      </c>
      <c r="F41" s="5">
        <f>J41*N41</f>
        <v>1200</v>
      </c>
      <c r="G41" s="5">
        <v>0</v>
      </c>
      <c r="H41" s="5">
        <v>0</v>
      </c>
      <c r="I41" s="10">
        <f t="shared" si="1"/>
        <v>0.24</v>
      </c>
      <c r="J41" s="5">
        <v>500</v>
      </c>
      <c r="K41" s="5">
        <v>0</v>
      </c>
      <c r="L41" s="5" t="s">
        <v>857</v>
      </c>
      <c r="M41" s="10" t="s">
        <v>817</v>
      </c>
      <c r="N41" s="5">
        <v>2.4</v>
      </c>
    </row>
    <row r="42" spans="1:14" x14ac:dyDescent="0.2">
      <c r="A42" s="5">
        <v>1772</v>
      </c>
      <c r="B42" s="5" t="s">
        <v>244</v>
      </c>
      <c r="C42" s="5">
        <v>4000</v>
      </c>
      <c r="D42" s="5" t="s">
        <v>879</v>
      </c>
      <c r="E42" s="5" t="s">
        <v>211</v>
      </c>
      <c r="F42" s="5">
        <f>J42*N42</f>
        <v>960</v>
      </c>
      <c r="G42" s="5">
        <v>0</v>
      </c>
      <c r="H42" s="5">
        <v>0</v>
      </c>
      <c r="I42" s="10">
        <f t="shared" si="1"/>
        <v>0.24</v>
      </c>
      <c r="J42" s="5">
        <v>400</v>
      </c>
      <c r="K42" s="5">
        <v>0</v>
      </c>
      <c r="L42" s="5" t="s">
        <v>865</v>
      </c>
      <c r="M42" s="10" t="s">
        <v>817</v>
      </c>
      <c r="N42" s="5">
        <v>2.4</v>
      </c>
    </row>
    <row r="43" spans="1:14" x14ac:dyDescent="0.2">
      <c r="A43" s="5">
        <v>1749</v>
      </c>
      <c r="B43" s="5" t="s">
        <v>247</v>
      </c>
      <c r="C43" s="5">
        <v>2</v>
      </c>
      <c r="D43" s="5" t="s">
        <v>193</v>
      </c>
      <c r="E43" s="5" t="s">
        <v>895</v>
      </c>
      <c r="F43" s="5">
        <v>2</v>
      </c>
      <c r="G43" s="5">
        <v>4</v>
      </c>
      <c r="H43" s="5">
        <v>0</v>
      </c>
      <c r="I43" s="10">
        <f t="shared" si="1"/>
        <v>1.1000000000000001</v>
      </c>
      <c r="L43" s="5" t="s">
        <v>894</v>
      </c>
    </row>
    <row r="44" spans="1:14" x14ac:dyDescent="0.2">
      <c r="A44" s="5">
        <v>1716</v>
      </c>
      <c r="B44" s="5" t="s">
        <v>226</v>
      </c>
      <c r="C44" s="5">
        <v>200</v>
      </c>
      <c r="D44" s="5" t="s">
        <v>188</v>
      </c>
      <c r="E44" s="5" t="s">
        <v>259</v>
      </c>
      <c r="F44" s="5">
        <v>1700</v>
      </c>
      <c r="G44" s="5">
        <v>0</v>
      </c>
      <c r="H44" s="5">
        <v>0</v>
      </c>
      <c r="I44" s="10">
        <f t="shared" si="1"/>
        <v>8.5</v>
      </c>
      <c r="L44" s="5" t="s">
        <v>867</v>
      </c>
    </row>
    <row r="45" spans="1:14" x14ac:dyDescent="0.2">
      <c r="A45" s="5">
        <v>1716</v>
      </c>
      <c r="B45" s="5" t="s">
        <v>226</v>
      </c>
      <c r="C45" s="5">
        <v>20</v>
      </c>
      <c r="D45" s="5" t="s">
        <v>188</v>
      </c>
      <c r="E45" s="5" t="s">
        <v>259</v>
      </c>
      <c r="F45" s="5">
        <v>150</v>
      </c>
      <c r="G45" s="5">
        <v>0</v>
      </c>
      <c r="H45" s="5">
        <v>0</v>
      </c>
      <c r="I45" s="10">
        <f t="shared" si="1"/>
        <v>7.5</v>
      </c>
      <c r="L45" s="5" t="s">
        <v>867</v>
      </c>
    </row>
    <row r="46" spans="1:14" x14ac:dyDescent="0.2">
      <c r="A46" s="5">
        <v>1751</v>
      </c>
      <c r="B46" s="5" t="s">
        <v>244</v>
      </c>
      <c r="C46" s="5">
        <v>58</v>
      </c>
      <c r="D46" s="5" t="s">
        <v>896</v>
      </c>
      <c r="E46" s="5" t="s">
        <v>215</v>
      </c>
      <c r="F46" s="5">
        <f>J46*N46</f>
        <v>52.800000000000004</v>
      </c>
      <c r="G46" s="5">
        <v>0</v>
      </c>
      <c r="H46" s="5">
        <v>0</v>
      </c>
      <c r="I46" s="10">
        <f t="shared" si="1"/>
        <v>0.91034482758620694</v>
      </c>
      <c r="J46" s="5">
        <v>24</v>
      </c>
      <c r="K46" s="5">
        <v>0</v>
      </c>
      <c r="L46" s="5" t="s">
        <v>897</v>
      </c>
      <c r="M46" s="10" t="s">
        <v>817</v>
      </c>
      <c r="N46" s="5">
        <v>2.2000000000000002</v>
      </c>
    </row>
    <row r="47" spans="1:14" x14ac:dyDescent="0.2">
      <c r="A47" s="5">
        <v>1749</v>
      </c>
      <c r="B47" s="5" t="s">
        <v>247</v>
      </c>
      <c r="C47" s="5">
        <v>8</v>
      </c>
      <c r="D47" s="5" t="s">
        <v>193</v>
      </c>
      <c r="E47" s="5" t="s">
        <v>617</v>
      </c>
      <c r="F47" s="5">
        <v>0</v>
      </c>
      <c r="G47" s="5">
        <v>16</v>
      </c>
      <c r="H47" s="5">
        <v>0</v>
      </c>
      <c r="I47" s="10">
        <f t="shared" si="1"/>
        <v>0.1</v>
      </c>
      <c r="L47" s="5" t="s">
        <v>894</v>
      </c>
    </row>
    <row r="48" spans="1:14" x14ac:dyDescent="0.2">
      <c r="A48" s="5">
        <v>1749</v>
      </c>
      <c r="B48" s="5" t="s">
        <v>247</v>
      </c>
      <c r="C48" s="5">
        <v>13</v>
      </c>
      <c r="D48" s="5" t="s">
        <v>193</v>
      </c>
      <c r="E48" s="5" t="s">
        <v>216</v>
      </c>
      <c r="F48" s="5">
        <v>1</v>
      </c>
      <c r="G48" s="5">
        <v>15</v>
      </c>
      <c r="H48" s="5">
        <v>7</v>
      </c>
      <c r="I48" s="10">
        <f t="shared" si="1"/>
        <v>0.13629807692307694</v>
      </c>
      <c r="L48" s="5" t="s">
        <v>894</v>
      </c>
    </row>
    <row r="49" spans="1:14" x14ac:dyDescent="0.2">
      <c r="A49" s="5">
        <v>1757</v>
      </c>
      <c r="B49" s="5" t="s">
        <v>186</v>
      </c>
      <c r="C49" s="5">
        <v>200</v>
      </c>
      <c r="D49" s="5" t="s">
        <v>879</v>
      </c>
      <c r="E49" s="5" t="s">
        <v>216</v>
      </c>
      <c r="F49" s="5">
        <f>J49*N49</f>
        <v>9.6</v>
      </c>
      <c r="G49" s="5">
        <v>0</v>
      </c>
      <c r="H49" s="5">
        <v>0</v>
      </c>
      <c r="I49" s="10">
        <f t="shared" si="1"/>
        <v>4.8000000000000001E-2</v>
      </c>
      <c r="J49" s="5">
        <v>4</v>
      </c>
      <c r="K49" s="5">
        <v>0</v>
      </c>
      <c r="L49" s="5" t="s">
        <v>857</v>
      </c>
      <c r="M49" s="10" t="s">
        <v>817</v>
      </c>
      <c r="N49" s="5">
        <v>2.4</v>
      </c>
    </row>
    <row r="50" spans="1:14" x14ac:dyDescent="0.2">
      <c r="A50" s="5">
        <v>1772</v>
      </c>
      <c r="B50" s="5" t="s">
        <v>244</v>
      </c>
      <c r="C50" s="5">
        <v>400</v>
      </c>
      <c r="D50" s="5" t="s">
        <v>879</v>
      </c>
      <c r="E50" s="5" t="s">
        <v>216</v>
      </c>
      <c r="F50" s="5">
        <f>J50*N50</f>
        <v>21.599999999999998</v>
      </c>
      <c r="G50" s="5">
        <v>0</v>
      </c>
      <c r="H50" s="5">
        <v>0</v>
      </c>
      <c r="I50" s="10">
        <f t="shared" si="1"/>
        <v>5.3999999999999992E-2</v>
      </c>
      <c r="J50" s="5">
        <v>9</v>
      </c>
      <c r="K50" s="5">
        <v>0</v>
      </c>
      <c r="L50" s="5" t="s">
        <v>865</v>
      </c>
      <c r="M50" s="10" t="s">
        <v>817</v>
      </c>
      <c r="N50" s="5">
        <v>2.4</v>
      </c>
    </row>
    <row r="51" spans="1:14" x14ac:dyDescent="0.2">
      <c r="A51" s="5">
        <v>1716</v>
      </c>
      <c r="B51" s="5" t="s">
        <v>226</v>
      </c>
      <c r="C51" s="5">
        <v>80</v>
      </c>
      <c r="D51" s="5" t="s">
        <v>188</v>
      </c>
      <c r="E51" s="5" t="s">
        <v>622</v>
      </c>
      <c r="F51" s="5">
        <v>560</v>
      </c>
      <c r="G51" s="5">
        <v>0</v>
      </c>
      <c r="H51" s="5">
        <v>0</v>
      </c>
      <c r="I51" s="10">
        <f t="shared" si="1"/>
        <v>7</v>
      </c>
      <c r="L51" s="5" t="s">
        <v>867</v>
      </c>
    </row>
    <row r="52" spans="1:14" x14ac:dyDescent="0.2">
      <c r="A52" s="5">
        <v>1749</v>
      </c>
      <c r="B52" s="5" t="s">
        <v>247</v>
      </c>
      <c r="C52" s="5">
        <v>8</v>
      </c>
      <c r="D52" s="5" t="s">
        <v>193</v>
      </c>
      <c r="E52" s="5" t="s">
        <v>898</v>
      </c>
      <c r="F52" s="5">
        <v>1</v>
      </c>
      <c r="G52" s="5">
        <v>12</v>
      </c>
      <c r="H52" s="5">
        <v>0</v>
      </c>
      <c r="I52" s="10">
        <f t="shared" si="1"/>
        <v>0.2</v>
      </c>
      <c r="L52" s="5" t="s">
        <v>894</v>
      </c>
    </row>
    <row r="53" spans="1:14" x14ac:dyDescent="0.2">
      <c r="A53" s="5">
        <v>1716</v>
      </c>
      <c r="B53" s="5" t="s">
        <v>899</v>
      </c>
      <c r="C53" s="5">
        <v>120</v>
      </c>
      <c r="D53" s="5" t="s">
        <v>204</v>
      </c>
      <c r="E53" s="5" t="s">
        <v>642</v>
      </c>
      <c r="F53" s="5">
        <v>180</v>
      </c>
      <c r="G53" s="5">
        <v>0</v>
      </c>
      <c r="H53" s="5">
        <v>0</v>
      </c>
      <c r="I53" s="10">
        <f t="shared" si="1"/>
        <v>1.5</v>
      </c>
      <c r="L53" s="5" t="s">
        <v>900</v>
      </c>
    </row>
    <row r="54" spans="1:14" x14ac:dyDescent="0.2">
      <c r="A54" s="5">
        <v>1718</v>
      </c>
      <c r="B54" s="5" t="s">
        <v>236</v>
      </c>
      <c r="C54" s="5">
        <v>1600</v>
      </c>
      <c r="D54" s="5" t="s">
        <v>204</v>
      </c>
      <c r="E54" s="5" t="s">
        <v>642</v>
      </c>
      <c r="F54" s="5">
        <v>4800</v>
      </c>
      <c r="G54" s="5">
        <v>0</v>
      </c>
      <c r="H54" s="5">
        <v>0</v>
      </c>
      <c r="I54" s="10">
        <f t="shared" si="1"/>
        <v>3</v>
      </c>
      <c r="L54" s="5" t="s">
        <v>882</v>
      </c>
    </row>
    <row r="55" spans="1:14" x14ac:dyDescent="0.2">
      <c r="A55" s="5">
        <v>1724</v>
      </c>
      <c r="B55" s="5" t="s">
        <v>200</v>
      </c>
      <c r="C55" s="5">
        <v>400</v>
      </c>
      <c r="D55" s="5" t="s">
        <v>204</v>
      </c>
      <c r="E55" s="5" t="s">
        <v>642</v>
      </c>
      <c r="F55" s="5">
        <v>2000</v>
      </c>
      <c r="G55" s="5">
        <v>0</v>
      </c>
      <c r="H55" s="5">
        <v>0</v>
      </c>
      <c r="I55" s="10">
        <f t="shared" si="1"/>
        <v>5</v>
      </c>
      <c r="L55" s="5" t="s">
        <v>878</v>
      </c>
    </row>
    <row r="56" spans="1:14" x14ac:dyDescent="0.2">
      <c r="A56" s="5">
        <v>1807</v>
      </c>
      <c r="B56" s="5" t="s">
        <v>196</v>
      </c>
      <c r="C56" s="5">
        <v>100</v>
      </c>
      <c r="D56" s="5" t="s">
        <v>204</v>
      </c>
      <c r="E56" s="5" t="s">
        <v>642</v>
      </c>
      <c r="F56" s="5">
        <f>J56*N56</f>
        <v>240</v>
      </c>
      <c r="G56" s="5">
        <v>0</v>
      </c>
      <c r="H56" s="5">
        <v>0</v>
      </c>
      <c r="I56" s="10">
        <f t="shared" si="1"/>
        <v>2.4</v>
      </c>
      <c r="J56" s="5">
        <v>100</v>
      </c>
      <c r="K56" s="5">
        <v>0</v>
      </c>
      <c r="L56" s="5" t="s">
        <v>901</v>
      </c>
      <c r="M56" s="10" t="s">
        <v>817</v>
      </c>
      <c r="N56" s="5">
        <v>2.4</v>
      </c>
    </row>
    <row r="57" spans="1:14" x14ac:dyDescent="0.2">
      <c r="A57" s="5">
        <v>1752</v>
      </c>
      <c r="B57" s="5" t="s">
        <v>247</v>
      </c>
      <c r="C57" s="5">
        <v>900</v>
      </c>
      <c r="D57" s="5" t="s">
        <v>879</v>
      </c>
      <c r="E57" s="5" t="s">
        <v>265</v>
      </c>
      <c r="F57" s="5">
        <f>J57*N57</f>
        <v>198.00000000000003</v>
      </c>
      <c r="G57" s="5">
        <v>0</v>
      </c>
      <c r="H57" s="5">
        <v>0</v>
      </c>
      <c r="I57" s="10">
        <f t="shared" si="1"/>
        <v>0.22000000000000003</v>
      </c>
      <c r="J57" s="5">
        <v>90</v>
      </c>
      <c r="K57" s="5">
        <v>0</v>
      </c>
      <c r="L57" s="5" t="s">
        <v>902</v>
      </c>
      <c r="M57" s="10" t="s">
        <v>817</v>
      </c>
      <c r="N57" s="5">
        <v>2.2000000000000002</v>
      </c>
    </row>
    <row r="58" spans="1:14" x14ac:dyDescent="0.2">
      <c r="A58" s="5">
        <v>1755</v>
      </c>
      <c r="B58" s="5" t="s">
        <v>200</v>
      </c>
      <c r="C58" s="5">
        <v>1700</v>
      </c>
      <c r="D58" s="5" t="s">
        <v>879</v>
      </c>
      <c r="E58" s="5" t="s">
        <v>265</v>
      </c>
      <c r="F58" s="5">
        <v>160</v>
      </c>
      <c r="G58" s="5">
        <v>0</v>
      </c>
      <c r="H58" s="5">
        <v>0</v>
      </c>
      <c r="I58" s="10">
        <f t="shared" si="1"/>
        <v>9.4117647058823528E-2</v>
      </c>
      <c r="L58" s="5" t="s">
        <v>886</v>
      </c>
    </row>
    <row r="59" spans="1:14" x14ac:dyDescent="0.2">
      <c r="A59" s="5">
        <v>1707</v>
      </c>
      <c r="B59" s="5" t="s">
        <v>260</v>
      </c>
      <c r="C59" s="5">
        <v>1</v>
      </c>
      <c r="D59" s="5" t="s">
        <v>903</v>
      </c>
      <c r="E59" s="5" t="s">
        <v>219</v>
      </c>
      <c r="F59" s="5">
        <v>9</v>
      </c>
      <c r="G59" s="13">
        <v>0.375</v>
      </c>
      <c r="H59" s="5">
        <v>0</v>
      </c>
      <c r="I59" s="10">
        <f t="shared" si="1"/>
        <v>9.0187500000000007</v>
      </c>
      <c r="L59" s="5" t="s">
        <v>870</v>
      </c>
    </row>
    <row r="60" spans="1:14" x14ac:dyDescent="0.2">
      <c r="A60" s="5">
        <v>1718</v>
      </c>
      <c r="B60" s="5" t="s">
        <v>236</v>
      </c>
      <c r="C60" s="5">
        <v>150</v>
      </c>
      <c r="D60" s="5" t="s">
        <v>879</v>
      </c>
      <c r="E60" s="5" t="s">
        <v>219</v>
      </c>
      <c r="F60" s="5">
        <v>15</v>
      </c>
      <c r="G60" s="5">
        <v>0</v>
      </c>
      <c r="H60" s="5">
        <v>0</v>
      </c>
      <c r="I60" s="10">
        <f t="shared" si="1"/>
        <v>0.1</v>
      </c>
      <c r="L60" s="5" t="s">
        <v>882</v>
      </c>
    </row>
    <row r="61" spans="1:14" x14ac:dyDescent="0.2">
      <c r="A61" s="5">
        <v>1725</v>
      </c>
      <c r="B61" s="5" t="s">
        <v>196</v>
      </c>
      <c r="C61" s="5">
        <v>1</v>
      </c>
      <c r="D61" s="5" t="s">
        <v>758</v>
      </c>
      <c r="E61" s="5" t="s">
        <v>219</v>
      </c>
      <c r="F61" s="5">
        <v>14</v>
      </c>
      <c r="G61" s="5">
        <v>0</v>
      </c>
      <c r="H61" s="5">
        <v>0</v>
      </c>
      <c r="I61" s="10">
        <f t="shared" si="1"/>
        <v>14</v>
      </c>
      <c r="L61" s="5" t="s">
        <v>904</v>
      </c>
    </row>
    <row r="62" spans="1:14" x14ac:dyDescent="0.2">
      <c r="A62" s="5">
        <v>1757</v>
      </c>
      <c r="B62" s="5" t="s">
        <v>186</v>
      </c>
      <c r="C62" s="5">
        <v>1150</v>
      </c>
      <c r="D62" s="5" t="s">
        <v>879</v>
      </c>
      <c r="E62" s="5" t="s">
        <v>219</v>
      </c>
      <c r="F62" s="5">
        <f>J62*N62</f>
        <v>172.79999999999998</v>
      </c>
      <c r="G62" s="5">
        <v>0</v>
      </c>
      <c r="H62" s="5">
        <v>0</v>
      </c>
      <c r="I62" s="10">
        <f t="shared" si="1"/>
        <v>0.15026086956521736</v>
      </c>
      <c r="J62" s="5">
        <v>72</v>
      </c>
      <c r="K62" s="5">
        <v>0</v>
      </c>
      <c r="L62" s="5" t="s">
        <v>857</v>
      </c>
      <c r="M62" s="10" t="s">
        <v>817</v>
      </c>
      <c r="N62" s="5">
        <v>2.4</v>
      </c>
    </row>
    <row r="63" spans="1:14" x14ac:dyDescent="0.2">
      <c r="A63" s="5">
        <v>1772</v>
      </c>
      <c r="B63" s="5" t="s">
        <v>244</v>
      </c>
      <c r="C63" s="5">
        <v>2000</v>
      </c>
      <c r="D63" s="5" t="s">
        <v>879</v>
      </c>
      <c r="E63" s="5" t="s">
        <v>219</v>
      </c>
      <c r="F63" s="5">
        <f>J63*N63</f>
        <v>288</v>
      </c>
      <c r="G63" s="5">
        <v>0</v>
      </c>
      <c r="H63" s="5">
        <v>0</v>
      </c>
      <c r="I63" s="10">
        <f t="shared" si="1"/>
        <v>0.14399999999999999</v>
      </c>
      <c r="J63" s="5">
        <v>120</v>
      </c>
      <c r="K63" s="5">
        <v>0</v>
      </c>
      <c r="L63" s="5" t="s">
        <v>865</v>
      </c>
      <c r="M63" s="10" t="s">
        <v>817</v>
      </c>
      <c r="N63" s="5">
        <v>2.4</v>
      </c>
    </row>
    <row r="64" spans="1:14" x14ac:dyDescent="0.2">
      <c r="A64" s="5">
        <v>1757</v>
      </c>
      <c r="B64" s="5" t="s">
        <v>186</v>
      </c>
      <c r="C64" s="5">
        <v>1400</v>
      </c>
      <c r="D64" s="5" t="s">
        <v>879</v>
      </c>
      <c r="E64" s="5" t="s">
        <v>905</v>
      </c>
      <c r="F64" s="5">
        <f>J64*N64</f>
        <v>280.8</v>
      </c>
      <c r="G64" s="5">
        <v>0</v>
      </c>
      <c r="H64" s="5">
        <v>0</v>
      </c>
      <c r="I64" s="10">
        <f t="shared" si="1"/>
        <v>0.20057142857142857</v>
      </c>
      <c r="J64" s="5">
        <v>117.00000000000001</v>
      </c>
      <c r="K64" s="5">
        <v>0</v>
      </c>
      <c r="L64" s="5" t="s">
        <v>857</v>
      </c>
      <c r="M64" s="10" t="s">
        <v>817</v>
      </c>
      <c r="N64" s="5">
        <v>2.4</v>
      </c>
    </row>
    <row r="65" spans="1:14" x14ac:dyDescent="0.2">
      <c r="A65" s="5">
        <v>1772</v>
      </c>
      <c r="B65" s="5" t="s">
        <v>244</v>
      </c>
      <c r="C65" s="5">
        <v>750</v>
      </c>
      <c r="D65" s="5" t="s">
        <v>879</v>
      </c>
      <c r="E65" s="5" t="s">
        <v>905</v>
      </c>
      <c r="F65" s="5">
        <f>J65*N65</f>
        <v>156</v>
      </c>
      <c r="G65" s="5">
        <v>0</v>
      </c>
      <c r="H65" s="5">
        <v>0</v>
      </c>
      <c r="I65" s="10">
        <f t="shared" si="1"/>
        <v>0.20799999999999999</v>
      </c>
      <c r="J65" s="5">
        <v>65</v>
      </c>
      <c r="K65" s="5">
        <v>0</v>
      </c>
      <c r="L65" s="5" t="s">
        <v>865</v>
      </c>
      <c r="M65" s="10" t="s">
        <v>817</v>
      </c>
      <c r="N65" s="5">
        <v>2.4</v>
      </c>
    </row>
    <row r="66" spans="1:14" x14ac:dyDescent="0.2">
      <c r="A66" s="5">
        <v>1707</v>
      </c>
      <c r="B66" s="5" t="s">
        <v>244</v>
      </c>
      <c r="C66" s="13">
        <v>9.75</v>
      </c>
      <c r="D66" s="5" t="s">
        <v>188</v>
      </c>
      <c r="E66" s="5" t="s">
        <v>189</v>
      </c>
      <c r="F66" s="5">
        <f>J66*N66</f>
        <v>64.8</v>
      </c>
      <c r="G66" s="13">
        <v>0.625</v>
      </c>
      <c r="H66" s="5">
        <v>0</v>
      </c>
      <c r="I66" s="10">
        <f t="shared" si="1"/>
        <v>6.6493589743589743</v>
      </c>
      <c r="J66" s="5">
        <v>27</v>
      </c>
      <c r="K66" s="13">
        <v>0.625</v>
      </c>
      <c r="L66" s="5" t="s">
        <v>906</v>
      </c>
      <c r="M66" s="10" t="s">
        <v>817</v>
      </c>
      <c r="N66" s="5">
        <v>2.4</v>
      </c>
    </row>
    <row r="67" spans="1:14" x14ac:dyDescent="0.2">
      <c r="A67" s="5">
        <v>1716</v>
      </c>
      <c r="B67" s="5" t="s">
        <v>226</v>
      </c>
      <c r="C67" s="5">
        <v>60</v>
      </c>
      <c r="D67" s="5" t="s">
        <v>188</v>
      </c>
      <c r="E67" s="5" t="s">
        <v>189</v>
      </c>
      <c r="F67" s="5">
        <v>480</v>
      </c>
      <c r="G67" s="5">
        <v>0</v>
      </c>
      <c r="H67" s="5">
        <v>0</v>
      </c>
      <c r="I67" s="10">
        <f t="shared" si="1"/>
        <v>8</v>
      </c>
      <c r="L67" s="5" t="s">
        <v>867</v>
      </c>
    </row>
    <row r="68" spans="1:14" x14ac:dyDescent="0.2">
      <c r="A68" s="5">
        <v>1719</v>
      </c>
      <c r="B68" s="5" t="s">
        <v>261</v>
      </c>
      <c r="C68" s="5">
        <v>60</v>
      </c>
      <c r="D68" s="5" t="s">
        <v>188</v>
      </c>
      <c r="E68" s="5" t="s">
        <v>189</v>
      </c>
      <c r="F68" s="5">
        <v>480</v>
      </c>
      <c r="G68" s="5">
        <v>0</v>
      </c>
      <c r="H68" s="5">
        <v>0</v>
      </c>
      <c r="I68" s="10">
        <f t="shared" si="1"/>
        <v>8</v>
      </c>
      <c r="L68" s="5" t="s">
        <v>907</v>
      </c>
    </row>
    <row r="69" spans="1:14" x14ac:dyDescent="0.2">
      <c r="A69" s="5">
        <v>1724</v>
      </c>
      <c r="B69" s="5" t="s">
        <v>200</v>
      </c>
      <c r="C69" s="5">
        <v>57</v>
      </c>
      <c r="D69" s="5" t="s">
        <v>188</v>
      </c>
      <c r="E69" s="5" t="s">
        <v>189</v>
      </c>
      <c r="F69" s="5">
        <v>342</v>
      </c>
      <c r="G69" s="5">
        <v>0</v>
      </c>
      <c r="H69" s="5">
        <v>0</v>
      </c>
      <c r="I69" s="10">
        <f t="shared" si="1"/>
        <v>6</v>
      </c>
      <c r="L69" s="5" t="s">
        <v>878</v>
      </c>
    </row>
    <row r="70" spans="1:14" x14ac:dyDescent="0.2">
      <c r="A70" s="5">
        <v>1762</v>
      </c>
      <c r="B70" s="5" t="s">
        <v>197</v>
      </c>
      <c r="C70" s="5">
        <v>150</v>
      </c>
      <c r="D70" s="5" t="s">
        <v>188</v>
      </c>
      <c r="E70" s="5" t="s">
        <v>189</v>
      </c>
      <c r="F70" s="5">
        <f>J70*N70</f>
        <v>720</v>
      </c>
      <c r="G70" s="5">
        <v>0</v>
      </c>
      <c r="H70" s="5">
        <v>0</v>
      </c>
      <c r="I70" s="10">
        <f t="shared" si="1"/>
        <v>4.8</v>
      </c>
      <c r="J70" s="5">
        <v>300</v>
      </c>
      <c r="K70" s="5">
        <v>0</v>
      </c>
      <c r="L70" s="5" t="s">
        <v>908</v>
      </c>
      <c r="M70" s="10" t="s">
        <v>817</v>
      </c>
      <c r="N70" s="5">
        <v>2.4</v>
      </c>
    </row>
    <row r="71" spans="1:14" x14ac:dyDescent="0.2">
      <c r="A71" s="5">
        <v>1772</v>
      </c>
      <c r="B71" s="5" t="s">
        <v>244</v>
      </c>
      <c r="C71" s="5">
        <v>10</v>
      </c>
      <c r="D71" s="5" t="s">
        <v>188</v>
      </c>
      <c r="E71" s="5" t="s">
        <v>189</v>
      </c>
      <c r="F71" s="5">
        <f>J71*N71</f>
        <v>60</v>
      </c>
      <c r="G71" s="5">
        <v>0</v>
      </c>
      <c r="H71" s="5">
        <v>0</v>
      </c>
      <c r="I71" s="10">
        <f t="shared" si="1"/>
        <v>6</v>
      </c>
      <c r="J71" s="5">
        <v>25</v>
      </c>
      <c r="K71" s="5">
        <v>0</v>
      </c>
      <c r="L71" s="5" t="s">
        <v>865</v>
      </c>
      <c r="M71" s="10" t="s">
        <v>817</v>
      </c>
      <c r="N71" s="5">
        <v>2.4</v>
      </c>
    </row>
    <row r="72" spans="1:14" x14ac:dyDescent="0.2">
      <c r="A72" s="5">
        <v>1749</v>
      </c>
      <c r="B72" s="5" t="s">
        <v>247</v>
      </c>
      <c r="C72" s="5">
        <v>4.5</v>
      </c>
      <c r="D72" s="5" t="s">
        <v>909</v>
      </c>
      <c r="E72" s="5" t="s">
        <v>705</v>
      </c>
      <c r="F72" s="5">
        <v>2</v>
      </c>
      <c r="G72" s="5">
        <v>4</v>
      </c>
      <c r="H72" s="5">
        <v>0</v>
      </c>
      <c r="I72" s="10">
        <f t="shared" ref="I72:I102" si="3">(F72+G72/20+H72/320)/C72</f>
        <v>0.48888888888888893</v>
      </c>
      <c r="L72" s="5" t="s">
        <v>894</v>
      </c>
      <c r="M72" s="10" t="s">
        <v>910</v>
      </c>
    </row>
    <row r="73" spans="1:14" x14ac:dyDescent="0.2">
      <c r="A73" s="5">
        <v>1749</v>
      </c>
      <c r="B73" s="5" t="s">
        <v>247</v>
      </c>
      <c r="C73" s="5">
        <v>5.5</v>
      </c>
      <c r="D73" s="5" t="s">
        <v>911</v>
      </c>
      <c r="E73" s="5" t="s">
        <v>705</v>
      </c>
      <c r="F73" s="5">
        <v>2</v>
      </c>
      <c r="G73" s="5">
        <v>15</v>
      </c>
      <c r="H73" s="5">
        <v>0</v>
      </c>
      <c r="I73" s="10">
        <f t="shared" si="3"/>
        <v>0.5</v>
      </c>
      <c r="L73" s="5" t="s">
        <v>894</v>
      </c>
      <c r="M73" s="10" t="s">
        <v>910</v>
      </c>
    </row>
    <row r="74" spans="1:14" x14ac:dyDescent="0.2">
      <c r="A74" s="5">
        <v>1715</v>
      </c>
      <c r="B74" s="5" t="s">
        <v>226</v>
      </c>
      <c r="C74" s="5">
        <v>39</v>
      </c>
      <c r="D74" s="5" t="s">
        <v>879</v>
      </c>
      <c r="E74" s="5" t="s">
        <v>194</v>
      </c>
      <c r="F74" s="5">
        <v>2</v>
      </c>
      <c r="G74" s="5">
        <v>0</v>
      </c>
      <c r="H74" s="5">
        <v>3</v>
      </c>
      <c r="I74" s="10">
        <f t="shared" si="3"/>
        <v>5.1522435897435895E-2</v>
      </c>
      <c r="L74" s="5" t="s">
        <v>881</v>
      </c>
    </row>
    <row r="75" spans="1:14" x14ac:dyDescent="0.2">
      <c r="A75" s="5">
        <v>1714</v>
      </c>
      <c r="B75" s="5" t="s">
        <v>236</v>
      </c>
      <c r="C75" s="5">
        <v>0.5</v>
      </c>
      <c r="D75" s="5" t="s">
        <v>296</v>
      </c>
      <c r="E75" s="5" t="s">
        <v>742</v>
      </c>
      <c r="F75" s="5">
        <v>15</v>
      </c>
      <c r="G75" s="5">
        <v>0</v>
      </c>
      <c r="H75" s="5">
        <v>0</v>
      </c>
      <c r="I75" s="10">
        <f t="shared" si="3"/>
        <v>30</v>
      </c>
      <c r="L75" s="5" t="s">
        <v>880</v>
      </c>
    </row>
    <row r="76" spans="1:14" x14ac:dyDescent="0.2">
      <c r="A76" s="5">
        <v>1715</v>
      </c>
      <c r="B76" s="5" t="s">
        <v>226</v>
      </c>
      <c r="C76" s="5">
        <v>0.5</v>
      </c>
      <c r="D76" s="5" t="s">
        <v>296</v>
      </c>
      <c r="E76" s="5" t="s">
        <v>742</v>
      </c>
      <c r="F76" s="5">
        <v>6</v>
      </c>
      <c r="G76" s="5">
        <v>0</v>
      </c>
      <c r="H76" s="5">
        <v>0</v>
      </c>
      <c r="I76" s="10">
        <f t="shared" si="3"/>
        <v>12</v>
      </c>
      <c r="L76" s="5" t="s">
        <v>881</v>
      </c>
    </row>
    <row r="77" spans="1:14" x14ac:dyDescent="0.2">
      <c r="A77" s="5">
        <v>1716</v>
      </c>
      <c r="B77" s="5" t="s">
        <v>899</v>
      </c>
      <c r="C77" s="5">
        <v>7</v>
      </c>
      <c r="D77" s="5" t="s">
        <v>278</v>
      </c>
      <c r="E77" s="5" t="s">
        <v>742</v>
      </c>
      <c r="F77" s="5">
        <v>637</v>
      </c>
      <c r="G77" s="5">
        <v>0</v>
      </c>
      <c r="H77" s="5">
        <v>0</v>
      </c>
      <c r="I77" s="10">
        <f t="shared" si="3"/>
        <v>91</v>
      </c>
      <c r="L77" s="5" t="s">
        <v>900</v>
      </c>
      <c r="M77" s="10" t="s">
        <v>912</v>
      </c>
    </row>
    <row r="78" spans="1:14" x14ac:dyDescent="0.2">
      <c r="A78" s="5">
        <v>1757</v>
      </c>
      <c r="B78" s="5" t="s">
        <v>186</v>
      </c>
      <c r="C78" s="5">
        <v>8</v>
      </c>
      <c r="D78" s="5" t="s">
        <v>278</v>
      </c>
      <c r="E78" s="5" t="s">
        <v>742</v>
      </c>
      <c r="F78" s="5">
        <f>J78*N78</f>
        <v>307.2</v>
      </c>
      <c r="G78" s="5">
        <v>0</v>
      </c>
      <c r="H78" s="5">
        <v>0</v>
      </c>
      <c r="I78" s="10">
        <f t="shared" si="3"/>
        <v>38.4</v>
      </c>
      <c r="J78" s="5">
        <v>128</v>
      </c>
      <c r="K78" s="5">
        <v>0</v>
      </c>
      <c r="L78" s="5" t="s">
        <v>857</v>
      </c>
      <c r="M78" s="10" t="s">
        <v>817</v>
      </c>
      <c r="N78" s="5">
        <v>2.4</v>
      </c>
    </row>
    <row r="79" spans="1:14" x14ac:dyDescent="0.2">
      <c r="A79" s="5">
        <v>1772</v>
      </c>
      <c r="B79" s="5" t="s">
        <v>244</v>
      </c>
      <c r="C79" s="5">
        <v>14</v>
      </c>
      <c r="D79" s="5" t="s">
        <v>598</v>
      </c>
      <c r="E79" s="5" t="s">
        <v>742</v>
      </c>
      <c r="F79" s="5">
        <f>J79*N79</f>
        <v>240</v>
      </c>
      <c r="G79" s="5">
        <v>0</v>
      </c>
      <c r="H79" s="5">
        <v>0</v>
      </c>
      <c r="I79" s="10">
        <f t="shared" si="3"/>
        <v>17.142857142857142</v>
      </c>
      <c r="J79" s="5">
        <v>100</v>
      </c>
      <c r="K79" s="5">
        <v>0</v>
      </c>
      <c r="L79" s="5" t="s">
        <v>865</v>
      </c>
      <c r="M79" s="10" t="s">
        <v>817</v>
      </c>
      <c r="N79" s="5">
        <v>2.4</v>
      </c>
    </row>
    <row r="80" spans="1:14" x14ac:dyDescent="0.2">
      <c r="A80" s="5">
        <v>1718</v>
      </c>
      <c r="B80" s="5" t="s">
        <v>236</v>
      </c>
      <c r="C80" s="5">
        <v>146</v>
      </c>
      <c r="D80" s="5" t="s">
        <v>278</v>
      </c>
      <c r="E80" s="5" t="s">
        <v>744</v>
      </c>
      <c r="F80" s="5">
        <v>9636</v>
      </c>
      <c r="G80" s="5">
        <v>0</v>
      </c>
      <c r="H80" s="5">
        <v>0</v>
      </c>
      <c r="I80" s="10">
        <f t="shared" si="3"/>
        <v>66</v>
      </c>
      <c r="L80" s="5" t="s">
        <v>882</v>
      </c>
    </row>
    <row r="81" spans="1:14" x14ac:dyDescent="0.2">
      <c r="A81" s="5">
        <v>1716</v>
      </c>
      <c r="B81" s="5" t="s">
        <v>226</v>
      </c>
      <c r="C81" s="5">
        <v>1</v>
      </c>
      <c r="D81" s="5" t="s">
        <v>278</v>
      </c>
      <c r="E81" s="5" t="s">
        <v>913</v>
      </c>
      <c r="F81" s="5">
        <v>150</v>
      </c>
      <c r="G81" s="5">
        <v>0</v>
      </c>
      <c r="H81" s="5">
        <v>0</v>
      </c>
      <c r="I81" s="10">
        <f t="shared" si="3"/>
        <v>150</v>
      </c>
      <c r="L81" s="5" t="s">
        <v>867</v>
      </c>
    </row>
    <row r="82" spans="1:14" x14ac:dyDescent="0.2">
      <c r="A82" s="5">
        <v>1716</v>
      </c>
      <c r="B82" s="5" t="s">
        <v>226</v>
      </c>
      <c r="C82" s="5">
        <v>3</v>
      </c>
      <c r="D82" s="5" t="s">
        <v>278</v>
      </c>
      <c r="E82" s="5" t="s">
        <v>914</v>
      </c>
      <c r="F82" s="5">
        <v>342</v>
      </c>
      <c r="G82" s="5">
        <v>0</v>
      </c>
      <c r="H82" s="5">
        <v>0</v>
      </c>
      <c r="I82" s="10">
        <f t="shared" si="3"/>
        <v>114</v>
      </c>
      <c r="L82" s="5" t="s">
        <v>867</v>
      </c>
    </row>
    <row r="83" spans="1:14" x14ac:dyDescent="0.2">
      <c r="A83" s="5">
        <v>1707</v>
      </c>
      <c r="B83" s="5" t="s">
        <v>260</v>
      </c>
      <c r="C83" s="5">
        <v>0.5</v>
      </c>
      <c r="D83" s="5" t="s">
        <v>758</v>
      </c>
      <c r="E83" s="5" t="s">
        <v>224</v>
      </c>
      <c r="F83" s="5">
        <v>4</v>
      </c>
      <c r="G83" s="5">
        <v>0</v>
      </c>
      <c r="H83" s="5">
        <v>0</v>
      </c>
      <c r="I83" s="10">
        <f>(F83+G83/20+H83/320)/C83</f>
        <v>8</v>
      </c>
      <c r="L83" s="5" t="s">
        <v>870</v>
      </c>
    </row>
    <row r="84" spans="1:14" x14ac:dyDescent="0.2">
      <c r="A84" s="5">
        <v>1714</v>
      </c>
      <c r="B84" s="5" t="s">
        <v>200</v>
      </c>
      <c r="C84" s="5">
        <v>50</v>
      </c>
      <c r="D84" s="5" t="s">
        <v>193</v>
      </c>
      <c r="E84" s="5" t="s">
        <v>224</v>
      </c>
      <c r="F84" s="5">
        <v>18</v>
      </c>
      <c r="G84" s="5">
        <v>0</v>
      </c>
      <c r="H84" s="5">
        <v>0</v>
      </c>
      <c r="I84" s="10">
        <f t="shared" si="3"/>
        <v>0.36</v>
      </c>
      <c r="L84" s="5" t="s">
        <v>915</v>
      </c>
    </row>
    <row r="85" spans="1:14" x14ac:dyDescent="0.2">
      <c r="A85" s="5">
        <v>1716</v>
      </c>
      <c r="B85" s="5" t="s">
        <v>226</v>
      </c>
      <c r="C85" s="5">
        <v>1200</v>
      </c>
      <c r="D85" s="5" t="s">
        <v>879</v>
      </c>
      <c r="E85" s="5" t="s">
        <v>224</v>
      </c>
      <c r="F85" s="5">
        <v>600</v>
      </c>
      <c r="G85" s="5">
        <v>0</v>
      </c>
      <c r="H85" s="5">
        <v>0</v>
      </c>
      <c r="I85" s="10">
        <f t="shared" si="3"/>
        <v>0.5</v>
      </c>
      <c r="L85" s="5" t="s">
        <v>867</v>
      </c>
    </row>
    <row r="86" spans="1:14" x14ac:dyDescent="0.2">
      <c r="A86" s="5">
        <v>1718</v>
      </c>
      <c r="B86" s="5" t="s">
        <v>236</v>
      </c>
      <c r="C86" s="5">
        <v>160</v>
      </c>
      <c r="D86" s="5" t="s">
        <v>879</v>
      </c>
      <c r="E86" s="5" t="s">
        <v>224</v>
      </c>
      <c r="F86" s="5">
        <v>60</v>
      </c>
      <c r="G86" s="5">
        <v>0</v>
      </c>
      <c r="H86" s="5">
        <v>0</v>
      </c>
      <c r="I86" s="10">
        <f t="shared" si="3"/>
        <v>0.375</v>
      </c>
      <c r="L86" s="5" t="s">
        <v>882</v>
      </c>
    </row>
    <row r="87" spans="1:14" x14ac:dyDescent="0.2">
      <c r="A87" s="5">
        <v>1725</v>
      </c>
      <c r="B87" s="5" t="s">
        <v>196</v>
      </c>
      <c r="C87" s="5">
        <v>1</v>
      </c>
      <c r="D87" s="5" t="s">
        <v>758</v>
      </c>
      <c r="E87" s="5" t="s">
        <v>224</v>
      </c>
      <c r="F87" s="5">
        <v>21</v>
      </c>
      <c r="G87" s="5">
        <v>0</v>
      </c>
      <c r="H87" s="5">
        <v>0</v>
      </c>
      <c r="I87" s="10">
        <f>(F87+G87/20+H87/320)/C87</f>
        <v>21</v>
      </c>
      <c r="L87" s="5" t="s">
        <v>904</v>
      </c>
    </row>
    <row r="88" spans="1:14" x14ac:dyDescent="0.2">
      <c r="A88" s="5">
        <v>1749</v>
      </c>
      <c r="B88" s="5" t="s">
        <v>247</v>
      </c>
      <c r="C88" s="5">
        <v>62</v>
      </c>
      <c r="D88" s="5" t="s">
        <v>193</v>
      </c>
      <c r="E88" s="5" t="s">
        <v>224</v>
      </c>
      <c r="F88" s="5">
        <v>11</v>
      </c>
      <c r="G88" s="5">
        <v>7</v>
      </c>
      <c r="H88" s="5">
        <v>0</v>
      </c>
      <c r="I88" s="10">
        <f t="shared" si="3"/>
        <v>0.18306451612903224</v>
      </c>
      <c r="L88" s="5" t="s">
        <v>894</v>
      </c>
    </row>
    <row r="89" spans="1:14" x14ac:dyDescent="0.2">
      <c r="A89" s="5">
        <v>1751</v>
      </c>
      <c r="B89" s="5" t="s">
        <v>244</v>
      </c>
      <c r="C89" s="5">
        <v>12</v>
      </c>
      <c r="D89" s="5" t="s">
        <v>916</v>
      </c>
      <c r="E89" s="5" t="s">
        <v>224</v>
      </c>
      <c r="F89" s="5">
        <v>6</v>
      </c>
      <c r="G89" s="5">
        <v>0</v>
      </c>
      <c r="H89" s="5">
        <v>0</v>
      </c>
      <c r="I89" s="10">
        <f t="shared" si="3"/>
        <v>0.5</v>
      </c>
      <c r="L89" s="5" t="s">
        <v>897</v>
      </c>
    </row>
    <row r="90" spans="1:14" x14ac:dyDescent="0.2">
      <c r="A90" s="5">
        <v>1751</v>
      </c>
      <c r="B90" s="5" t="s">
        <v>244</v>
      </c>
      <c r="C90" s="5">
        <v>837</v>
      </c>
      <c r="D90" s="5" t="s">
        <v>879</v>
      </c>
      <c r="E90" s="5" t="s">
        <v>224</v>
      </c>
      <c r="F90" s="5">
        <f>J90*N90</f>
        <v>336</v>
      </c>
      <c r="G90" s="5">
        <v>0</v>
      </c>
      <c r="H90" s="5">
        <v>0</v>
      </c>
      <c r="I90" s="10">
        <f>(F90+G90/20+H90/320)/C90</f>
        <v>0.40143369175627241</v>
      </c>
      <c r="J90" s="5">
        <v>140</v>
      </c>
      <c r="K90" s="5">
        <v>0</v>
      </c>
      <c r="L90" s="5" t="s">
        <v>897</v>
      </c>
      <c r="M90" s="10" t="s">
        <v>817</v>
      </c>
      <c r="N90" s="5">
        <v>2.4</v>
      </c>
    </row>
    <row r="91" spans="1:14" x14ac:dyDescent="0.2">
      <c r="A91" s="5">
        <v>1752</v>
      </c>
      <c r="B91" s="5" t="s">
        <v>247</v>
      </c>
      <c r="C91" s="5">
        <v>525</v>
      </c>
      <c r="D91" s="5" t="s">
        <v>879</v>
      </c>
      <c r="E91" s="5" t="s">
        <v>224</v>
      </c>
      <c r="F91" s="5">
        <f>J91*N91</f>
        <v>192</v>
      </c>
      <c r="G91" s="5">
        <v>0</v>
      </c>
      <c r="H91" s="5">
        <v>0</v>
      </c>
      <c r="I91" s="10">
        <f t="shared" si="3"/>
        <v>0.36571428571428571</v>
      </c>
      <c r="J91" s="5">
        <v>80</v>
      </c>
      <c r="K91" s="5">
        <v>0</v>
      </c>
      <c r="L91" s="5" t="s">
        <v>902</v>
      </c>
      <c r="M91" s="10" t="s">
        <v>817</v>
      </c>
      <c r="N91" s="5">
        <v>2.4</v>
      </c>
    </row>
    <row r="92" spans="1:14" x14ac:dyDescent="0.2">
      <c r="A92" s="5">
        <v>1755</v>
      </c>
      <c r="B92" s="5" t="s">
        <v>200</v>
      </c>
      <c r="C92" s="5">
        <v>325</v>
      </c>
      <c r="D92" s="5" t="s">
        <v>879</v>
      </c>
      <c r="E92" s="5" t="s">
        <v>224</v>
      </c>
      <c r="F92" s="5">
        <v>70</v>
      </c>
      <c r="G92" s="5">
        <v>0</v>
      </c>
      <c r="H92" s="5">
        <v>0</v>
      </c>
      <c r="I92" s="10">
        <f t="shared" si="3"/>
        <v>0.2153846153846154</v>
      </c>
      <c r="L92" s="5" t="s">
        <v>886</v>
      </c>
    </row>
    <row r="93" spans="1:14" x14ac:dyDescent="0.2">
      <c r="A93" s="5">
        <v>1756</v>
      </c>
      <c r="B93" s="5" t="s">
        <v>186</v>
      </c>
      <c r="C93" s="5">
        <v>400</v>
      </c>
      <c r="D93" s="5" t="s">
        <v>879</v>
      </c>
      <c r="E93" s="5" t="s">
        <v>224</v>
      </c>
      <c r="F93" s="5">
        <f>J93*N93</f>
        <v>145.20000000000002</v>
      </c>
      <c r="G93" s="5">
        <v>32</v>
      </c>
      <c r="H93" s="5">
        <v>0</v>
      </c>
      <c r="I93" s="10">
        <f t="shared" si="3"/>
        <v>0.36700000000000005</v>
      </c>
      <c r="J93" s="5">
        <v>66</v>
      </c>
      <c r="K93" s="5">
        <v>32</v>
      </c>
      <c r="L93" s="5" t="s">
        <v>917</v>
      </c>
      <c r="M93" s="10" t="s">
        <v>817</v>
      </c>
      <c r="N93" s="5">
        <v>2.2000000000000002</v>
      </c>
    </row>
    <row r="94" spans="1:14" x14ac:dyDescent="0.2">
      <c r="A94" s="5">
        <v>1757</v>
      </c>
      <c r="B94" s="5" t="s">
        <v>186</v>
      </c>
      <c r="C94" s="5">
        <v>38</v>
      </c>
      <c r="D94" s="5" t="s">
        <v>916</v>
      </c>
      <c r="E94" s="5" t="s">
        <v>224</v>
      </c>
      <c r="F94" s="5">
        <f>J94*N94</f>
        <v>67.2</v>
      </c>
      <c r="G94" s="5">
        <v>0</v>
      </c>
      <c r="H94" s="5">
        <v>0</v>
      </c>
      <c r="I94" s="10">
        <f t="shared" si="3"/>
        <v>1.7684210526315791</v>
      </c>
      <c r="J94" s="5">
        <v>28.000000000000004</v>
      </c>
      <c r="K94" s="5">
        <v>0</v>
      </c>
      <c r="L94" s="5" t="s">
        <v>857</v>
      </c>
      <c r="M94" s="10" t="s">
        <v>817</v>
      </c>
      <c r="N94" s="5">
        <v>2.4</v>
      </c>
    </row>
    <row r="95" spans="1:14" x14ac:dyDescent="0.2">
      <c r="A95" s="5">
        <v>1796</v>
      </c>
      <c r="B95" s="5" t="s">
        <v>226</v>
      </c>
      <c r="C95" s="5">
        <v>150</v>
      </c>
      <c r="D95" s="5" t="s">
        <v>879</v>
      </c>
      <c r="E95" s="5" t="s">
        <v>918</v>
      </c>
      <c r="F95" s="5">
        <f>J95*N95</f>
        <v>88.8</v>
      </c>
      <c r="G95" s="5">
        <v>0</v>
      </c>
      <c r="H95" s="5">
        <v>0</v>
      </c>
      <c r="I95" s="10">
        <f t="shared" si="3"/>
        <v>0.59199999999999997</v>
      </c>
      <c r="J95" s="5">
        <v>37</v>
      </c>
      <c r="K95" s="5">
        <v>0</v>
      </c>
      <c r="L95" s="5" t="s">
        <v>919</v>
      </c>
      <c r="M95" s="10" t="s">
        <v>817</v>
      </c>
      <c r="N95" s="5">
        <v>2.4</v>
      </c>
    </row>
    <row r="96" spans="1:14" x14ac:dyDescent="0.2">
      <c r="A96" s="5">
        <v>1772</v>
      </c>
      <c r="B96" s="5" t="s">
        <v>244</v>
      </c>
      <c r="C96" s="5">
        <v>200</v>
      </c>
      <c r="D96" s="5" t="s">
        <v>879</v>
      </c>
      <c r="E96" s="5" t="s">
        <v>920</v>
      </c>
      <c r="F96" s="5">
        <f>J96*N96</f>
        <v>38.4</v>
      </c>
      <c r="G96" s="5">
        <v>0</v>
      </c>
      <c r="H96" s="5">
        <v>0</v>
      </c>
      <c r="I96" s="10">
        <f t="shared" si="3"/>
        <v>0.192</v>
      </c>
      <c r="J96" s="5">
        <v>16</v>
      </c>
      <c r="K96" s="5">
        <v>0</v>
      </c>
      <c r="L96" s="5" t="s">
        <v>865</v>
      </c>
      <c r="M96" s="10" t="s">
        <v>817</v>
      </c>
      <c r="N96" s="5">
        <v>2.4</v>
      </c>
    </row>
    <row r="97" spans="1:14" x14ac:dyDescent="0.2">
      <c r="A97" s="5">
        <v>1708</v>
      </c>
      <c r="B97" s="5" t="s">
        <v>899</v>
      </c>
      <c r="C97" s="5">
        <v>50</v>
      </c>
      <c r="D97" s="5" t="s">
        <v>193</v>
      </c>
      <c r="E97" s="5" t="s">
        <v>225</v>
      </c>
      <c r="F97" s="5">
        <v>10</v>
      </c>
      <c r="G97" s="5">
        <v>0</v>
      </c>
      <c r="H97" s="5">
        <v>0</v>
      </c>
      <c r="I97" s="10">
        <f t="shared" si="3"/>
        <v>0.2</v>
      </c>
      <c r="L97" s="5" t="s">
        <v>921</v>
      </c>
      <c r="M97" s="10" t="s">
        <v>922</v>
      </c>
    </row>
    <row r="98" spans="1:14" x14ac:dyDescent="0.2">
      <c r="A98" s="5">
        <v>1772</v>
      </c>
      <c r="B98" s="5" t="s">
        <v>244</v>
      </c>
      <c r="C98" s="5">
        <v>450</v>
      </c>
      <c r="D98" s="5" t="s">
        <v>879</v>
      </c>
      <c r="E98" s="5" t="s">
        <v>225</v>
      </c>
      <c r="F98" s="5">
        <f>J98*N98</f>
        <v>168</v>
      </c>
      <c r="G98" s="5">
        <v>0</v>
      </c>
      <c r="H98" s="5">
        <v>0</v>
      </c>
      <c r="I98" s="10">
        <f t="shared" si="3"/>
        <v>0.37333333333333335</v>
      </c>
      <c r="J98" s="5">
        <v>70</v>
      </c>
      <c r="K98" s="5">
        <v>0</v>
      </c>
      <c r="L98" s="5" t="s">
        <v>865</v>
      </c>
      <c r="M98" s="10" t="s">
        <v>817</v>
      </c>
      <c r="N98" s="5">
        <v>2.4</v>
      </c>
    </row>
    <row r="99" spans="1:14" x14ac:dyDescent="0.2">
      <c r="A99" s="5">
        <v>1718</v>
      </c>
      <c r="B99" s="5" t="s">
        <v>236</v>
      </c>
      <c r="C99" s="5">
        <v>1</v>
      </c>
      <c r="D99" s="5" t="s">
        <v>879</v>
      </c>
      <c r="E99" s="5" t="s">
        <v>923</v>
      </c>
      <c r="F99" s="5">
        <v>48</v>
      </c>
      <c r="G99" s="5">
        <v>0</v>
      </c>
      <c r="H99" s="5">
        <v>0</v>
      </c>
      <c r="I99" s="10">
        <f t="shared" si="3"/>
        <v>48</v>
      </c>
      <c r="L99" s="5" t="s">
        <v>882</v>
      </c>
    </row>
    <row r="100" spans="1:14" x14ac:dyDescent="0.2">
      <c r="A100" s="5">
        <v>1673</v>
      </c>
      <c r="B100" s="110" t="s">
        <v>200</v>
      </c>
      <c r="C100" s="5">
        <v>4</v>
      </c>
      <c r="D100" s="110" t="s">
        <v>364</v>
      </c>
      <c r="E100" s="110" t="s">
        <v>233</v>
      </c>
      <c r="F100" s="5">
        <v>10</v>
      </c>
      <c r="G100" s="5">
        <v>0</v>
      </c>
      <c r="H100" s="5">
        <v>0</v>
      </c>
      <c r="I100" s="10">
        <f t="shared" si="3"/>
        <v>2.5</v>
      </c>
      <c r="L100" s="5" t="s">
        <v>924</v>
      </c>
    </row>
    <row r="101" spans="1:14" x14ac:dyDescent="0.2">
      <c r="A101" s="5">
        <v>1673</v>
      </c>
      <c r="B101" s="110" t="s">
        <v>244</v>
      </c>
      <c r="C101" s="5">
        <v>3</v>
      </c>
      <c r="D101" s="110" t="s">
        <v>364</v>
      </c>
      <c r="E101" s="110" t="s">
        <v>233</v>
      </c>
      <c r="F101" s="5">
        <v>7</v>
      </c>
      <c r="G101" s="5">
        <v>10</v>
      </c>
      <c r="H101" s="5">
        <v>0</v>
      </c>
      <c r="I101" s="10">
        <f t="shared" si="3"/>
        <v>2.5</v>
      </c>
      <c r="L101" s="5" t="s">
        <v>924</v>
      </c>
    </row>
    <row r="102" spans="1:14" x14ac:dyDescent="0.2">
      <c r="A102" s="5">
        <v>1729</v>
      </c>
      <c r="B102" s="110" t="s">
        <v>244</v>
      </c>
      <c r="C102" s="5">
        <v>14</v>
      </c>
      <c r="D102" s="110" t="s">
        <v>360</v>
      </c>
      <c r="E102" s="110" t="s">
        <v>233</v>
      </c>
      <c r="F102" s="5">
        <v>112</v>
      </c>
      <c r="G102" s="5">
        <v>0</v>
      </c>
      <c r="H102" s="5">
        <v>0</v>
      </c>
      <c r="I102" s="10">
        <f t="shared" si="3"/>
        <v>8</v>
      </c>
      <c r="L102" s="5" t="s">
        <v>925</v>
      </c>
    </row>
  </sheetData>
  <pageMargins left="0.7" right="0.7" top="0.75" bottom="0.75" header="0.3" footer="0.3"/>
  <pageSetup paperSize="9" orientation="portrait"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pane ySplit="1" topLeftCell="A2" activePane="bottomLeft" state="frozen"/>
      <selection activeCell="C17" sqref="C17"/>
      <selection pane="bottomLeft" activeCell="C17" sqref="C17"/>
    </sheetView>
  </sheetViews>
  <sheetFormatPr baseColWidth="10" defaultColWidth="8.83203125" defaultRowHeight="15" x14ac:dyDescent="0.2"/>
  <cols>
    <col min="1" max="4" width="8.83203125" style="5"/>
    <col min="5" max="5" width="22.83203125" style="5" customWidth="1"/>
    <col min="6" max="9" width="8.83203125" style="5"/>
    <col min="10" max="11" width="17.1640625" style="5" customWidth="1"/>
    <col min="12" max="12" width="12.5" style="5" customWidth="1"/>
    <col min="13" max="266" width="8.83203125" style="5"/>
    <col min="267" max="267" width="17.1640625" style="5" customWidth="1"/>
    <col min="268" max="268" width="12.5" style="5" customWidth="1"/>
    <col min="269" max="522" width="8.83203125" style="5"/>
    <col min="523" max="523" width="17.1640625" style="5" customWidth="1"/>
    <col min="524" max="524" width="12.5" style="5" customWidth="1"/>
    <col min="525" max="778" width="8.83203125" style="5"/>
    <col min="779" max="779" width="17.1640625" style="5" customWidth="1"/>
    <col min="780" max="780" width="12.5" style="5" customWidth="1"/>
    <col min="781" max="1034" width="8.83203125" style="5"/>
    <col min="1035" max="1035" width="17.1640625" style="5" customWidth="1"/>
    <col min="1036" max="1036" width="12.5" style="5" customWidth="1"/>
    <col min="1037" max="1290" width="8.83203125" style="5"/>
    <col min="1291" max="1291" width="17.1640625" style="5" customWidth="1"/>
    <col min="1292" max="1292" width="12.5" style="5" customWidth="1"/>
    <col min="1293" max="1546" width="8.83203125" style="5"/>
    <col min="1547" max="1547" width="17.1640625" style="5" customWidth="1"/>
    <col min="1548" max="1548" width="12.5" style="5" customWidth="1"/>
    <col min="1549" max="1802" width="8.83203125" style="5"/>
    <col min="1803" max="1803" width="17.1640625" style="5" customWidth="1"/>
    <col min="1804" max="1804" width="12.5" style="5" customWidth="1"/>
    <col min="1805" max="2058" width="8.83203125" style="5"/>
    <col min="2059" max="2059" width="17.1640625" style="5" customWidth="1"/>
    <col min="2060" max="2060" width="12.5" style="5" customWidth="1"/>
    <col min="2061" max="2314" width="8.83203125" style="5"/>
    <col min="2315" max="2315" width="17.1640625" style="5" customWidth="1"/>
    <col min="2316" max="2316" width="12.5" style="5" customWidth="1"/>
    <col min="2317" max="2570" width="8.83203125" style="5"/>
    <col min="2571" max="2571" width="17.1640625" style="5" customWidth="1"/>
    <col min="2572" max="2572" width="12.5" style="5" customWidth="1"/>
    <col min="2573" max="2826" width="8.83203125" style="5"/>
    <col min="2827" max="2827" width="17.1640625" style="5" customWidth="1"/>
    <col min="2828" max="2828" width="12.5" style="5" customWidth="1"/>
    <col min="2829" max="3082" width="8.83203125" style="5"/>
    <col min="3083" max="3083" width="17.1640625" style="5" customWidth="1"/>
    <col min="3084" max="3084" width="12.5" style="5" customWidth="1"/>
    <col min="3085" max="3338" width="8.83203125" style="5"/>
    <col min="3339" max="3339" width="17.1640625" style="5" customWidth="1"/>
    <col min="3340" max="3340" width="12.5" style="5" customWidth="1"/>
    <col min="3341" max="3594" width="8.83203125" style="5"/>
    <col min="3595" max="3595" width="17.1640625" style="5" customWidth="1"/>
    <col min="3596" max="3596" width="12.5" style="5" customWidth="1"/>
    <col min="3597" max="3850" width="8.83203125" style="5"/>
    <col min="3851" max="3851" width="17.1640625" style="5" customWidth="1"/>
    <col min="3852" max="3852" width="12.5" style="5" customWidth="1"/>
    <col min="3853" max="4106" width="8.83203125" style="5"/>
    <col min="4107" max="4107" width="17.1640625" style="5" customWidth="1"/>
    <col min="4108" max="4108" width="12.5" style="5" customWidth="1"/>
    <col min="4109" max="4362" width="8.83203125" style="5"/>
    <col min="4363" max="4363" width="17.1640625" style="5" customWidth="1"/>
    <col min="4364" max="4364" width="12.5" style="5" customWidth="1"/>
    <col min="4365" max="4618" width="8.83203125" style="5"/>
    <col min="4619" max="4619" width="17.1640625" style="5" customWidth="1"/>
    <col min="4620" max="4620" width="12.5" style="5" customWidth="1"/>
    <col min="4621" max="4874" width="8.83203125" style="5"/>
    <col min="4875" max="4875" width="17.1640625" style="5" customWidth="1"/>
    <col min="4876" max="4876" width="12.5" style="5" customWidth="1"/>
    <col min="4877" max="5130" width="8.83203125" style="5"/>
    <col min="5131" max="5131" width="17.1640625" style="5" customWidth="1"/>
    <col min="5132" max="5132" width="12.5" style="5" customWidth="1"/>
    <col min="5133" max="5386" width="8.83203125" style="5"/>
    <col min="5387" max="5387" width="17.1640625" style="5" customWidth="1"/>
    <col min="5388" max="5388" width="12.5" style="5" customWidth="1"/>
    <col min="5389" max="5642" width="8.83203125" style="5"/>
    <col min="5643" max="5643" width="17.1640625" style="5" customWidth="1"/>
    <col min="5644" max="5644" width="12.5" style="5" customWidth="1"/>
    <col min="5645" max="5898" width="8.83203125" style="5"/>
    <col min="5899" max="5899" width="17.1640625" style="5" customWidth="1"/>
    <col min="5900" max="5900" width="12.5" style="5" customWidth="1"/>
    <col min="5901" max="6154" width="8.83203125" style="5"/>
    <col min="6155" max="6155" width="17.1640625" style="5" customWidth="1"/>
    <col min="6156" max="6156" width="12.5" style="5" customWidth="1"/>
    <col min="6157" max="6410" width="8.83203125" style="5"/>
    <col min="6411" max="6411" width="17.1640625" style="5" customWidth="1"/>
    <col min="6412" max="6412" width="12.5" style="5" customWidth="1"/>
    <col min="6413" max="6666" width="8.83203125" style="5"/>
    <col min="6667" max="6667" width="17.1640625" style="5" customWidth="1"/>
    <col min="6668" max="6668" width="12.5" style="5" customWidth="1"/>
    <col min="6669" max="6922" width="8.83203125" style="5"/>
    <col min="6923" max="6923" width="17.1640625" style="5" customWidth="1"/>
    <col min="6924" max="6924" width="12.5" style="5" customWidth="1"/>
    <col min="6925" max="7178" width="8.83203125" style="5"/>
    <col min="7179" max="7179" width="17.1640625" style="5" customWidth="1"/>
    <col min="7180" max="7180" width="12.5" style="5" customWidth="1"/>
    <col min="7181" max="7434" width="8.83203125" style="5"/>
    <col min="7435" max="7435" width="17.1640625" style="5" customWidth="1"/>
    <col min="7436" max="7436" width="12.5" style="5" customWidth="1"/>
    <col min="7437" max="7690" width="8.83203125" style="5"/>
    <col min="7691" max="7691" width="17.1640625" style="5" customWidth="1"/>
    <col min="7692" max="7692" width="12.5" style="5" customWidth="1"/>
    <col min="7693" max="7946" width="8.83203125" style="5"/>
    <col min="7947" max="7947" width="17.1640625" style="5" customWidth="1"/>
    <col min="7948" max="7948" width="12.5" style="5" customWidth="1"/>
    <col min="7949" max="8202" width="8.83203125" style="5"/>
    <col min="8203" max="8203" width="17.1640625" style="5" customWidth="1"/>
    <col min="8204" max="8204" width="12.5" style="5" customWidth="1"/>
    <col min="8205" max="8458" width="8.83203125" style="5"/>
    <col min="8459" max="8459" width="17.1640625" style="5" customWidth="1"/>
    <col min="8460" max="8460" width="12.5" style="5" customWidth="1"/>
    <col min="8461" max="8714" width="8.83203125" style="5"/>
    <col min="8715" max="8715" width="17.1640625" style="5" customWidth="1"/>
    <col min="8716" max="8716" width="12.5" style="5" customWidth="1"/>
    <col min="8717" max="8970" width="8.83203125" style="5"/>
    <col min="8971" max="8971" width="17.1640625" style="5" customWidth="1"/>
    <col min="8972" max="8972" width="12.5" style="5" customWidth="1"/>
    <col min="8973" max="9226" width="8.83203125" style="5"/>
    <col min="9227" max="9227" width="17.1640625" style="5" customWidth="1"/>
    <col min="9228" max="9228" width="12.5" style="5" customWidth="1"/>
    <col min="9229" max="9482" width="8.83203125" style="5"/>
    <col min="9483" max="9483" width="17.1640625" style="5" customWidth="1"/>
    <col min="9484" max="9484" width="12.5" style="5" customWidth="1"/>
    <col min="9485" max="9738" width="8.83203125" style="5"/>
    <col min="9739" max="9739" width="17.1640625" style="5" customWidth="1"/>
    <col min="9740" max="9740" width="12.5" style="5" customWidth="1"/>
    <col min="9741" max="9994" width="8.83203125" style="5"/>
    <col min="9995" max="9995" width="17.1640625" style="5" customWidth="1"/>
    <col min="9996" max="9996" width="12.5" style="5" customWidth="1"/>
    <col min="9997" max="10250" width="8.83203125" style="5"/>
    <col min="10251" max="10251" width="17.1640625" style="5" customWidth="1"/>
    <col min="10252" max="10252" width="12.5" style="5" customWidth="1"/>
    <col min="10253" max="10506" width="8.83203125" style="5"/>
    <col min="10507" max="10507" width="17.1640625" style="5" customWidth="1"/>
    <col min="10508" max="10508" width="12.5" style="5" customWidth="1"/>
    <col min="10509" max="10762" width="8.83203125" style="5"/>
    <col min="10763" max="10763" width="17.1640625" style="5" customWidth="1"/>
    <col min="10764" max="10764" width="12.5" style="5" customWidth="1"/>
    <col min="10765" max="11018" width="8.83203125" style="5"/>
    <col min="11019" max="11019" width="17.1640625" style="5" customWidth="1"/>
    <col min="11020" max="11020" width="12.5" style="5" customWidth="1"/>
    <col min="11021" max="11274" width="8.83203125" style="5"/>
    <col min="11275" max="11275" width="17.1640625" style="5" customWidth="1"/>
    <col min="11276" max="11276" width="12.5" style="5" customWidth="1"/>
    <col min="11277" max="11530" width="8.83203125" style="5"/>
    <col min="11531" max="11531" width="17.1640625" style="5" customWidth="1"/>
    <col min="11532" max="11532" width="12.5" style="5" customWidth="1"/>
    <col min="11533" max="11786" width="8.83203125" style="5"/>
    <col min="11787" max="11787" width="17.1640625" style="5" customWidth="1"/>
    <col min="11788" max="11788" width="12.5" style="5" customWidth="1"/>
    <col min="11789" max="12042" width="8.83203125" style="5"/>
    <col min="12043" max="12043" width="17.1640625" style="5" customWidth="1"/>
    <col min="12044" max="12044" width="12.5" style="5" customWidth="1"/>
    <col min="12045" max="12298" width="8.83203125" style="5"/>
    <col min="12299" max="12299" width="17.1640625" style="5" customWidth="1"/>
    <col min="12300" max="12300" width="12.5" style="5" customWidth="1"/>
    <col min="12301" max="12554" width="8.83203125" style="5"/>
    <col min="12555" max="12555" width="17.1640625" style="5" customWidth="1"/>
    <col min="12556" max="12556" width="12.5" style="5" customWidth="1"/>
    <col min="12557" max="12810" width="8.83203125" style="5"/>
    <col min="12811" max="12811" width="17.1640625" style="5" customWidth="1"/>
    <col min="12812" max="12812" width="12.5" style="5" customWidth="1"/>
    <col min="12813" max="13066" width="8.83203125" style="5"/>
    <col min="13067" max="13067" width="17.1640625" style="5" customWidth="1"/>
    <col min="13068" max="13068" width="12.5" style="5" customWidth="1"/>
    <col min="13069" max="13322" width="8.83203125" style="5"/>
    <col min="13323" max="13323" width="17.1640625" style="5" customWidth="1"/>
    <col min="13324" max="13324" width="12.5" style="5" customWidth="1"/>
    <col min="13325" max="13578" width="8.83203125" style="5"/>
    <col min="13579" max="13579" width="17.1640625" style="5" customWidth="1"/>
    <col min="13580" max="13580" width="12.5" style="5" customWidth="1"/>
    <col min="13581" max="13834" width="8.83203125" style="5"/>
    <col min="13835" max="13835" width="17.1640625" style="5" customWidth="1"/>
    <col min="13836" max="13836" width="12.5" style="5" customWidth="1"/>
    <col min="13837" max="14090" width="8.83203125" style="5"/>
    <col min="14091" max="14091" width="17.1640625" style="5" customWidth="1"/>
    <col min="14092" max="14092" width="12.5" style="5" customWidth="1"/>
    <col min="14093" max="14346" width="8.83203125" style="5"/>
    <col min="14347" max="14347" width="17.1640625" style="5" customWidth="1"/>
    <col min="14348" max="14348" width="12.5" style="5" customWidth="1"/>
    <col min="14349" max="14602" width="8.83203125" style="5"/>
    <col min="14603" max="14603" width="17.1640625" style="5" customWidth="1"/>
    <col min="14604" max="14604" width="12.5" style="5" customWidth="1"/>
    <col min="14605" max="14858" width="8.83203125" style="5"/>
    <col min="14859" max="14859" width="17.1640625" style="5" customWidth="1"/>
    <col min="14860" max="14860" width="12.5" style="5" customWidth="1"/>
    <col min="14861" max="15114" width="8.83203125" style="5"/>
    <col min="15115" max="15115" width="17.1640625" style="5" customWidth="1"/>
    <col min="15116" max="15116" width="12.5" style="5" customWidth="1"/>
    <col min="15117" max="15370" width="8.83203125" style="5"/>
    <col min="15371" max="15371" width="17.1640625" style="5" customWidth="1"/>
    <col min="15372" max="15372" width="12.5" style="5" customWidth="1"/>
    <col min="15373" max="15626" width="8.83203125" style="5"/>
    <col min="15627" max="15627" width="17.1640625" style="5" customWidth="1"/>
    <col min="15628" max="15628" width="12.5" style="5" customWidth="1"/>
    <col min="15629" max="15882" width="8.83203125" style="5"/>
    <col min="15883" max="15883" width="17.1640625" style="5" customWidth="1"/>
    <col min="15884" max="15884" width="12.5" style="5" customWidth="1"/>
    <col min="15885" max="16138" width="8.83203125" style="5"/>
    <col min="16139" max="16139" width="17.1640625" style="5" customWidth="1"/>
    <col min="16140" max="16140" width="12.5" style="5" customWidth="1"/>
    <col min="16141" max="16384" width="8.83203125" style="5"/>
  </cols>
  <sheetData>
    <row r="1" spans="1:15" x14ac:dyDescent="0.2">
      <c r="A1" s="10" t="s">
        <v>171</v>
      </c>
      <c r="B1" s="10" t="s">
        <v>173</v>
      </c>
      <c r="C1" s="12" t="s">
        <v>174</v>
      </c>
      <c r="D1" s="10" t="s">
        <v>175</v>
      </c>
      <c r="E1" s="10" t="s">
        <v>176</v>
      </c>
      <c r="F1" s="10" t="s">
        <v>88</v>
      </c>
      <c r="G1" s="10" t="s">
        <v>783</v>
      </c>
      <c r="H1" s="10" t="s">
        <v>784</v>
      </c>
      <c r="I1" s="10" t="s">
        <v>926</v>
      </c>
      <c r="J1" s="10" t="s">
        <v>927</v>
      </c>
      <c r="K1" s="10" t="s">
        <v>928</v>
      </c>
      <c r="L1" s="10" t="s">
        <v>68</v>
      </c>
      <c r="M1" s="10" t="s">
        <v>789</v>
      </c>
      <c r="N1" s="10" t="s">
        <v>929</v>
      </c>
    </row>
    <row r="2" spans="1:15" x14ac:dyDescent="0.2">
      <c r="A2" s="5">
        <v>1828</v>
      </c>
      <c r="B2" s="5" t="s">
        <v>187</v>
      </c>
      <c r="C2" s="5">
        <v>1</v>
      </c>
      <c r="D2" s="5" t="s">
        <v>930</v>
      </c>
      <c r="E2" s="5" t="s">
        <v>234</v>
      </c>
      <c r="F2" s="5">
        <v>0</v>
      </c>
      <c r="G2" s="5">
        <v>4</v>
      </c>
      <c r="H2" s="5">
        <v>11</v>
      </c>
      <c r="I2" s="124">
        <f t="shared" ref="I2:I26" si="0">(F2+G2/20+H2/240)/C2</f>
        <v>0.24583333333333335</v>
      </c>
      <c r="J2" s="124">
        <f>I2*104.6</f>
        <v>25.714166666666667</v>
      </c>
      <c r="K2" s="124">
        <f>J2/27.2154</f>
        <v>0.9448388289963281</v>
      </c>
      <c r="L2" s="5" t="s">
        <v>931</v>
      </c>
      <c r="M2" s="5">
        <v>248</v>
      </c>
      <c r="N2" s="5" t="s">
        <v>932</v>
      </c>
    </row>
    <row r="3" spans="1:15" x14ac:dyDescent="0.2">
      <c r="A3" s="5">
        <v>1828</v>
      </c>
      <c r="B3" s="5" t="s">
        <v>187</v>
      </c>
      <c r="C3" s="5">
        <v>1</v>
      </c>
      <c r="D3" s="5" t="s">
        <v>930</v>
      </c>
      <c r="E3" s="5" t="s">
        <v>933</v>
      </c>
      <c r="F3" s="5">
        <v>0</v>
      </c>
      <c r="G3" s="5">
        <v>5</v>
      </c>
      <c r="H3" s="5">
        <v>3.25</v>
      </c>
      <c r="I3" s="124">
        <f t="shared" si="0"/>
        <v>0.26354166666666667</v>
      </c>
      <c r="J3" s="124">
        <f t="shared" ref="J3:J26" si="1">I3*104.6</f>
        <v>27.566458333333333</v>
      </c>
      <c r="K3" s="124">
        <f>J3/27.2154</f>
        <v>1.0128992531189449</v>
      </c>
      <c r="L3" s="5" t="s">
        <v>931</v>
      </c>
      <c r="M3" s="5">
        <v>248</v>
      </c>
      <c r="N3" s="5" t="s">
        <v>932</v>
      </c>
    </row>
    <row r="4" spans="1:15" x14ac:dyDescent="0.2">
      <c r="A4" s="5">
        <v>1833</v>
      </c>
      <c r="B4" s="5" t="s">
        <v>187</v>
      </c>
      <c r="C4" s="5">
        <v>1</v>
      </c>
      <c r="D4" s="5" t="s">
        <v>930</v>
      </c>
      <c r="E4" s="5" t="s">
        <v>234</v>
      </c>
      <c r="F4" s="5">
        <v>0</v>
      </c>
      <c r="G4" s="5">
        <v>4</v>
      </c>
      <c r="H4" s="5">
        <v>9.75</v>
      </c>
      <c r="I4" s="124">
        <f t="shared" si="0"/>
        <v>0.24062500000000001</v>
      </c>
      <c r="J4" s="124">
        <f t="shared" si="1"/>
        <v>25.169374999999999</v>
      </c>
      <c r="K4" s="124">
        <f>J4/27.2154</f>
        <v>0.9248210571955584</v>
      </c>
      <c r="L4" s="5" t="s">
        <v>934</v>
      </c>
      <c r="M4" s="5">
        <v>297</v>
      </c>
      <c r="N4" s="5" t="s">
        <v>932</v>
      </c>
    </row>
    <row r="5" spans="1:15" x14ac:dyDescent="0.2">
      <c r="A5" s="5">
        <v>1833</v>
      </c>
      <c r="B5" s="5" t="s">
        <v>187</v>
      </c>
      <c r="C5" s="5">
        <v>1</v>
      </c>
      <c r="D5" s="5" t="s">
        <v>930</v>
      </c>
      <c r="E5" s="5" t="s">
        <v>933</v>
      </c>
      <c r="F5" s="5">
        <v>0</v>
      </c>
      <c r="G5" s="5">
        <v>3</v>
      </c>
      <c r="H5" s="5">
        <v>8.25</v>
      </c>
      <c r="I5" s="124">
        <f t="shared" si="0"/>
        <v>0.18437500000000001</v>
      </c>
      <c r="J5" s="124">
        <f t="shared" si="1"/>
        <v>19.285625</v>
      </c>
      <c r="K5" s="124">
        <f>J5/27.2154</f>
        <v>0.70862912174724602</v>
      </c>
      <c r="L5" s="5" t="s">
        <v>934</v>
      </c>
      <c r="M5" s="5">
        <v>97</v>
      </c>
      <c r="N5" s="5" t="s">
        <v>932</v>
      </c>
    </row>
    <row r="6" spans="1:15" x14ac:dyDescent="0.2">
      <c r="A6" s="5">
        <v>1833</v>
      </c>
      <c r="B6" s="5" t="s">
        <v>187</v>
      </c>
      <c r="C6" s="5">
        <v>10896</v>
      </c>
      <c r="D6" s="5" t="s">
        <v>794</v>
      </c>
      <c r="E6" s="5" t="s">
        <v>234</v>
      </c>
      <c r="F6" s="5">
        <v>10959</v>
      </c>
      <c r="G6" s="5">
        <v>0</v>
      </c>
      <c r="H6" s="5">
        <v>0</v>
      </c>
      <c r="I6" s="124">
        <f t="shared" si="0"/>
        <v>1.0057819383259912</v>
      </c>
      <c r="J6" s="124">
        <f t="shared" si="1"/>
        <v>105.20479074889867</v>
      </c>
      <c r="K6" s="124">
        <f>J6/(111.5*0.772)</f>
        <v>1.2222030106287167</v>
      </c>
      <c r="L6" s="5" t="s">
        <v>934</v>
      </c>
      <c r="M6" s="5">
        <v>108</v>
      </c>
      <c r="N6" s="5" t="s">
        <v>935</v>
      </c>
    </row>
    <row r="7" spans="1:15" x14ac:dyDescent="0.2">
      <c r="A7" s="5">
        <v>1833</v>
      </c>
      <c r="B7" s="5" t="s">
        <v>187</v>
      </c>
      <c r="C7" s="5">
        <v>688</v>
      </c>
      <c r="D7" s="5" t="s">
        <v>794</v>
      </c>
      <c r="E7" s="5" t="s">
        <v>792</v>
      </c>
      <c r="F7" s="5">
        <v>503</v>
      </c>
      <c r="G7" s="5">
        <v>0</v>
      </c>
      <c r="H7" s="5">
        <v>0</v>
      </c>
      <c r="I7" s="124">
        <f t="shared" si="0"/>
        <v>0.73110465116279066</v>
      </c>
      <c r="J7" s="124">
        <f t="shared" si="1"/>
        <v>76.473546511627902</v>
      </c>
      <c r="K7" s="124">
        <f>J7/(111.5*0.772)</f>
        <v>0.88842150737270731</v>
      </c>
      <c r="L7" s="5" t="s">
        <v>934</v>
      </c>
      <c r="M7" s="5">
        <v>108</v>
      </c>
      <c r="N7" s="5" t="s">
        <v>935</v>
      </c>
    </row>
    <row r="8" spans="1:15" x14ac:dyDescent="0.2">
      <c r="A8" s="5">
        <v>1833</v>
      </c>
      <c r="B8" s="5" t="s">
        <v>187</v>
      </c>
      <c r="C8" s="5">
        <v>262501</v>
      </c>
      <c r="D8" s="5" t="s">
        <v>239</v>
      </c>
      <c r="E8" s="5" t="s">
        <v>240</v>
      </c>
      <c r="F8" s="5">
        <v>6291</v>
      </c>
      <c r="G8" s="5">
        <v>0</v>
      </c>
      <c r="H8" s="5">
        <v>0</v>
      </c>
      <c r="I8" s="124">
        <f t="shared" si="0"/>
        <v>2.3965622988102904E-2</v>
      </c>
      <c r="J8" s="124">
        <f t="shared" si="1"/>
        <v>2.5068041645555637</v>
      </c>
      <c r="K8" s="124">
        <f>J8*2.2046</f>
        <v>5.5265004611791957</v>
      </c>
      <c r="L8" s="5" t="s">
        <v>934</v>
      </c>
      <c r="M8" s="5">
        <v>108</v>
      </c>
      <c r="N8" s="5" t="s">
        <v>935</v>
      </c>
    </row>
    <row r="9" spans="1:15" x14ac:dyDescent="0.2">
      <c r="A9" s="5">
        <v>1833</v>
      </c>
      <c r="B9" s="5" t="s">
        <v>187</v>
      </c>
      <c r="C9" s="5">
        <v>57760</v>
      </c>
      <c r="D9" s="5" t="s">
        <v>239</v>
      </c>
      <c r="E9" s="5" t="s">
        <v>837</v>
      </c>
      <c r="F9" s="5">
        <v>507</v>
      </c>
      <c r="G9" s="5">
        <v>0</v>
      </c>
      <c r="H9" s="5">
        <v>0</v>
      </c>
      <c r="I9" s="124">
        <f t="shared" si="0"/>
        <v>8.7777008310249306E-3</v>
      </c>
      <c r="J9" s="124">
        <f t="shared" si="1"/>
        <v>0.91814750692520763</v>
      </c>
      <c r="K9" s="124">
        <f>J9*2.2046</f>
        <v>2.024147993767313</v>
      </c>
      <c r="L9" s="5" t="s">
        <v>934</v>
      </c>
      <c r="M9" s="5">
        <v>108</v>
      </c>
      <c r="N9" s="5" t="s">
        <v>935</v>
      </c>
      <c r="O9" s="5" t="s">
        <v>936</v>
      </c>
    </row>
    <row r="10" spans="1:15" x14ac:dyDescent="0.2">
      <c r="A10" s="5">
        <v>1833</v>
      </c>
      <c r="B10" s="5" t="s">
        <v>187</v>
      </c>
      <c r="C10" s="5">
        <v>28961</v>
      </c>
      <c r="D10" s="5" t="s">
        <v>239</v>
      </c>
      <c r="E10" s="5" t="s">
        <v>798</v>
      </c>
      <c r="F10" s="5">
        <v>775</v>
      </c>
      <c r="G10" s="5">
        <v>0</v>
      </c>
      <c r="H10" s="5">
        <v>0</v>
      </c>
      <c r="I10" s="124">
        <f t="shared" si="0"/>
        <v>2.676012568626774E-2</v>
      </c>
      <c r="J10" s="124">
        <f t="shared" si="1"/>
        <v>2.7991091467836053</v>
      </c>
      <c r="K10" s="124">
        <f>J10*2.2046</f>
        <v>6.1709160249991371</v>
      </c>
      <c r="L10" s="5" t="s">
        <v>934</v>
      </c>
      <c r="M10" s="5">
        <v>108</v>
      </c>
      <c r="N10" s="5" t="s">
        <v>935</v>
      </c>
    </row>
    <row r="11" spans="1:15" x14ac:dyDescent="0.2">
      <c r="A11" s="5">
        <v>1833</v>
      </c>
      <c r="B11" s="5" t="s">
        <v>187</v>
      </c>
      <c r="C11" s="5">
        <v>3525</v>
      </c>
      <c r="D11" s="5" t="s">
        <v>239</v>
      </c>
      <c r="E11" s="5" t="s">
        <v>937</v>
      </c>
      <c r="F11" s="5">
        <v>65</v>
      </c>
      <c r="G11" s="5">
        <v>0</v>
      </c>
      <c r="H11" s="5">
        <v>0</v>
      </c>
      <c r="I11" s="124">
        <f t="shared" si="0"/>
        <v>1.8439716312056736E-2</v>
      </c>
      <c r="J11" s="124">
        <f t="shared" si="1"/>
        <v>1.9287943262411344</v>
      </c>
      <c r="K11" s="124">
        <f>J11*2.2046</f>
        <v>4.252219971631205</v>
      </c>
      <c r="L11" s="5" t="s">
        <v>934</v>
      </c>
      <c r="M11" s="5">
        <v>108</v>
      </c>
      <c r="N11" s="5" t="s">
        <v>935</v>
      </c>
    </row>
    <row r="12" spans="1:15" x14ac:dyDescent="0.2">
      <c r="A12" s="5">
        <v>1833</v>
      </c>
      <c r="B12" s="5" t="s">
        <v>187</v>
      </c>
      <c r="C12" s="5">
        <v>14714</v>
      </c>
      <c r="D12" s="5" t="s">
        <v>239</v>
      </c>
      <c r="E12" s="5" t="s">
        <v>814</v>
      </c>
      <c r="F12" s="5">
        <v>232</v>
      </c>
      <c r="G12" s="5">
        <v>0</v>
      </c>
      <c r="H12" s="5">
        <v>0</v>
      </c>
      <c r="I12" s="124">
        <f t="shared" si="0"/>
        <v>1.5767296452358297E-2</v>
      </c>
      <c r="J12" s="124">
        <f t="shared" si="1"/>
        <v>1.6492592089166778</v>
      </c>
      <c r="K12" s="124">
        <f>J12*2.2046</f>
        <v>3.6359568519777081</v>
      </c>
      <c r="L12" s="5" t="s">
        <v>934</v>
      </c>
      <c r="M12" s="5">
        <v>108</v>
      </c>
      <c r="N12" s="5" t="s">
        <v>935</v>
      </c>
    </row>
    <row r="13" spans="1:15" x14ac:dyDescent="0.2">
      <c r="A13" s="5">
        <v>1833</v>
      </c>
      <c r="B13" s="5" t="s">
        <v>187</v>
      </c>
      <c r="C13" s="5">
        <v>61154</v>
      </c>
      <c r="D13" s="5" t="s">
        <v>938</v>
      </c>
      <c r="E13" s="5" t="s">
        <v>811</v>
      </c>
      <c r="F13" s="5">
        <v>3461</v>
      </c>
      <c r="G13" s="5">
        <v>0</v>
      </c>
      <c r="H13" s="5">
        <v>0</v>
      </c>
      <c r="I13" s="124">
        <f t="shared" si="0"/>
        <v>5.6594826176537924E-2</v>
      </c>
      <c r="J13" s="124">
        <f t="shared" si="1"/>
        <v>5.9198188180658669</v>
      </c>
      <c r="K13" s="124">
        <f>J13*0.26417</f>
        <v>1.5638385371684602</v>
      </c>
      <c r="L13" s="5" t="s">
        <v>934</v>
      </c>
      <c r="M13" s="5">
        <v>108</v>
      </c>
      <c r="N13" s="5" t="s">
        <v>935</v>
      </c>
    </row>
    <row r="14" spans="1:15" x14ac:dyDescent="0.2">
      <c r="A14" s="5">
        <v>1833</v>
      </c>
      <c r="B14" s="5" t="s">
        <v>187</v>
      </c>
      <c r="C14" s="5">
        <v>34000</v>
      </c>
      <c r="D14" s="5" t="s">
        <v>239</v>
      </c>
      <c r="E14" s="5" t="s">
        <v>939</v>
      </c>
      <c r="F14" s="5">
        <v>31</v>
      </c>
      <c r="G14" s="5">
        <v>0</v>
      </c>
      <c r="H14" s="5">
        <v>0</v>
      </c>
      <c r="I14" s="124">
        <f t="shared" si="0"/>
        <v>9.1176470588235292E-4</v>
      </c>
      <c r="J14" s="124">
        <f t="shared" si="1"/>
        <v>9.537058823529411E-2</v>
      </c>
      <c r="K14" s="124">
        <f>J14*2.2046</f>
        <v>0.21025399882352941</v>
      </c>
      <c r="L14" s="5" t="s">
        <v>934</v>
      </c>
      <c r="M14" s="5">
        <v>108</v>
      </c>
      <c r="N14" s="5" t="s">
        <v>935</v>
      </c>
      <c r="O14" s="5" t="s">
        <v>936</v>
      </c>
    </row>
    <row r="15" spans="1:15" x14ac:dyDescent="0.2">
      <c r="A15" s="5">
        <v>1835</v>
      </c>
      <c r="B15" s="5" t="s">
        <v>187</v>
      </c>
      <c r="C15" s="5">
        <v>248304</v>
      </c>
      <c r="D15" s="5" t="s">
        <v>239</v>
      </c>
      <c r="E15" s="5" t="s">
        <v>814</v>
      </c>
      <c r="F15" s="5">
        <v>3961</v>
      </c>
      <c r="G15" s="5">
        <v>0</v>
      </c>
      <c r="H15" s="5">
        <v>0</v>
      </c>
      <c r="I15" s="124">
        <f t="shared" si="0"/>
        <v>1.5952219859527033E-2</v>
      </c>
      <c r="J15" s="124">
        <f t="shared" si="1"/>
        <v>1.6686021973065275</v>
      </c>
      <c r="K15" s="124">
        <f>J15*2.2046</f>
        <v>3.6786004041819709</v>
      </c>
      <c r="L15" s="5" t="s">
        <v>940</v>
      </c>
      <c r="M15" s="5">
        <v>155</v>
      </c>
      <c r="N15" s="5" t="s">
        <v>941</v>
      </c>
    </row>
    <row r="16" spans="1:15" x14ac:dyDescent="0.2">
      <c r="A16" s="5">
        <v>1835</v>
      </c>
      <c r="B16" s="5" t="s">
        <v>187</v>
      </c>
      <c r="C16" s="5">
        <v>152649</v>
      </c>
      <c r="D16" s="5" t="s">
        <v>239</v>
      </c>
      <c r="E16" s="5" t="s">
        <v>240</v>
      </c>
      <c r="F16" s="5">
        <v>5611</v>
      </c>
      <c r="G16" s="5">
        <v>0</v>
      </c>
      <c r="H16" s="5">
        <v>0</v>
      </c>
      <c r="I16" s="124">
        <f t="shared" si="0"/>
        <v>3.6757528709654173E-2</v>
      </c>
      <c r="J16" s="124">
        <f t="shared" si="1"/>
        <v>3.8448375030298263</v>
      </c>
      <c r="K16" s="124">
        <f>J16*2.2046</f>
        <v>8.4763287591795553</v>
      </c>
      <c r="L16" s="5" t="s">
        <v>940</v>
      </c>
      <c r="M16" s="5">
        <v>157</v>
      </c>
      <c r="N16" s="5" t="s">
        <v>935</v>
      </c>
    </row>
    <row r="17" spans="1:14" x14ac:dyDescent="0.2">
      <c r="A17" s="5">
        <v>1835</v>
      </c>
      <c r="B17" s="5" t="s">
        <v>187</v>
      </c>
      <c r="C17" s="5">
        <v>82732</v>
      </c>
      <c r="D17" s="5" t="s">
        <v>930</v>
      </c>
      <c r="E17" s="5" t="s">
        <v>234</v>
      </c>
      <c r="F17" s="5">
        <v>21656</v>
      </c>
      <c r="G17" s="5">
        <v>0</v>
      </c>
      <c r="H17" s="5">
        <v>0</v>
      </c>
      <c r="I17" s="124">
        <f t="shared" si="0"/>
        <v>0.26176086641202923</v>
      </c>
      <c r="J17" s="124">
        <f t="shared" si="1"/>
        <v>27.380186626698254</v>
      </c>
      <c r="K17" s="124">
        <f>J17/27.2154</f>
        <v>1.0060549037198885</v>
      </c>
      <c r="L17" s="5" t="s">
        <v>940</v>
      </c>
      <c r="M17" s="5">
        <v>157</v>
      </c>
      <c r="N17" s="5" t="s">
        <v>935</v>
      </c>
    </row>
    <row r="18" spans="1:14" x14ac:dyDescent="0.2">
      <c r="A18" s="5">
        <v>1835</v>
      </c>
      <c r="B18" s="5" t="s">
        <v>187</v>
      </c>
      <c r="C18" s="5">
        <v>1935</v>
      </c>
      <c r="D18" s="5" t="s">
        <v>795</v>
      </c>
      <c r="E18" s="5" t="s">
        <v>796</v>
      </c>
      <c r="F18" s="5">
        <v>4713</v>
      </c>
      <c r="G18" s="5">
        <v>0</v>
      </c>
      <c r="H18" s="5">
        <v>0</v>
      </c>
      <c r="I18" s="124">
        <f t="shared" si="0"/>
        <v>2.4356589147286822</v>
      </c>
      <c r="J18" s="124">
        <f t="shared" si="1"/>
        <v>254.76992248062015</v>
      </c>
      <c r="K18" s="124"/>
      <c r="L18" s="5" t="s">
        <v>940</v>
      </c>
      <c r="M18" s="5">
        <v>157</v>
      </c>
      <c r="N18" s="5" t="s">
        <v>935</v>
      </c>
    </row>
    <row r="19" spans="1:14" x14ac:dyDescent="0.2">
      <c r="A19" s="5">
        <v>1835</v>
      </c>
      <c r="B19" s="5" t="s">
        <v>187</v>
      </c>
      <c r="C19" s="5">
        <v>53583</v>
      </c>
      <c r="D19" s="5" t="s">
        <v>239</v>
      </c>
      <c r="E19" s="5" t="s">
        <v>814</v>
      </c>
      <c r="F19" s="5">
        <v>820</v>
      </c>
      <c r="G19" s="5">
        <v>0</v>
      </c>
      <c r="H19" s="5">
        <v>0</v>
      </c>
      <c r="I19" s="124">
        <f t="shared" si="0"/>
        <v>1.5303361140660283E-2</v>
      </c>
      <c r="J19" s="124">
        <f t="shared" si="1"/>
        <v>1.6007315753130655</v>
      </c>
      <c r="K19" s="124">
        <f>J19*2.2046</f>
        <v>3.5289728309351847</v>
      </c>
      <c r="L19" s="5" t="s">
        <v>940</v>
      </c>
      <c r="M19" s="5">
        <v>157</v>
      </c>
      <c r="N19" s="5" t="s">
        <v>935</v>
      </c>
    </row>
    <row r="20" spans="1:14" x14ac:dyDescent="0.2">
      <c r="A20" s="5">
        <v>1835</v>
      </c>
      <c r="B20" s="5" t="s">
        <v>187</v>
      </c>
      <c r="C20" s="5">
        <v>26670</v>
      </c>
      <c r="D20" s="5" t="s">
        <v>938</v>
      </c>
      <c r="E20" s="5" t="s">
        <v>942</v>
      </c>
      <c r="F20" s="5">
        <v>4412</v>
      </c>
      <c r="G20" s="5">
        <v>0</v>
      </c>
      <c r="H20" s="5">
        <v>0</v>
      </c>
      <c r="I20" s="124">
        <f t="shared" si="0"/>
        <v>0.16542932133483315</v>
      </c>
      <c r="J20" s="124">
        <f t="shared" si="1"/>
        <v>17.303907011623547</v>
      </c>
      <c r="K20" s="124"/>
      <c r="L20" s="5" t="s">
        <v>940</v>
      </c>
      <c r="M20" s="5">
        <v>157</v>
      </c>
      <c r="N20" s="5" t="s">
        <v>941</v>
      </c>
    </row>
    <row r="21" spans="1:14" x14ac:dyDescent="0.2">
      <c r="A21" s="5">
        <v>1835</v>
      </c>
      <c r="B21" s="5" t="s">
        <v>187</v>
      </c>
      <c r="C21" s="5">
        <v>4123145</v>
      </c>
      <c r="D21" s="5" t="s">
        <v>943</v>
      </c>
      <c r="E21" s="5" t="s">
        <v>944</v>
      </c>
      <c r="F21" s="5">
        <v>113360</v>
      </c>
      <c r="G21" s="5">
        <v>0</v>
      </c>
      <c r="H21" s="5">
        <v>0</v>
      </c>
      <c r="I21" s="124">
        <f t="shared" si="0"/>
        <v>2.7493575898980025E-2</v>
      </c>
      <c r="J21" s="124">
        <f t="shared" si="1"/>
        <v>2.8758280390333106</v>
      </c>
      <c r="K21" s="124">
        <f>J21*0.9144</f>
        <v>2.6296571588920594</v>
      </c>
      <c r="L21" s="5" t="s">
        <v>940</v>
      </c>
      <c r="M21" s="5">
        <v>157</v>
      </c>
      <c r="N21" s="5" t="s">
        <v>941</v>
      </c>
    </row>
    <row r="22" spans="1:14" x14ac:dyDescent="0.2">
      <c r="A22" s="5">
        <v>1835</v>
      </c>
      <c r="B22" s="5" t="s">
        <v>187</v>
      </c>
      <c r="C22" s="5">
        <v>2085</v>
      </c>
      <c r="D22" s="5" t="s">
        <v>945</v>
      </c>
      <c r="E22" s="5" t="s">
        <v>803</v>
      </c>
      <c r="F22" s="5">
        <v>1280</v>
      </c>
      <c r="G22" s="5">
        <v>0</v>
      </c>
      <c r="H22" s="5">
        <v>0</v>
      </c>
      <c r="I22" s="124">
        <f t="shared" si="0"/>
        <v>0.61390887290167862</v>
      </c>
      <c r="J22" s="124">
        <f t="shared" si="1"/>
        <v>64.214868105515578</v>
      </c>
      <c r="K22" s="124">
        <f>(J22/2000)/0.0125</f>
        <v>2.5685947242206231</v>
      </c>
      <c r="L22" s="5" t="s">
        <v>940</v>
      </c>
      <c r="M22" s="5">
        <v>157</v>
      </c>
      <c r="N22" s="5" t="s">
        <v>941</v>
      </c>
    </row>
    <row r="23" spans="1:14" x14ac:dyDescent="0.2">
      <c r="A23" s="5">
        <v>1836</v>
      </c>
      <c r="B23" s="5" t="s">
        <v>187</v>
      </c>
      <c r="C23" s="5">
        <v>1</v>
      </c>
      <c r="D23" s="5" t="s">
        <v>930</v>
      </c>
      <c r="E23" s="5" t="s">
        <v>234</v>
      </c>
      <c r="F23" s="5">
        <v>0</v>
      </c>
      <c r="G23" s="5">
        <v>6</v>
      </c>
      <c r="H23" s="5">
        <v>11.25</v>
      </c>
      <c r="I23" s="124">
        <f t="shared" si="0"/>
        <v>0.34687499999999999</v>
      </c>
      <c r="J23" s="124">
        <f t="shared" si="1"/>
        <v>36.283124999999998</v>
      </c>
      <c r="K23" s="124">
        <f>J23/27.2154</f>
        <v>1.3331836019312595</v>
      </c>
      <c r="L23" s="5" t="s">
        <v>946</v>
      </c>
      <c r="M23" s="5">
        <v>98</v>
      </c>
      <c r="N23" s="5" t="s">
        <v>932</v>
      </c>
    </row>
    <row r="24" spans="1:14" x14ac:dyDescent="0.2">
      <c r="A24" s="5">
        <v>1836</v>
      </c>
      <c r="B24" s="5" t="s">
        <v>187</v>
      </c>
      <c r="C24" s="5">
        <v>1</v>
      </c>
      <c r="D24" s="5" t="s">
        <v>930</v>
      </c>
      <c r="E24" s="5" t="s">
        <v>933</v>
      </c>
      <c r="F24" s="5">
        <v>0</v>
      </c>
      <c r="G24" s="5">
        <v>7</v>
      </c>
      <c r="H24" s="5">
        <v>4</v>
      </c>
      <c r="I24" s="124">
        <f t="shared" si="0"/>
        <v>0.36666666666666664</v>
      </c>
      <c r="J24" s="124">
        <f t="shared" si="1"/>
        <v>38.353333333333332</v>
      </c>
      <c r="K24" s="124">
        <f>J24/27.2154</f>
        <v>1.4092511347741843</v>
      </c>
      <c r="L24" s="5" t="s">
        <v>946</v>
      </c>
      <c r="M24" s="5">
        <v>98</v>
      </c>
      <c r="N24" s="5" t="s">
        <v>932</v>
      </c>
    </row>
    <row r="25" spans="1:14" x14ac:dyDescent="0.2">
      <c r="A25" s="5">
        <v>1831</v>
      </c>
      <c r="B25" s="5" t="s">
        <v>187</v>
      </c>
      <c r="C25" s="5">
        <v>1</v>
      </c>
      <c r="D25" s="5" t="s">
        <v>930</v>
      </c>
      <c r="E25" s="5" t="s">
        <v>234</v>
      </c>
      <c r="F25" s="5">
        <v>0</v>
      </c>
      <c r="G25" s="5">
        <v>4</v>
      </c>
      <c r="H25" s="5">
        <v>11</v>
      </c>
      <c r="I25" s="124">
        <f t="shared" si="0"/>
        <v>0.24583333333333335</v>
      </c>
      <c r="J25" s="124">
        <f t="shared" si="1"/>
        <v>25.714166666666667</v>
      </c>
      <c r="K25" s="124">
        <f>J25/27.2154</f>
        <v>0.9448388289963281</v>
      </c>
      <c r="L25" s="5" t="s">
        <v>947</v>
      </c>
    </row>
    <row r="26" spans="1:14" x14ac:dyDescent="0.2">
      <c r="A26" s="5">
        <v>1831</v>
      </c>
      <c r="B26" s="5" t="s">
        <v>187</v>
      </c>
      <c r="C26" s="5">
        <v>1</v>
      </c>
      <c r="D26" s="5" t="s">
        <v>930</v>
      </c>
      <c r="E26" s="5" t="s">
        <v>933</v>
      </c>
      <c r="F26" s="5">
        <v>0</v>
      </c>
      <c r="G26" s="5">
        <v>5</v>
      </c>
      <c r="H26" s="5">
        <v>3</v>
      </c>
      <c r="I26" s="124">
        <f t="shared" si="0"/>
        <v>0.26250000000000001</v>
      </c>
      <c r="J26" s="124">
        <f t="shared" si="1"/>
        <v>27.4575</v>
      </c>
      <c r="K26" s="124">
        <f>J26/27.2154</f>
        <v>1.0088956987587909</v>
      </c>
      <c r="L26" s="5" t="s">
        <v>947</v>
      </c>
    </row>
    <row r="27" spans="1:14" ht="16" x14ac:dyDescent="0.2">
      <c r="A27" s="5">
        <v>1910</v>
      </c>
      <c r="B27" s="5" t="s">
        <v>948</v>
      </c>
      <c r="C27" s="5">
        <v>1</v>
      </c>
      <c r="D27" s="5" t="s">
        <v>949</v>
      </c>
      <c r="E27" s="5" t="s">
        <v>950</v>
      </c>
      <c r="F27" s="5">
        <v>0</v>
      </c>
      <c r="G27" s="5">
        <v>1</v>
      </c>
      <c r="H27" s="5">
        <v>4.5</v>
      </c>
      <c r="I27" s="93">
        <f>(F27+G27/20+H27/240)/C27</f>
        <v>6.8750000000000006E-2</v>
      </c>
      <c r="L27" s="5" t="s">
        <v>951</v>
      </c>
      <c r="M27" s="5">
        <v>300</v>
      </c>
    </row>
    <row r="28" spans="1:14" ht="16" x14ac:dyDescent="0.2">
      <c r="A28" s="5">
        <v>1911</v>
      </c>
      <c r="B28" s="5" t="s">
        <v>948</v>
      </c>
      <c r="C28" s="5">
        <v>1</v>
      </c>
      <c r="D28" s="5" t="s">
        <v>949</v>
      </c>
      <c r="E28" s="5" t="s">
        <v>950</v>
      </c>
      <c r="F28" s="5">
        <v>0</v>
      </c>
      <c r="G28" s="5">
        <v>1</v>
      </c>
      <c r="H28" s="5">
        <v>2.5</v>
      </c>
      <c r="I28" s="93">
        <f t="shared" ref="I28:I48" si="2">(F28+G28/20+H28/240)/C28</f>
        <v>6.0416666666666667E-2</v>
      </c>
      <c r="L28" s="5" t="s">
        <v>952</v>
      </c>
      <c r="M28" s="5">
        <v>309</v>
      </c>
    </row>
    <row r="29" spans="1:14" ht="16" x14ac:dyDescent="0.2">
      <c r="A29" s="5">
        <v>1913</v>
      </c>
      <c r="B29" s="5" t="s">
        <v>948</v>
      </c>
      <c r="C29" s="5">
        <v>1</v>
      </c>
      <c r="D29" s="5" t="s">
        <v>949</v>
      </c>
      <c r="E29" s="5" t="s">
        <v>950</v>
      </c>
      <c r="F29" s="5">
        <v>0</v>
      </c>
      <c r="G29" s="5">
        <v>1</v>
      </c>
      <c r="H29" s="5">
        <v>4.5</v>
      </c>
      <c r="I29" s="93">
        <f t="shared" si="2"/>
        <v>6.8750000000000006E-2</v>
      </c>
      <c r="L29" s="5" t="s">
        <v>953</v>
      </c>
      <c r="M29" s="5">
        <v>340</v>
      </c>
    </row>
    <row r="30" spans="1:14" ht="16" x14ac:dyDescent="0.2">
      <c r="A30" s="5">
        <v>1836</v>
      </c>
      <c r="B30" s="5" t="s">
        <v>954</v>
      </c>
      <c r="C30" s="5">
        <v>17157</v>
      </c>
      <c r="D30" s="5" t="s">
        <v>154</v>
      </c>
      <c r="E30" s="5" t="s">
        <v>955</v>
      </c>
      <c r="F30" s="5">
        <v>1740</v>
      </c>
      <c r="G30" s="5">
        <v>0</v>
      </c>
      <c r="H30" s="5">
        <v>0</v>
      </c>
      <c r="I30" s="93">
        <f t="shared" si="2"/>
        <v>0.10141633152649064</v>
      </c>
      <c r="L30" s="5" t="s">
        <v>956</v>
      </c>
      <c r="M30" s="5">
        <v>253</v>
      </c>
    </row>
    <row r="31" spans="1:14" ht="16" x14ac:dyDescent="0.2">
      <c r="A31" s="5">
        <v>1837</v>
      </c>
      <c r="B31" s="5" t="s">
        <v>954</v>
      </c>
      <c r="C31" s="5">
        <v>20344</v>
      </c>
      <c r="D31" s="5" t="s">
        <v>154</v>
      </c>
      <c r="E31" s="5" t="s">
        <v>955</v>
      </c>
      <c r="F31" s="5">
        <v>1637</v>
      </c>
      <c r="G31" s="5">
        <v>0</v>
      </c>
      <c r="H31" s="5">
        <v>0</v>
      </c>
      <c r="I31" s="93">
        <f t="shared" si="2"/>
        <v>8.0465985057019268E-2</v>
      </c>
      <c r="L31" s="5" t="s">
        <v>957</v>
      </c>
      <c r="M31" s="5">
        <v>125</v>
      </c>
    </row>
    <row r="32" spans="1:14" ht="16" x14ac:dyDescent="0.2">
      <c r="A32" s="5">
        <v>1838</v>
      </c>
      <c r="B32" s="5" t="s">
        <v>954</v>
      </c>
      <c r="C32" s="5">
        <v>4589</v>
      </c>
      <c r="D32" s="5" t="s">
        <v>154</v>
      </c>
      <c r="E32" s="5" t="s">
        <v>955</v>
      </c>
      <c r="F32" s="5">
        <v>419</v>
      </c>
      <c r="G32" s="5">
        <v>0</v>
      </c>
      <c r="H32" s="5">
        <v>0</v>
      </c>
      <c r="I32" s="93">
        <f t="shared" si="2"/>
        <v>9.1305295271300935E-2</v>
      </c>
      <c r="L32" s="5" t="s">
        <v>958</v>
      </c>
      <c r="M32" s="5">
        <v>131</v>
      </c>
    </row>
    <row r="33" spans="1:13" ht="16" x14ac:dyDescent="0.2">
      <c r="A33" s="5">
        <v>1839</v>
      </c>
      <c r="B33" s="5" t="s">
        <v>954</v>
      </c>
      <c r="C33" s="5">
        <v>16114</v>
      </c>
      <c r="D33" s="5" t="s">
        <v>154</v>
      </c>
      <c r="E33" s="5" t="s">
        <v>955</v>
      </c>
      <c r="F33" s="5">
        <v>1201</v>
      </c>
      <c r="G33" s="5">
        <v>0</v>
      </c>
      <c r="H33" s="5">
        <v>0</v>
      </c>
      <c r="I33" s="93">
        <f t="shared" si="2"/>
        <v>7.4531463323817798E-2</v>
      </c>
      <c r="L33" s="5" t="s">
        <v>959</v>
      </c>
      <c r="M33" s="5">
        <v>244</v>
      </c>
    </row>
    <row r="34" spans="1:13" ht="16" x14ac:dyDescent="0.2">
      <c r="A34" s="5">
        <v>1840</v>
      </c>
      <c r="B34" s="5" t="s">
        <v>954</v>
      </c>
      <c r="C34" s="5">
        <v>2785</v>
      </c>
      <c r="D34" s="5" t="s">
        <v>154</v>
      </c>
      <c r="E34" s="5" t="s">
        <v>955</v>
      </c>
      <c r="F34" s="5">
        <v>169</v>
      </c>
      <c r="G34" s="5">
        <v>10</v>
      </c>
      <c r="H34" s="5">
        <v>0</v>
      </c>
      <c r="I34" s="93">
        <f t="shared" si="2"/>
        <v>6.0861759425493718E-2</v>
      </c>
      <c r="L34" s="5" t="s">
        <v>960</v>
      </c>
      <c r="M34" s="5">
        <v>276</v>
      </c>
    </row>
    <row r="35" spans="1:13" ht="16" x14ac:dyDescent="0.2">
      <c r="A35" s="5">
        <v>1841</v>
      </c>
      <c r="B35" s="5" t="s">
        <v>954</v>
      </c>
      <c r="C35" s="5">
        <v>5060</v>
      </c>
      <c r="D35" s="5" t="s">
        <v>154</v>
      </c>
      <c r="E35" s="5" t="s">
        <v>955</v>
      </c>
      <c r="F35" s="5">
        <v>265</v>
      </c>
      <c r="G35" s="5">
        <v>0</v>
      </c>
      <c r="H35" s="5">
        <v>0</v>
      </c>
      <c r="I35" s="93">
        <f t="shared" si="2"/>
        <v>5.2371541501976288E-2</v>
      </c>
      <c r="L35" s="5" t="s">
        <v>961</v>
      </c>
      <c r="M35" s="5">
        <v>270</v>
      </c>
    </row>
    <row r="36" spans="1:13" ht="16" x14ac:dyDescent="0.2">
      <c r="A36" s="5">
        <v>1842</v>
      </c>
      <c r="B36" s="5" t="s">
        <v>954</v>
      </c>
      <c r="C36" s="5">
        <v>12317</v>
      </c>
      <c r="D36" s="5" t="s">
        <v>154</v>
      </c>
      <c r="E36" s="5" t="s">
        <v>955</v>
      </c>
      <c r="F36" s="5">
        <v>985</v>
      </c>
      <c r="G36" s="5">
        <v>0</v>
      </c>
      <c r="H36" s="5">
        <v>0</v>
      </c>
      <c r="I36" s="93">
        <f t="shared" si="2"/>
        <v>7.9970772103596655E-2</v>
      </c>
      <c r="L36" s="5" t="s">
        <v>962</v>
      </c>
      <c r="M36" s="5">
        <v>274</v>
      </c>
    </row>
    <row r="37" spans="1:13" ht="16" x14ac:dyDescent="0.2">
      <c r="A37" s="5">
        <v>1843</v>
      </c>
      <c r="B37" s="5" t="s">
        <v>954</v>
      </c>
      <c r="C37" s="5">
        <v>6877</v>
      </c>
      <c r="D37" s="5" t="s">
        <v>154</v>
      </c>
      <c r="E37" s="5" t="s">
        <v>955</v>
      </c>
      <c r="F37" s="5">
        <v>562</v>
      </c>
      <c r="G37" s="5">
        <v>0</v>
      </c>
      <c r="H37" s="5">
        <v>0</v>
      </c>
      <c r="I37" s="93">
        <f t="shared" si="2"/>
        <v>8.1721680965537294E-2</v>
      </c>
      <c r="L37" s="5" t="s">
        <v>963</v>
      </c>
      <c r="M37" s="5">
        <v>276</v>
      </c>
    </row>
    <row r="38" spans="1:13" ht="16" x14ac:dyDescent="0.2">
      <c r="A38" s="5">
        <v>1844</v>
      </c>
      <c r="B38" s="5" t="s">
        <v>954</v>
      </c>
      <c r="C38" s="5">
        <v>2906</v>
      </c>
      <c r="D38" s="5" t="s">
        <v>154</v>
      </c>
      <c r="E38" s="5" t="s">
        <v>955</v>
      </c>
      <c r="F38" s="5">
        <v>320</v>
      </c>
      <c r="G38" s="5">
        <v>0</v>
      </c>
      <c r="H38" s="5">
        <v>0</v>
      </c>
      <c r="I38" s="93">
        <f t="shared" si="2"/>
        <v>0.11011699931176876</v>
      </c>
      <c r="L38" s="5" t="s">
        <v>964</v>
      </c>
      <c r="M38" s="5">
        <v>372</v>
      </c>
    </row>
    <row r="39" spans="1:13" ht="16" x14ac:dyDescent="0.2">
      <c r="A39" s="5">
        <v>1845</v>
      </c>
      <c r="B39" s="5" t="s">
        <v>954</v>
      </c>
      <c r="C39" s="5">
        <v>2600</v>
      </c>
      <c r="D39" s="5" t="s">
        <v>154</v>
      </c>
      <c r="E39" s="5" t="s">
        <v>955</v>
      </c>
      <c r="F39" s="5">
        <v>300</v>
      </c>
      <c r="G39" s="5">
        <v>0</v>
      </c>
      <c r="H39" s="5">
        <v>0</v>
      </c>
      <c r="I39" s="93">
        <f t="shared" si="2"/>
        <v>0.11538461538461539</v>
      </c>
      <c r="L39" s="5" t="s">
        <v>965</v>
      </c>
      <c r="M39" s="5">
        <v>378</v>
      </c>
    </row>
    <row r="40" spans="1:13" ht="16" x14ac:dyDescent="0.2">
      <c r="A40" s="5">
        <v>1846</v>
      </c>
      <c r="B40" s="5" t="s">
        <v>954</v>
      </c>
      <c r="C40" s="5">
        <v>184</v>
      </c>
      <c r="D40" s="5" t="s">
        <v>154</v>
      </c>
      <c r="E40" s="5" t="s">
        <v>955</v>
      </c>
      <c r="F40" s="5">
        <v>11</v>
      </c>
      <c r="G40" s="5">
        <v>0</v>
      </c>
      <c r="H40" s="5">
        <v>0</v>
      </c>
      <c r="I40" s="93">
        <f t="shared" si="2"/>
        <v>5.9782608695652176E-2</v>
      </c>
      <c r="L40" s="5" t="s">
        <v>966</v>
      </c>
      <c r="M40" s="5">
        <v>376</v>
      </c>
    </row>
    <row r="41" spans="1:13" ht="16" x14ac:dyDescent="0.2">
      <c r="A41" s="5">
        <v>1847</v>
      </c>
      <c r="B41" s="5" t="s">
        <v>954</v>
      </c>
      <c r="C41" s="5">
        <v>7165</v>
      </c>
      <c r="D41" s="5" t="s">
        <v>154</v>
      </c>
      <c r="E41" s="5" t="s">
        <v>955</v>
      </c>
      <c r="F41" s="5">
        <v>485</v>
      </c>
      <c r="G41" s="5">
        <v>0</v>
      </c>
      <c r="H41" s="5">
        <v>0</v>
      </c>
      <c r="I41" s="93">
        <f t="shared" si="2"/>
        <v>6.7690160502442434E-2</v>
      </c>
      <c r="L41" s="5" t="s">
        <v>967</v>
      </c>
      <c r="M41" s="5">
        <v>356</v>
      </c>
    </row>
    <row r="42" spans="1:13" ht="16" x14ac:dyDescent="0.2">
      <c r="A42" s="5">
        <v>1848</v>
      </c>
      <c r="B42" s="5" t="s">
        <v>954</v>
      </c>
      <c r="C42" s="5">
        <v>3460</v>
      </c>
      <c r="D42" s="5" t="s">
        <v>154</v>
      </c>
      <c r="E42" s="5" t="s">
        <v>955</v>
      </c>
      <c r="F42" s="5">
        <v>270</v>
      </c>
      <c r="G42" s="5">
        <v>0</v>
      </c>
      <c r="H42" s="5">
        <v>0</v>
      </c>
      <c r="I42" s="93">
        <f t="shared" si="2"/>
        <v>7.8034682080924858E-2</v>
      </c>
      <c r="L42" s="5" t="s">
        <v>968</v>
      </c>
      <c r="M42" s="5">
        <v>428</v>
      </c>
    </row>
    <row r="43" spans="1:13" ht="16" x14ac:dyDescent="0.2">
      <c r="A43" s="5">
        <v>1849</v>
      </c>
      <c r="B43" s="5" t="s">
        <v>954</v>
      </c>
      <c r="C43" s="5">
        <v>3281</v>
      </c>
      <c r="D43" s="5" t="s">
        <v>154</v>
      </c>
      <c r="E43" s="5" t="s">
        <v>955</v>
      </c>
      <c r="F43" s="5">
        <v>348</v>
      </c>
      <c r="G43" s="5">
        <v>0</v>
      </c>
      <c r="H43" s="5">
        <v>0</v>
      </c>
      <c r="I43" s="93">
        <f t="shared" si="2"/>
        <v>0.10606522401706797</v>
      </c>
      <c r="L43" s="5" t="s">
        <v>969</v>
      </c>
      <c r="M43" s="5">
        <v>444</v>
      </c>
    </row>
    <row r="44" spans="1:13" ht="16" x14ac:dyDescent="0.2">
      <c r="A44" s="5">
        <v>1850</v>
      </c>
      <c r="B44" s="5" t="s">
        <v>954</v>
      </c>
      <c r="C44" s="5">
        <v>2402</v>
      </c>
      <c r="D44" s="5" t="s">
        <v>154</v>
      </c>
      <c r="E44" s="5" t="s">
        <v>955</v>
      </c>
      <c r="F44" s="5">
        <v>146</v>
      </c>
      <c r="G44" s="5">
        <v>0</v>
      </c>
      <c r="H44" s="5">
        <v>0</v>
      </c>
      <c r="I44" s="93">
        <f t="shared" si="2"/>
        <v>6.0782681099084093E-2</v>
      </c>
      <c r="L44" s="5" t="s">
        <v>970</v>
      </c>
      <c r="M44" s="5">
        <v>444</v>
      </c>
    </row>
    <row r="45" spans="1:13" ht="16" x14ac:dyDescent="0.2">
      <c r="A45" s="5">
        <v>1850</v>
      </c>
      <c r="B45" s="5" t="s">
        <v>948</v>
      </c>
      <c r="C45" s="5">
        <v>2406</v>
      </c>
      <c r="D45" s="5" t="s">
        <v>154</v>
      </c>
      <c r="E45" s="5" t="s">
        <v>955</v>
      </c>
      <c r="F45" s="5">
        <v>146</v>
      </c>
      <c r="G45" s="5">
        <v>0</v>
      </c>
      <c r="H45" s="5">
        <v>0</v>
      </c>
      <c r="I45" s="93">
        <f t="shared" si="2"/>
        <v>6.0681629260182876E-2</v>
      </c>
      <c r="L45" s="5" t="s">
        <v>971</v>
      </c>
      <c r="M45" s="5">
        <v>406</v>
      </c>
    </row>
    <row r="46" spans="1:13" ht="16" x14ac:dyDescent="0.2">
      <c r="A46" s="5">
        <v>1852</v>
      </c>
      <c r="B46" s="5" t="s">
        <v>948</v>
      </c>
      <c r="C46" s="5">
        <v>7388</v>
      </c>
      <c r="D46" s="5" t="s">
        <v>154</v>
      </c>
      <c r="E46" s="5" t="s">
        <v>955</v>
      </c>
      <c r="F46" s="5">
        <v>1025</v>
      </c>
      <c r="G46" s="5">
        <v>0</v>
      </c>
      <c r="H46" s="5">
        <v>0</v>
      </c>
      <c r="I46" s="93">
        <f t="shared" si="2"/>
        <v>0.13873849485652409</v>
      </c>
      <c r="L46" s="5" t="s">
        <v>971</v>
      </c>
      <c r="M46" s="5">
        <v>406</v>
      </c>
    </row>
    <row r="47" spans="1:13" ht="16" x14ac:dyDescent="0.2">
      <c r="A47" s="5">
        <v>1853</v>
      </c>
      <c r="B47" s="5" t="s">
        <v>948</v>
      </c>
      <c r="C47" s="5">
        <v>5132</v>
      </c>
      <c r="D47" s="5" t="s">
        <v>154</v>
      </c>
      <c r="E47" s="5" t="s">
        <v>955</v>
      </c>
      <c r="F47" s="5">
        <v>546</v>
      </c>
      <c r="G47" s="5">
        <v>0</v>
      </c>
      <c r="H47" s="5">
        <v>0</v>
      </c>
      <c r="I47" s="93">
        <f t="shared" si="2"/>
        <v>0.1063912704598597</v>
      </c>
      <c r="L47" s="5" t="s">
        <v>971</v>
      </c>
      <c r="M47" s="5">
        <v>406</v>
      </c>
    </row>
    <row r="48" spans="1:13" ht="16" x14ac:dyDescent="0.2">
      <c r="A48" s="5">
        <v>1857</v>
      </c>
      <c r="B48" s="110" t="s">
        <v>187</v>
      </c>
      <c r="C48" s="94">
        <v>13096</v>
      </c>
      <c r="D48" s="5" t="s">
        <v>154</v>
      </c>
      <c r="E48" s="5" t="s">
        <v>955</v>
      </c>
      <c r="F48" s="94">
        <v>1560</v>
      </c>
      <c r="G48" s="94">
        <v>0</v>
      </c>
      <c r="H48" s="94">
        <v>0</v>
      </c>
      <c r="I48" s="93">
        <f t="shared" si="2"/>
        <v>0.11912034208918754</v>
      </c>
      <c r="L48" s="94" t="s">
        <v>972</v>
      </c>
      <c r="M48" s="94">
        <v>379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6"/>
  <sheetViews>
    <sheetView workbookViewId="0">
      <pane xSplit="1" ySplit="2" topLeftCell="B3" activePane="bottomRight" state="frozen"/>
      <selection pane="topRight" activeCell="B1" sqref="B1"/>
      <selection pane="bottomLeft" activeCell="A2" sqref="A2"/>
      <selection pane="bottomRight" activeCell="I3" sqref="I3"/>
    </sheetView>
  </sheetViews>
  <sheetFormatPr baseColWidth="10" defaultColWidth="8.83203125" defaultRowHeight="13" x14ac:dyDescent="0.15"/>
  <cols>
    <col min="1" max="16384" width="8.83203125" style="38"/>
  </cols>
  <sheetData>
    <row r="1" spans="1:17" x14ac:dyDescent="0.15">
      <c r="A1" s="122"/>
      <c r="B1" s="31" t="s">
        <v>0</v>
      </c>
      <c r="C1" s="31" t="s">
        <v>1</v>
      </c>
      <c r="D1" s="31" t="s">
        <v>2</v>
      </c>
      <c r="E1" s="31" t="s">
        <v>3</v>
      </c>
      <c r="F1" s="31" t="s">
        <v>4</v>
      </c>
      <c r="G1" s="31" t="s">
        <v>5</v>
      </c>
      <c r="H1" s="31"/>
      <c r="I1" s="31" t="s">
        <v>6</v>
      </c>
      <c r="J1" s="31" t="s">
        <v>7</v>
      </c>
      <c r="K1" s="31"/>
      <c r="L1" s="26" t="s">
        <v>0</v>
      </c>
      <c r="M1" s="31" t="s">
        <v>1</v>
      </c>
      <c r="N1" s="31" t="s">
        <v>2</v>
      </c>
      <c r="O1" s="31" t="s">
        <v>3</v>
      </c>
      <c r="P1" s="31" t="s">
        <v>4</v>
      </c>
      <c r="Q1" s="31" t="s">
        <v>5</v>
      </c>
    </row>
    <row r="2" spans="1:17" x14ac:dyDescent="0.15">
      <c r="B2" s="38" t="s">
        <v>8</v>
      </c>
      <c r="C2" s="38" t="s">
        <v>8</v>
      </c>
      <c r="D2" s="38" t="s">
        <v>8</v>
      </c>
      <c r="E2" s="38" t="s">
        <v>8</v>
      </c>
      <c r="F2" s="38" t="s">
        <v>8</v>
      </c>
      <c r="G2" s="38" t="s">
        <v>8</v>
      </c>
      <c r="I2" s="38" t="s">
        <v>8</v>
      </c>
      <c r="J2" s="38" t="s">
        <v>9</v>
      </c>
      <c r="L2" s="38" t="s">
        <v>10</v>
      </c>
      <c r="M2" s="38" t="s">
        <v>10</v>
      </c>
      <c r="N2" s="38" t="s">
        <v>10</v>
      </c>
      <c r="O2" s="38" t="s">
        <v>10</v>
      </c>
      <c r="P2" s="38" t="s">
        <v>10</v>
      </c>
      <c r="Q2" s="38" t="s">
        <v>10</v>
      </c>
    </row>
    <row r="3" spans="1:17" x14ac:dyDescent="0.15">
      <c r="A3" s="122">
        <v>1653</v>
      </c>
      <c r="B3" s="113">
        <v>6.3686803460485324</v>
      </c>
      <c r="C3" s="113">
        <v>11.535044672897847</v>
      </c>
      <c r="D3" s="113"/>
      <c r="E3" s="113"/>
      <c r="F3" s="113"/>
      <c r="G3" s="113"/>
      <c r="H3" s="31"/>
      <c r="I3" s="31">
        <v>244.10447487516586</v>
      </c>
      <c r="J3" s="31">
        <f>I3*3.15</f>
        <v>768.92909585677239</v>
      </c>
      <c r="K3" s="31"/>
      <c r="L3" s="26">
        <f>(B3*250)/J3</f>
        <v>2.0706331638264666</v>
      </c>
      <c r="M3" s="31">
        <f>C3*250/J3</f>
        <v>3.7503603176977673</v>
      </c>
      <c r="N3" s="31"/>
      <c r="O3" s="31"/>
      <c r="P3" s="31"/>
      <c r="Q3" s="31"/>
    </row>
    <row r="4" spans="1:17" x14ac:dyDescent="0.15">
      <c r="A4" s="122">
        <v>1654</v>
      </c>
      <c r="B4" s="113">
        <v>6.364424111682804</v>
      </c>
      <c r="C4" s="113">
        <v>11.521019681996654</v>
      </c>
      <c r="D4" s="113"/>
      <c r="E4" s="113"/>
      <c r="F4" s="113"/>
      <c r="G4" s="113"/>
      <c r="H4" s="31"/>
      <c r="I4" s="31">
        <v>247.13021806716171</v>
      </c>
      <c r="J4" s="31">
        <f t="shared" ref="J4:J67" si="0">I4*3.15</f>
        <v>778.46018691155939</v>
      </c>
      <c r="K4" s="31"/>
      <c r="L4" s="26">
        <f t="shared" ref="L4:L67" si="1">(B4*250)/J4</f>
        <v>2.0439144540367691</v>
      </c>
      <c r="M4" s="31">
        <f t="shared" ref="M4:M67" si="2">C4*250/J4</f>
        <v>3.6999386338898126</v>
      </c>
      <c r="N4" s="31"/>
      <c r="O4" s="31"/>
      <c r="P4" s="31"/>
      <c r="Q4" s="31"/>
    </row>
    <row r="5" spans="1:17" x14ac:dyDescent="0.15">
      <c r="A5" s="122">
        <v>1655</v>
      </c>
      <c r="B5" s="113">
        <v>6.3601678773170764</v>
      </c>
      <c r="C5" s="113">
        <v>11.5069946910955</v>
      </c>
      <c r="D5" s="113"/>
      <c r="E5" s="113"/>
      <c r="F5" s="113"/>
      <c r="G5" s="113"/>
      <c r="H5" s="31"/>
      <c r="I5" s="31">
        <v>250.15596125915761</v>
      </c>
      <c r="J5" s="31">
        <f t="shared" si="0"/>
        <v>787.99127796634639</v>
      </c>
      <c r="K5" s="31"/>
      <c r="L5" s="26">
        <f>(B5*250)/J5</f>
        <v>2.0178420926597829</v>
      </c>
      <c r="M5" s="31">
        <f t="shared" si="2"/>
        <v>3.6507366936829668</v>
      </c>
      <c r="N5" s="31"/>
      <c r="O5" s="31"/>
      <c r="P5" s="31"/>
      <c r="Q5" s="31"/>
    </row>
    <row r="6" spans="1:17" x14ac:dyDescent="0.15">
      <c r="A6" s="122">
        <v>1656</v>
      </c>
      <c r="B6" s="113">
        <v>6.355911642951348</v>
      </c>
      <c r="C6" s="113">
        <v>11.492969700194267</v>
      </c>
      <c r="D6" s="113"/>
      <c r="E6" s="113"/>
      <c r="F6" s="113"/>
      <c r="G6" s="113"/>
      <c r="H6" s="31"/>
      <c r="I6" s="31">
        <v>250.64331205492985</v>
      </c>
      <c r="J6" s="31">
        <f t="shared" si="0"/>
        <v>789.52643297302905</v>
      </c>
      <c r="K6" s="31"/>
      <c r="L6" s="26">
        <f t="shared" si="1"/>
        <v>2.0125708834780935</v>
      </c>
      <c r="M6" s="31">
        <f t="shared" si="2"/>
        <v>3.6391972517362436</v>
      </c>
      <c r="N6" s="31"/>
      <c r="O6" s="31"/>
      <c r="P6" s="31"/>
      <c r="Q6" s="31"/>
    </row>
    <row r="7" spans="1:17" x14ac:dyDescent="0.15">
      <c r="A7" s="122">
        <v>1657</v>
      </c>
      <c r="B7" s="113">
        <v>6.3516554085856205</v>
      </c>
      <c r="C7" s="113">
        <v>11.648988709293072</v>
      </c>
      <c r="D7" s="113"/>
      <c r="E7" s="113"/>
      <c r="F7" s="113"/>
      <c r="G7" s="113"/>
      <c r="H7" s="31"/>
      <c r="I7" s="31">
        <v>259.92345669603549</v>
      </c>
      <c r="J7" s="31">
        <f t="shared" si="0"/>
        <v>818.75888859251177</v>
      </c>
      <c r="K7" s="31"/>
      <c r="L7" s="26">
        <f t="shared" si="1"/>
        <v>1.9394157111089321</v>
      </c>
      <c r="M7" s="31">
        <f t="shared" si="2"/>
        <v>3.5569045025325696</v>
      </c>
      <c r="N7" s="31"/>
      <c r="O7" s="31"/>
      <c r="P7" s="31"/>
      <c r="Q7" s="31"/>
    </row>
    <row r="8" spans="1:17" x14ac:dyDescent="0.15">
      <c r="A8" s="122">
        <v>1658</v>
      </c>
      <c r="B8" s="113">
        <v>6.3861287042198907</v>
      </c>
      <c r="C8" s="113">
        <v>11.641898291822395</v>
      </c>
      <c r="D8" s="113">
        <v>9.4079999999999995</v>
      </c>
      <c r="E8" s="113"/>
      <c r="F8" s="113"/>
      <c r="G8" s="113"/>
      <c r="H8" s="31"/>
      <c r="I8" s="31">
        <v>263.27978607871199</v>
      </c>
      <c r="J8" s="31">
        <f t="shared" si="0"/>
        <v>829.33132614794272</v>
      </c>
      <c r="K8" s="31"/>
      <c r="L8" s="26">
        <f t="shared" si="1"/>
        <v>1.9250836495837016</v>
      </c>
      <c r="M8" s="31">
        <f t="shared" si="2"/>
        <v>3.5094231716461235</v>
      </c>
      <c r="N8" s="31">
        <f t="shared" ref="N8:N67" si="3">D8*250/J8</f>
        <v>2.8360197255836344</v>
      </c>
      <c r="O8" s="31"/>
      <c r="P8" s="31"/>
      <c r="Q8" s="31"/>
    </row>
    <row r="9" spans="1:17" x14ac:dyDescent="0.15">
      <c r="A9" s="122">
        <v>1659</v>
      </c>
      <c r="B9" s="113">
        <v>6.3199496644662032</v>
      </c>
      <c r="C9" s="113">
        <v>11.543378865926961</v>
      </c>
      <c r="D9" s="113"/>
      <c r="E9" s="113"/>
      <c r="F9" s="113"/>
      <c r="G9" s="113"/>
      <c r="H9" s="31"/>
      <c r="I9" s="31">
        <v>249.36611615041846</v>
      </c>
      <c r="J9" s="31">
        <f t="shared" si="0"/>
        <v>785.50326587381812</v>
      </c>
      <c r="K9" s="31"/>
      <c r="L9" s="26">
        <f t="shared" si="1"/>
        <v>2.0114332871155205</v>
      </c>
      <c r="M9" s="31">
        <f t="shared" si="2"/>
        <v>3.6738799720602531</v>
      </c>
      <c r="N9" s="31"/>
      <c r="O9" s="31"/>
      <c r="P9" s="31"/>
      <c r="Q9" s="31"/>
    </row>
    <row r="10" spans="1:17" x14ac:dyDescent="0.15">
      <c r="A10" s="122">
        <v>1660</v>
      </c>
      <c r="B10" s="113">
        <v>6.2538536899817068</v>
      </c>
      <c r="C10" s="113">
        <v>11.445065886311756</v>
      </c>
      <c r="D10" s="113"/>
      <c r="E10" s="113"/>
      <c r="F10" s="113"/>
      <c r="G10" s="113"/>
      <c r="H10" s="31"/>
      <c r="I10" s="31">
        <v>242.92481550050556</v>
      </c>
      <c r="J10" s="31">
        <f t="shared" si="0"/>
        <v>765.21316882659244</v>
      </c>
      <c r="K10" s="31"/>
      <c r="L10" s="26">
        <f t="shared" si="1"/>
        <v>2.0431737013790578</v>
      </c>
      <c r="M10" s="31">
        <f t="shared" si="2"/>
        <v>3.7391756808962349</v>
      </c>
      <c r="N10" s="31"/>
      <c r="O10" s="31"/>
      <c r="P10" s="31"/>
      <c r="Q10" s="31"/>
    </row>
    <row r="11" spans="1:17" x14ac:dyDescent="0.15">
      <c r="A11" s="122">
        <v>1661</v>
      </c>
      <c r="B11" s="113">
        <v>6.2033844547674448</v>
      </c>
      <c r="C11" s="113">
        <v>11.370834128880983</v>
      </c>
      <c r="D11" s="113"/>
      <c r="E11" s="113"/>
      <c r="F11" s="113"/>
      <c r="G11" s="113"/>
      <c r="H11" s="31"/>
      <c r="I11" s="31">
        <v>232.27797786824465</v>
      </c>
      <c r="J11" s="31">
        <f t="shared" si="0"/>
        <v>731.67563028497057</v>
      </c>
      <c r="K11" s="31"/>
      <c r="L11" s="26">
        <f t="shared" si="1"/>
        <v>2.1195814777756681</v>
      </c>
      <c r="M11" s="31">
        <f t="shared" si="2"/>
        <v>3.885203243837815</v>
      </c>
      <c r="N11" s="31"/>
      <c r="O11" s="31"/>
      <c r="P11" s="31"/>
      <c r="Q11" s="31"/>
    </row>
    <row r="12" spans="1:17" x14ac:dyDescent="0.15">
      <c r="A12" s="122">
        <v>1662</v>
      </c>
      <c r="B12" s="113">
        <v>6.1967719780002799</v>
      </c>
      <c r="C12" s="113">
        <v>11.363980381393517</v>
      </c>
      <c r="D12" s="113"/>
      <c r="E12" s="113"/>
      <c r="F12" s="113"/>
      <c r="G12" s="113"/>
      <c r="H12" s="31"/>
      <c r="I12" s="31">
        <v>231.36816281341936</v>
      </c>
      <c r="J12" s="31">
        <f t="shared" si="0"/>
        <v>728.809712862271</v>
      </c>
      <c r="K12" s="31"/>
      <c r="L12" s="26">
        <f t="shared" si="1"/>
        <v>2.1256481179646864</v>
      </c>
      <c r="M12" s="31">
        <f t="shared" si="2"/>
        <v>3.8981301225952034</v>
      </c>
      <c r="N12" s="31"/>
      <c r="O12" s="31"/>
      <c r="P12" s="31"/>
      <c r="Q12" s="31"/>
    </row>
    <row r="13" spans="1:17" x14ac:dyDescent="0.15">
      <c r="A13" s="122">
        <v>1663</v>
      </c>
      <c r="B13" s="113">
        <v>6.1912874526492763</v>
      </c>
      <c r="C13" s="113">
        <v>11.358834698608131</v>
      </c>
      <c r="D13" s="113">
        <v>9.4079999999999995</v>
      </c>
      <c r="E13" s="113"/>
      <c r="F13" s="113"/>
      <c r="G13" s="113"/>
      <c r="H13" s="31"/>
      <c r="I13" s="31">
        <v>228.81823043065344</v>
      </c>
      <c r="J13" s="31">
        <f t="shared" si="0"/>
        <v>720.77742585655835</v>
      </c>
      <c r="K13" s="31"/>
      <c r="L13" s="26">
        <f t="shared" si="1"/>
        <v>2.1474338785276421</v>
      </c>
      <c r="M13" s="31">
        <f t="shared" si="2"/>
        <v>3.9397858101304659</v>
      </c>
      <c r="N13" s="31">
        <f t="shared" si="3"/>
        <v>3.2631432611876368</v>
      </c>
      <c r="O13" s="31"/>
      <c r="P13" s="31"/>
      <c r="Q13" s="31"/>
    </row>
    <row r="14" spans="1:17" x14ac:dyDescent="0.15">
      <c r="A14" s="122">
        <v>1664</v>
      </c>
      <c r="B14" s="113">
        <v>6.2060877229593681</v>
      </c>
      <c r="C14" s="113">
        <v>11.384769553238476</v>
      </c>
      <c r="D14" s="113"/>
      <c r="E14" s="113"/>
      <c r="F14" s="113"/>
      <c r="G14" s="113"/>
      <c r="H14" s="31"/>
      <c r="I14" s="31">
        <v>240.34367821966879</v>
      </c>
      <c r="J14" s="31">
        <f t="shared" si="0"/>
        <v>757.08258639195662</v>
      </c>
      <c r="K14" s="31"/>
      <c r="L14" s="26">
        <f t="shared" si="1"/>
        <v>2.0493430421296051</v>
      </c>
      <c r="M14" s="31">
        <f t="shared" si="2"/>
        <v>3.7594212830515277</v>
      </c>
      <c r="N14" s="31"/>
      <c r="O14" s="31"/>
      <c r="P14" s="31"/>
      <c r="Q14" s="31"/>
    </row>
    <row r="15" spans="1:17" x14ac:dyDescent="0.15">
      <c r="A15" s="122">
        <v>1665</v>
      </c>
      <c r="B15" s="113">
        <v>6.2208624555873548</v>
      </c>
      <c r="C15" s="113">
        <v>11.410606028633016</v>
      </c>
      <c r="D15" s="113"/>
      <c r="E15" s="113"/>
      <c r="F15" s="113"/>
      <c r="G15" s="113"/>
      <c r="H15" s="31"/>
      <c r="I15" s="31">
        <v>251.86912600868416</v>
      </c>
      <c r="J15" s="31">
        <f t="shared" si="0"/>
        <v>793.38774692735512</v>
      </c>
      <c r="K15" s="31"/>
      <c r="L15" s="26">
        <f t="shared" si="1"/>
        <v>1.9602213670678716</v>
      </c>
      <c r="M15" s="31">
        <f t="shared" si="2"/>
        <v>3.5955325982863346</v>
      </c>
      <c r="N15" s="31"/>
      <c r="O15" s="31"/>
      <c r="P15" s="31"/>
      <c r="Q15" s="31"/>
    </row>
    <row r="16" spans="1:17" x14ac:dyDescent="0.15">
      <c r="A16" s="122">
        <v>1666</v>
      </c>
      <c r="B16" s="113">
        <v>6.2140517568123661</v>
      </c>
      <c r="C16" s="113">
        <v>11.403320909779927</v>
      </c>
      <c r="D16" s="113"/>
      <c r="E16" s="113"/>
      <c r="F16" s="113"/>
      <c r="G16" s="113"/>
      <c r="H16" s="31"/>
      <c r="I16" s="31">
        <v>242.42874233177372</v>
      </c>
      <c r="J16" s="31">
        <f t="shared" si="0"/>
        <v>763.65053834508717</v>
      </c>
      <c r="K16" s="31"/>
      <c r="L16" s="26">
        <f t="shared" si="1"/>
        <v>2.0343244209186588</v>
      </c>
      <c r="M16" s="31">
        <f t="shared" si="2"/>
        <v>3.7331607643766445</v>
      </c>
      <c r="N16" s="31"/>
      <c r="O16" s="31"/>
      <c r="P16" s="31"/>
      <c r="Q16" s="31"/>
    </row>
    <row r="17" spans="1:17" x14ac:dyDescent="0.15">
      <c r="A17" s="122">
        <v>1667</v>
      </c>
      <c r="B17" s="113">
        <v>6.2076079225141063</v>
      </c>
      <c r="C17" s="113">
        <v>11.396575206880511</v>
      </c>
      <c r="D17" s="113"/>
      <c r="E17" s="113"/>
      <c r="F17" s="113"/>
      <c r="G17" s="113"/>
      <c r="H17" s="31"/>
      <c r="I17" s="31">
        <v>239.81812130154159</v>
      </c>
      <c r="J17" s="31">
        <f t="shared" si="0"/>
        <v>755.42708209985597</v>
      </c>
      <c r="K17" s="31"/>
      <c r="L17" s="26">
        <f t="shared" si="1"/>
        <v>2.0543372317480522</v>
      </c>
      <c r="M17" s="31">
        <f t="shared" si="2"/>
        <v>3.7715669311197848</v>
      </c>
      <c r="N17" s="31"/>
      <c r="O17" s="31"/>
      <c r="P17" s="31"/>
      <c r="Q17" s="31"/>
    </row>
    <row r="18" spans="1:17" x14ac:dyDescent="0.15">
      <c r="A18" s="122">
        <v>1668</v>
      </c>
      <c r="B18" s="113">
        <v>6.2734944593724524</v>
      </c>
      <c r="C18" s="113">
        <v>11.500470346778746</v>
      </c>
      <c r="D18" s="113"/>
      <c r="E18" s="113"/>
      <c r="F18" s="113"/>
      <c r="G18" s="113"/>
      <c r="H18" s="31"/>
      <c r="I18" s="31">
        <v>263.30299234486063</v>
      </c>
      <c r="J18" s="31">
        <f t="shared" si="0"/>
        <v>829.40442588631095</v>
      </c>
      <c r="K18" s="31"/>
      <c r="L18" s="26">
        <f t="shared" si="1"/>
        <v>1.890963643179419</v>
      </c>
      <c r="M18" s="31">
        <f t="shared" si="2"/>
        <v>3.4664845001547988</v>
      </c>
    </row>
    <row r="19" spans="1:17" x14ac:dyDescent="0.15">
      <c r="A19" s="122">
        <v>1669</v>
      </c>
      <c r="B19" s="113">
        <v>6.4126618680526999</v>
      </c>
      <c r="C19" s="113">
        <v>11.716272599183682</v>
      </c>
      <c r="D19" s="113"/>
      <c r="E19" s="113"/>
      <c r="F19" s="113"/>
      <c r="G19" s="113"/>
      <c r="H19" s="31"/>
      <c r="I19" s="31">
        <v>303.803956147289</v>
      </c>
      <c r="J19" s="31">
        <f t="shared" si="0"/>
        <v>956.98246186396034</v>
      </c>
      <c r="K19" s="31"/>
      <c r="L19" s="26">
        <f t="shared" si="1"/>
        <v>1.6752297256217352</v>
      </c>
      <c r="M19" s="31">
        <f t="shared" si="2"/>
        <v>3.0607333640063108</v>
      </c>
    </row>
    <row r="20" spans="1:17" x14ac:dyDescent="0.15">
      <c r="A20" s="122">
        <v>1670</v>
      </c>
      <c r="B20" s="113">
        <v>6.5524197656155776</v>
      </c>
      <c r="C20" s="113">
        <v>11.932702853811001</v>
      </c>
      <c r="D20" s="113"/>
      <c r="E20" s="113"/>
      <c r="F20" s="113"/>
      <c r="G20" s="113"/>
      <c r="H20" s="31"/>
      <c r="I20" s="31">
        <v>313.52220352851248</v>
      </c>
      <c r="J20" s="31">
        <f t="shared" si="0"/>
        <v>987.59494111481433</v>
      </c>
      <c r="K20" s="31"/>
      <c r="L20" s="26">
        <f t="shared" si="1"/>
        <v>1.6586809765902335</v>
      </c>
      <c r="M20" s="31">
        <f t="shared" si="2"/>
        <v>3.0206470175771551</v>
      </c>
    </row>
    <row r="21" spans="1:17" x14ac:dyDescent="0.15">
      <c r="A21" s="122">
        <v>1671</v>
      </c>
      <c r="B21" s="113">
        <v>6.3997917877580335</v>
      </c>
      <c r="C21" s="113">
        <v>11.702271689813401</v>
      </c>
      <c r="D21" s="113"/>
      <c r="E21" s="113"/>
      <c r="F21" s="113"/>
      <c r="G21" s="113"/>
      <c r="H21" s="31"/>
      <c r="I21" s="31">
        <v>298.79900265729282</v>
      </c>
      <c r="J21" s="31">
        <f t="shared" si="0"/>
        <v>941.21685837047232</v>
      </c>
      <c r="K21" s="31"/>
      <c r="L21" s="26">
        <f t="shared" si="1"/>
        <v>1.6998717486950843</v>
      </c>
      <c r="M21" s="31">
        <f t="shared" si="2"/>
        <v>3.108282534928648</v>
      </c>
    </row>
    <row r="22" spans="1:17" x14ac:dyDescent="0.15">
      <c r="A22" s="122">
        <v>1672</v>
      </c>
      <c r="B22" s="113">
        <v>6.3930346929331483</v>
      </c>
      <c r="C22" s="113">
        <v>11.694745026392331</v>
      </c>
      <c r="D22" s="113"/>
      <c r="E22" s="113"/>
      <c r="F22" s="113"/>
      <c r="G22" s="113"/>
      <c r="H22" s="31"/>
      <c r="I22" s="31">
        <v>303.86927939252308</v>
      </c>
      <c r="J22" s="31">
        <f t="shared" si="0"/>
        <v>957.18823008644767</v>
      </c>
      <c r="K22" s="31"/>
      <c r="L22" s="26">
        <f t="shared" si="1"/>
        <v>1.6697433409612044</v>
      </c>
      <c r="M22" s="31">
        <f t="shared" si="2"/>
        <v>3.0544527865057769</v>
      </c>
    </row>
    <row r="23" spans="1:17" x14ac:dyDescent="0.15">
      <c r="A23" s="122">
        <v>1673</v>
      </c>
      <c r="B23" s="113">
        <v>6.3862808851342026</v>
      </c>
      <c r="C23" s="113">
        <v>11.687200888594843</v>
      </c>
      <c r="D23" s="113"/>
      <c r="E23" s="113"/>
      <c r="F23" s="113"/>
      <c r="G23" s="113"/>
      <c r="H23" s="31"/>
      <c r="I23" s="31">
        <v>289.18019419453697</v>
      </c>
      <c r="J23" s="31">
        <f t="shared" si="0"/>
        <v>910.91761171279143</v>
      </c>
      <c r="K23" s="31"/>
      <c r="L23" s="26">
        <f t="shared" si="1"/>
        <v>1.7527054046979418</v>
      </c>
      <c r="M23" s="31">
        <f t="shared" si="2"/>
        <v>3.2075351102882643</v>
      </c>
    </row>
    <row r="24" spans="1:17" x14ac:dyDescent="0.15">
      <c r="A24" s="122">
        <v>1674</v>
      </c>
      <c r="B24" s="113">
        <v>6.3795303643611954</v>
      </c>
      <c r="C24" s="113">
        <v>11.679639276420941</v>
      </c>
      <c r="D24" s="113"/>
      <c r="E24" s="113"/>
      <c r="F24" s="113"/>
      <c r="G24" s="113"/>
      <c r="H24" s="31"/>
      <c r="I24" s="31">
        <v>290.0520988742644</v>
      </c>
      <c r="J24" s="31">
        <f t="shared" si="0"/>
        <v>913.66411145393283</v>
      </c>
      <c r="K24" s="31"/>
      <c r="L24" s="26">
        <f t="shared" si="1"/>
        <v>1.7455896221559242</v>
      </c>
      <c r="M24" s="31">
        <f t="shared" si="2"/>
        <v>3.1958241354787611</v>
      </c>
    </row>
    <row r="25" spans="1:17" x14ac:dyDescent="0.15">
      <c r="A25" s="122">
        <v>1675</v>
      </c>
      <c r="B25" s="113">
        <v>6.3000958441623034</v>
      </c>
      <c r="C25" s="113">
        <v>11.561291108185014</v>
      </c>
      <c r="D25" s="113"/>
      <c r="E25" s="113"/>
      <c r="F25" s="113"/>
      <c r="G25" s="113"/>
      <c r="H25" s="31"/>
      <c r="I25" s="31">
        <v>275.81187582105258</v>
      </c>
      <c r="J25" s="31">
        <f t="shared" si="0"/>
        <v>868.80740883631563</v>
      </c>
      <c r="K25" s="31"/>
      <c r="L25" s="26">
        <f t="shared" si="1"/>
        <v>1.8128574238911817</v>
      </c>
      <c r="M25" s="31">
        <f t="shared" si="2"/>
        <v>3.3267704069392829</v>
      </c>
    </row>
    <row r="26" spans="1:17" x14ac:dyDescent="0.15">
      <c r="A26" s="122">
        <v>1676</v>
      </c>
      <c r="B26" s="113">
        <v>6.2207632156099679</v>
      </c>
      <c r="C26" s="113">
        <v>11.443202227889024</v>
      </c>
      <c r="D26" s="113"/>
      <c r="E26" s="113"/>
      <c r="F26" s="113"/>
      <c r="G26" s="113"/>
      <c r="H26" s="31"/>
      <c r="I26" s="31">
        <v>261.5716527678407</v>
      </c>
      <c r="J26" s="31">
        <f t="shared" si="0"/>
        <v>823.9507062186982</v>
      </c>
      <c r="K26" s="31"/>
      <c r="L26" s="26">
        <f t="shared" si="1"/>
        <v>1.8874803943546878</v>
      </c>
      <c r="M26" s="31">
        <f t="shared" si="2"/>
        <v>3.4720530431985868</v>
      </c>
    </row>
    <row r="27" spans="1:17" x14ac:dyDescent="0.15">
      <c r="A27" s="122">
        <v>1677</v>
      </c>
      <c r="B27" s="113">
        <v>6.2141211605353934</v>
      </c>
      <c r="C27" s="113">
        <v>11.435864954902218</v>
      </c>
      <c r="D27" s="113"/>
      <c r="E27" s="113"/>
      <c r="F27" s="113"/>
      <c r="G27" s="113"/>
      <c r="H27" s="31"/>
      <c r="I27" s="31">
        <v>261.39697751204471</v>
      </c>
      <c r="J27" s="31">
        <f t="shared" si="0"/>
        <v>823.40047916294077</v>
      </c>
      <c r="K27" s="31"/>
      <c r="L27" s="26">
        <f t="shared" si="1"/>
        <v>1.8867250256074044</v>
      </c>
      <c r="M27" s="31">
        <f t="shared" si="2"/>
        <v>3.4721454639326246</v>
      </c>
    </row>
    <row r="28" spans="1:17" x14ac:dyDescent="0.15">
      <c r="A28" s="122">
        <v>1678</v>
      </c>
      <c r="B28" s="113">
        <v>6.2758581596627065</v>
      </c>
      <c r="C28" s="113">
        <v>11.532530054908875</v>
      </c>
      <c r="D28" s="113"/>
      <c r="E28" s="113"/>
      <c r="F28" s="113"/>
      <c r="G28" s="113"/>
      <c r="H28" s="31"/>
      <c r="I28" s="31">
        <v>266.92377448946212</v>
      </c>
      <c r="J28" s="31">
        <f t="shared" si="0"/>
        <v>840.80988964180563</v>
      </c>
      <c r="K28" s="31"/>
      <c r="L28" s="26">
        <f t="shared" si="1"/>
        <v>1.8660158012461925</v>
      </c>
      <c r="M28" s="31">
        <f t="shared" si="2"/>
        <v>3.4289945316359982</v>
      </c>
    </row>
    <row r="29" spans="1:17" x14ac:dyDescent="0.15">
      <c r="A29" s="122">
        <v>1679</v>
      </c>
      <c r="B29" s="113">
        <v>6.3375055008993328</v>
      </c>
      <c r="C29" s="113">
        <v>11.628916803814906</v>
      </c>
      <c r="D29" s="113"/>
      <c r="E29" s="113"/>
      <c r="F29" s="113"/>
      <c r="G29" s="113"/>
      <c r="H29" s="31"/>
      <c r="I29" s="31">
        <v>282.21321034555962</v>
      </c>
      <c r="J29" s="31">
        <f t="shared" si="0"/>
        <v>888.97161258851281</v>
      </c>
      <c r="K29" s="31"/>
      <c r="L29" s="26">
        <f t="shared" si="1"/>
        <v>1.7822575578217135</v>
      </c>
      <c r="M29" s="31">
        <f t="shared" si="2"/>
        <v>3.2703285006913094</v>
      </c>
    </row>
    <row r="30" spans="1:17" x14ac:dyDescent="0.15">
      <c r="A30" s="122">
        <v>1680</v>
      </c>
      <c r="B30" s="113">
        <v>6.3990631842452732</v>
      </c>
      <c r="C30" s="113">
        <v>11.72502520162031</v>
      </c>
      <c r="D30" s="113"/>
      <c r="E30" s="113"/>
      <c r="F30" s="113"/>
      <c r="G30" s="113"/>
      <c r="H30" s="31"/>
      <c r="I30" s="31">
        <v>297.50264620165723</v>
      </c>
      <c r="J30" s="31">
        <f t="shared" si="0"/>
        <v>937.13333553522023</v>
      </c>
      <c r="K30" s="31"/>
      <c r="L30" s="26">
        <f t="shared" si="1"/>
        <v>1.7070845048401273</v>
      </c>
      <c r="M30" s="31">
        <f t="shared" si="2"/>
        <v>3.1278967349197582</v>
      </c>
    </row>
    <row r="31" spans="1:17" x14ac:dyDescent="0.15">
      <c r="A31" s="122">
        <v>1681</v>
      </c>
      <c r="B31" s="113">
        <v>6.4605312097005241</v>
      </c>
      <c r="C31" s="113">
        <v>11.82085524832508</v>
      </c>
      <c r="D31" s="113"/>
      <c r="E31" s="113"/>
      <c r="F31" s="113"/>
      <c r="G31" s="113"/>
      <c r="H31" s="31"/>
      <c r="I31" s="31">
        <v>312.79208205775467</v>
      </c>
      <c r="J31" s="31">
        <f t="shared" si="0"/>
        <v>985.29505848192719</v>
      </c>
      <c r="K31" s="31"/>
      <c r="L31" s="26">
        <f t="shared" si="1"/>
        <v>1.6392376968921505</v>
      </c>
      <c r="M31" s="31">
        <f t="shared" si="2"/>
        <v>2.9993186169374013</v>
      </c>
    </row>
    <row r="32" spans="1:17" x14ac:dyDescent="0.15">
      <c r="A32" s="122">
        <v>1682</v>
      </c>
      <c r="B32" s="113">
        <v>6.3827616272883798</v>
      </c>
      <c r="C32" s="113">
        <v>11.705209209648357</v>
      </c>
      <c r="D32" s="113"/>
      <c r="E32" s="113"/>
      <c r="F32" s="113"/>
      <c r="G32" s="113"/>
      <c r="H32" s="31"/>
      <c r="I32" s="31">
        <v>296.457391259612</v>
      </c>
      <c r="J32" s="31">
        <f t="shared" si="0"/>
        <v>933.84078246777779</v>
      </c>
      <c r="K32" s="31"/>
      <c r="L32" s="26">
        <f t="shared" si="1"/>
        <v>1.7087392591757518</v>
      </c>
      <c r="M32" s="31">
        <f t="shared" si="2"/>
        <v>3.1336201602579523</v>
      </c>
    </row>
    <row r="33" spans="1:14" x14ac:dyDescent="0.15">
      <c r="A33" s="122">
        <v>1683</v>
      </c>
      <c r="B33" s="113">
        <v>6.4469114771701967</v>
      </c>
      <c r="C33" s="113">
        <v>11.80494497731403</v>
      </c>
      <c r="D33" s="113"/>
      <c r="E33" s="113"/>
      <c r="F33" s="113"/>
      <c r="G33" s="113"/>
      <c r="H33" s="31"/>
      <c r="I33" s="31">
        <v>312.72532169457804</v>
      </c>
      <c r="J33" s="31">
        <f t="shared" si="0"/>
        <v>985.08476333792078</v>
      </c>
      <c r="K33" s="31"/>
      <c r="L33" s="26">
        <f t="shared" si="1"/>
        <v>1.6361311526444415</v>
      </c>
      <c r="M33" s="31">
        <f t="shared" si="2"/>
        <v>2.9959211168065987</v>
      </c>
    </row>
    <row r="34" spans="1:14" x14ac:dyDescent="0.15">
      <c r="A34" s="122">
        <v>1684</v>
      </c>
      <c r="B34" s="113">
        <v>6.3692451868625497</v>
      </c>
      <c r="C34" s="113">
        <v>11.689535457003444</v>
      </c>
      <c r="D34" s="113">
        <v>9.2279999999999998</v>
      </c>
      <c r="E34" s="113"/>
      <c r="F34" s="113"/>
      <c r="G34" s="113"/>
      <c r="H34" s="31"/>
      <c r="I34" s="31">
        <v>300.57376321404115</v>
      </c>
      <c r="J34" s="31">
        <f t="shared" si="0"/>
        <v>946.80735412422962</v>
      </c>
      <c r="K34" s="31"/>
      <c r="L34" s="26">
        <f t="shared" si="1"/>
        <v>1.6817690418009912</v>
      </c>
      <c r="M34" s="31">
        <f t="shared" si="2"/>
        <v>3.0865665032291436</v>
      </c>
      <c r="N34" s="31">
        <f t="shared" si="3"/>
        <v>2.4366097178595645</v>
      </c>
    </row>
    <row r="35" spans="1:14" x14ac:dyDescent="0.15">
      <c r="A35" s="122">
        <v>1685</v>
      </c>
      <c r="B35" s="113">
        <v>6.2916789016334587</v>
      </c>
      <c r="C35" s="113">
        <v>11.574379929435409</v>
      </c>
      <c r="D35" s="113"/>
      <c r="E35" s="113"/>
      <c r="F35" s="113"/>
      <c r="G35" s="113"/>
      <c r="H35" s="31"/>
      <c r="I35" s="31">
        <v>299.20215805322186</v>
      </c>
      <c r="J35" s="31">
        <f t="shared" si="0"/>
        <v>942.48679786764887</v>
      </c>
      <c r="K35" s="31"/>
      <c r="L35" s="26">
        <f t="shared" si="1"/>
        <v>1.6689037225423777</v>
      </c>
      <c r="M35" s="31">
        <f t="shared" si="2"/>
        <v>3.0701703078552751</v>
      </c>
      <c r="N35" s="31"/>
    </row>
    <row r="36" spans="1:14" x14ac:dyDescent="0.15">
      <c r="A36" s="122">
        <v>1686</v>
      </c>
      <c r="B36" s="113">
        <v>6.2849772580117005</v>
      </c>
      <c r="C36" s="113">
        <v>11.566635100731391</v>
      </c>
      <c r="D36" s="113"/>
      <c r="E36" s="113"/>
      <c r="F36" s="113"/>
      <c r="G36" s="113"/>
      <c r="H36" s="31"/>
      <c r="I36" s="31">
        <v>293.34825128745319</v>
      </c>
      <c r="J36" s="31">
        <f t="shared" si="0"/>
        <v>924.04699155547758</v>
      </c>
      <c r="K36" s="31"/>
      <c r="L36" s="26">
        <f t="shared" si="1"/>
        <v>1.7003943834696109</v>
      </c>
      <c r="M36" s="31">
        <f t="shared" si="2"/>
        <v>3.1293416910705236</v>
      </c>
      <c r="N36" s="31"/>
    </row>
    <row r="37" spans="1:14" x14ac:dyDescent="0.15">
      <c r="A37" s="122">
        <v>1687</v>
      </c>
      <c r="B37" s="113">
        <v>6.2782789014158809</v>
      </c>
      <c r="C37" s="113">
        <v>11.558872797650961</v>
      </c>
      <c r="D37" s="113"/>
      <c r="E37" s="113"/>
      <c r="F37" s="113"/>
      <c r="G37" s="113"/>
      <c r="H37" s="31"/>
      <c r="I37" s="31">
        <v>289.91150973650372</v>
      </c>
      <c r="J37" s="31">
        <f t="shared" si="0"/>
        <v>913.2212556699867</v>
      </c>
      <c r="K37" s="31"/>
      <c r="L37" s="26">
        <f t="shared" si="1"/>
        <v>1.7187179071981324</v>
      </c>
      <c r="M37" s="31">
        <f t="shared" si="2"/>
        <v>3.1643133375084362</v>
      </c>
      <c r="N37" s="31"/>
    </row>
    <row r="38" spans="1:14" x14ac:dyDescent="0.15">
      <c r="A38" s="122">
        <v>1688</v>
      </c>
      <c r="B38" s="113">
        <v>6.2715838318460007</v>
      </c>
      <c r="C38" s="113">
        <v>11.551093020194111</v>
      </c>
      <c r="D38" s="113"/>
      <c r="E38" s="113"/>
      <c r="F38" s="113"/>
      <c r="G38" s="113"/>
      <c r="H38" s="31"/>
      <c r="I38" s="31">
        <v>286.47476818555424</v>
      </c>
      <c r="J38" s="31">
        <f t="shared" si="0"/>
        <v>902.39551978449583</v>
      </c>
      <c r="K38" s="31"/>
      <c r="L38" s="26">
        <f t="shared" si="1"/>
        <v>1.7374819838821174</v>
      </c>
      <c r="M38" s="31">
        <f t="shared" si="2"/>
        <v>3.2001192290251694</v>
      </c>
      <c r="N38" s="31"/>
    </row>
    <row r="39" spans="1:14" x14ac:dyDescent="0.15">
      <c r="A39" s="122">
        <v>1689</v>
      </c>
      <c r="B39" s="113">
        <v>6.4061311682017479</v>
      </c>
      <c r="C39" s="113">
        <v>11.756794779246873</v>
      </c>
      <c r="D39" s="113"/>
      <c r="E39" s="113"/>
      <c r="F39" s="113"/>
      <c r="G39" s="113"/>
      <c r="H39" s="31"/>
      <c r="I39" s="31">
        <v>313.63275040018669</v>
      </c>
      <c r="J39" s="31">
        <f t="shared" si="0"/>
        <v>987.94316376058805</v>
      </c>
      <c r="K39" s="31"/>
      <c r="L39" s="26">
        <f t="shared" si="1"/>
        <v>1.6210778623683482</v>
      </c>
      <c r="M39" s="31">
        <f t="shared" si="2"/>
        <v>2.9750686098415935</v>
      </c>
      <c r="N39" s="31"/>
    </row>
    <row r="40" spans="1:14" x14ac:dyDescent="0.15">
      <c r="A40" s="122">
        <v>1690</v>
      </c>
      <c r="B40" s="113">
        <v>6.1170611529369827</v>
      </c>
      <c r="C40" s="113">
        <v>11.322253498384102</v>
      </c>
      <c r="D40" s="113"/>
      <c r="E40" s="113"/>
      <c r="F40" s="113"/>
      <c r="G40" s="113"/>
      <c r="H40" s="31"/>
      <c r="I40" s="31">
        <v>250.80757688998409</v>
      </c>
      <c r="J40" s="31">
        <f t="shared" si="0"/>
        <v>790.04386720344985</v>
      </c>
      <c r="K40" s="31"/>
      <c r="L40" s="26">
        <f t="shared" si="1"/>
        <v>1.9356713617022909</v>
      </c>
      <c r="M40" s="31">
        <f t="shared" si="2"/>
        <v>3.5827926677229769</v>
      </c>
      <c r="N40" s="31"/>
    </row>
    <row r="41" spans="1:14" x14ac:dyDescent="0.15">
      <c r="A41" s="122">
        <v>1691</v>
      </c>
      <c r="B41" s="113">
        <v>6.1809955038947635</v>
      </c>
      <c r="C41" s="113">
        <v>11.421170803241013</v>
      </c>
      <c r="D41" s="113"/>
      <c r="E41" s="113"/>
      <c r="F41" s="113"/>
      <c r="G41" s="113"/>
      <c r="H41" s="31"/>
      <c r="I41" s="31">
        <v>272.99217045757723</v>
      </c>
      <c r="J41" s="31">
        <f t="shared" si="0"/>
        <v>859.9253369413683</v>
      </c>
      <c r="K41" s="31"/>
      <c r="L41" s="26">
        <f t="shared" si="1"/>
        <v>1.7969570259086918</v>
      </c>
      <c r="M41" s="31">
        <f t="shared" si="2"/>
        <v>3.3203960601581084</v>
      </c>
      <c r="N41" s="31"/>
    </row>
    <row r="42" spans="1:14" x14ac:dyDescent="0.15">
      <c r="A42" s="122">
        <v>1692</v>
      </c>
      <c r="B42" s="113">
        <v>6.1567433208622173</v>
      </c>
      <c r="C42" s="113">
        <v>11.386871285646841</v>
      </c>
      <c r="D42" s="113"/>
      <c r="E42" s="113"/>
      <c r="F42" s="113"/>
      <c r="G42" s="113"/>
      <c r="H42" s="31"/>
      <c r="I42" s="31">
        <v>269.72675244138685</v>
      </c>
      <c r="J42" s="31">
        <f t="shared" si="0"/>
        <v>849.63927019036851</v>
      </c>
      <c r="K42" s="31"/>
      <c r="L42" s="26">
        <f t="shared" si="1"/>
        <v>1.8115756700731209</v>
      </c>
      <c r="M42" s="31">
        <f t="shared" si="2"/>
        <v>3.3505017026506794</v>
      </c>
      <c r="N42" s="31"/>
    </row>
    <row r="43" spans="1:14" x14ac:dyDescent="0.15">
      <c r="A43" s="122">
        <v>1693</v>
      </c>
      <c r="B43" s="113">
        <v>6.1325186043687658</v>
      </c>
      <c r="C43" s="113">
        <v>11.352622160455992</v>
      </c>
      <c r="D43" s="113"/>
      <c r="E43" s="113"/>
      <c r="F43" s="113"/>
      <c r="G43" s="113"/>
      <c r="H43" s="31"/>
      <c r="I43" s="31">
        <v>265.68823192435309</v>
      </c>
      <c r="J43" s="31">
        <f t="shared" si="0"/>
        <v>836.91793056171218</v>
      </c>
      <c r="K43" s="31"/>
      <c r="L43" s="26">
        <f t="shared" si="1"/>
        <v>1.8318757372819154</v>
      </c>
      <c r="M43" s="31">
        <f t="shared" si="2"/>
        <v>3.3911993475980613</v>
      </c>
      <c r="N43" s="31"/>
    </row>
    <row r="44" spans="1:14" x14ac:dyDescent="0.15">
      <c r="A44" s="122">
        <v>1694</v>
      </c>
      <c r="B44" s="113">
        <v>6.1435102365735563</v>
      </c>
      <c r="C44" s="113">
        <v>11.371458846491263</v>
      </c>
      <c r="D44" s="113"/>
      <c r="E44" s="113"/>
      <c r="F44" s="113"/>
      <c r="G44" s="113"/>
      <c r="H44" s="31"/>
      <c r="I44" s="31">
        <v>270.4067141662544</v>
      </c>
      <c r="J44" s="31">
        <f t="shared" si="0"/>
        <v>851.78114962370137</v>
      </c>
      <c r="K44" s="31"/>
      <c r="L44" s="26">
        <f t="shared" si="1"/>
        <v>1.8031363570582735</v>
      </c>
      <c r="M44" s="31">
        <f t="shared" si="2"/>
        <v>3.3375529769339605</v>
      </c>
      <c r="N44" s="31"/>
    </row>
    <row r="45" spans="1:14" x14ac:dyDescent="0.15">
      <c r="A45" s="122">
        <v>1695</v>
      </c>
      <c r="B45" s="113">
        <v>6.1193162736451372</v>
      </c>
      <c r="C45" s="113">
        <v>11.337242639327323</v>
      </c>
      <c r="D45" s="113"/>
      <c r="E45" s="113"/>
      <c r="F45" s="113"/>
      <c r="G45" s="113"/>
      <c r="H45" s="31"/>
      <c r="I45" s="31">
        <v>267.06439858237684</v>
      </c>
      <c r="J45" s="31">
        <f t="shared" si="0"/>
        <v>841.25285553448703</v>
      </c>
      <c r="K45" s="31"/>
      <c r="L45" s="26">
        <f t="shared" si="1"/>
        <v>1.8185127792990523</v>
      </c>
      <c r="M45" s="31">
        <f t="shared" si="2"/>
        <v>3.3691542812428987</v>
      </c>
      <c r="N45" s="31"/>
    </row>
    <row r="46" spans="1:14" x14ac:dyDescent="0.15">
      <c r="A46" s="122">
        <v>1696</v>
      </c>
      <c r="B46" s="113">
        <v>6.1127200388222311</v>
      </c>
      <c r="C46" s="113">
        <v>11.329526667198364</v>
      </c>
      <c r="D46" s="113"/>
      <c r="E46" s="113"/>
      <c r="F46" s="113"/>
      <c r="G46" s="113"/>
      <c r="H46" s="31"/>
      <c r="I46" s="31">
        <v>267.5857570068045</v>
      </c>
      <c r="J46" s="31">
        <f t="shared" si="0"/>
        <v>842.89513457143414</v>
      </c>
      <c r="K46" s="31"/>
      <c r="L46" s="26">
        <f t="shared" si="1"/>
        <v>1.8130132053527077</v>
      </c>
      <c r="M46" s="31">
        <f t="shared" si="2"/>
        <v>3.3603013597174241</v>
      </c>
      <c r="N46" s="31"/>
    </row>
    <row r="47" spans="1:14" x14ac:dyDescent="0.15">
      <c r="A47" s="122">
        <v>1697</v>
      </c>
      <c r="B47" s="113">
        <v>6.1061270910252645</v>
      </c>
      <c r="C47" s="113">
        <v>11.321793220692987</v>
      </c>
      <c r="D47" s="113"/>
      <c r="E47" s="113"/>
      <c r="F47" s="113"/>
      <c r="G47" s="113"/>
      <c r="H47" s="31"/>
      <c r="I47" s="31">
        <v>267.02468490222572</v>
      </c>
      <c r="J47" s="31">
        <f t="shared" si="0"/>
        <v>841.12775744201099</v>
      </c>
      <c r="K47" s="31"/>
      <c r="L47" s="26">
        <f t="shared" si="1"/>
        <v>1.8148631515843872</v>
      </c>
      <c r="M47" s="31">
        <f t="shared" si="2"/>
        <v>3.3650634878357151</v>
      </c>
      <c r="N47" s="31"/>
    </row>
    <row r="48" spans="1:14" x14ac:dyDescent="0.15">
      <c r="A48" s="122">
        <v>1698</v>
      </c>
      <c r="B48" s="113">
        <v>6.0995374302542347</v>
      </c>
      <c r="C48" s="113">
        <v>11.314042299811192</v>
      </c>
      <c r="D48" s="113">
        <v>5.4928571428571429</v>
      </c>
      <c r="E48" s="113"/>
      <c r="F48" s="113"/>
      <c r="G48" s="113"/>
      <c r="H48" s="31"/>
      <c r="I48" s="31">
        <v>271.05833797667287</v>
      </c>
      <c r="J48" s="31">
        <f t="shared" si="0"/>
        <v>853.8337646265195</v>
      </c>
      <c r="K48" s="31"/>
      <c r="L48" s="26">
        <f t="shared" si="1"/>
        <v>1.785926512557825</v>
      </c>
      <c r="M48" s="31">
        <f t="shared" si="2"/>
        <v>3.3127181099356426</v>
      </c>
      <c r="N48" s="31">
        <f t="shared" si="3"/>
        <v>1.6082923194246734</v>
      </c>
    </row>
    <row r="49" spans="1:14" x14ac:dyDescent="0.15">
      <c r="A49" s="122">
        <v>1699</v>
      </c>
      <c r="B49" s="113">
        <v>6.0929510565091514</v>
      </c>
      <c r="C49" s="113">
        <v>11.306273904552949</v>
      </c>
      <c r="D49" s="113"/>
      <c r="E49" s="113"/>
      <c r="F49" s="113"/>
      <c r="G49" s="113"/>
      <c r="H49" s="31"/>
      <c r="I49" s="31">
        <v>265.05336289985365</v>
      </c>
      <c r="J49" s="31">
        <f t="shared" si="0"/>
        <v>834.91809313453894</v>
      </c>
      <c r="K49" s="31"/>
      <c r="L49" s="26">
        <f t="shared" si="1"/>
        <v>1.8244158039605842</v>
      </c>
      <c r="M49" s="31">
        <f t="shared" si="2"/>
        <v>3.3854440326313102</v>
      </c>
      <c r="N49" s="31"/>
    </row>
    <row r="50" spans="1:14" x14ac:dyDescent="0.15">
      <c r="A50" s="122">
        <v>1700</v>
      </c>
      <c r="B50" s="113">
        <v>5.9670524306908046</v>
      </c>
      <c r="C50" s="113">
        <v>11.047697768210492</v>
      </c>
      <c r="D50" s="113">
        <v>3.5703571428571435</v>
      </c>
      <c r="E50" s="113"/>
      <c r="F50" s="113"/>
      <c r="G50" s="113"/>
      <c r="H50" s="31"/>
      <c r="I50" s="31">
        <v>225.4850387653253</v>
      </c>
      <c r="J50" s="31">
        <f t="shared" si="0"/>
        <v>710.27787211077464</v>
      </c>
      <c r="K50" s="31"/>
      <c r="L50" s="26">
        <f t="shared" si="1"/>
        <v>2.100252825333754</v>
      </c>
      <c r="M50" s="31">
        <f t="shared" si="2"/>
        <v>3.8885125814842705</v>
      </c>
      <c r="N50" s="31">
        <f t="shared" si="3"/>
        <v>1.2566761837331715</v>
      </c>
    </row>
    <row r="51" spans="1:14" x14ac:dyDescent="0.15">
      <c r="A51" s="122">
        <v>1701</v>
      </c>
      <c r="B51" s="113">
        <v>6.0329663085279268</v>
      </c>
      <c r="C51" s="113">
        <v>10.889232623908537</v>
      </c>
      <c r="D51" s="113"/>
      <c r="E51" s="113"/>
      <c r="F51" s="113"/>
      <c r="G51" s="113"/>
      <c r="H51" s="31"/>
      <c r="I51" s="31">
        <v>252.92402346640654</v>
      </c>
      <c r="J51" s="31">
        <f t="shared" si="0"/>
        <v>796.71067391918052</v>
      </c>
      <c r="K51" s="31"/>
      <c r="L51" s="26">
        <f t="shared" si="1"/>
        <v>1.8930856915881862</v>
      </c>
      <c r="M51" s="31">
        <f t="shared" si="2"/>
        <v>3.4169344595140814</v>
      </c>
      <c r="N51" s="31"/>
    </row>
    <row r="52" spans="1:14" x14ac:dyDescent="0.15">
      <c r="A52" s="122">
        <v>1702</v>
      </c>
      <c r="B52" s="113">
        <v>6.055524834292271</v>
      </c>
      <c r="C52" s="113">
        <v>10.962541936025008</v>
      </c>
      <c r="D52" s="113"/>
      <c r="E52" s="113"/>
      <c r="F52" s="113"/>
      <c r="G52" s="113"/>
      <c r="H52" s="31"/>
      <c r="I52" s="31">
        <v>238.94279230327058</v>
      </c>
      <c r="J52" s="31">
        <f t="shared" si="0"/>
        <v>752.66979575530229</v>
      </c>
      <c r="K52" s="31"/>
      <c r="L52" s="26">
        <f t="shared" si="1"/>
        <v>2.011348425445838</v>
      </c>
      <c r="M52" s="31">
        <f t="shared" si="2"/>
        <v>3.6412188976655178</v>
      </c>
      <c r="N52" s="31"/>
    </row>
    <row r="53" spans="1:14" x14ac:dyDescent="0.15">
      <c r="A53" s="122">
        <v>1703</v>
      </c>
      <c r="B53" s="113">
        <v>6.1242040333922834</v>
      </c>
      <c r="C53" s="113">
        <v>11.091314463695177</v>
      </c>
      <c r="D53" s="113">
        <v>4.3942857142857141</v>
      </c>
      <c r="E53" s="113"/>
      <c r="F53" s="113"/>
      <c r="G53" s="113"/>
      <c r="H53" s="31"/>
      <c r="I53" s="31">
        <v>241.96513124738624</v>
      </c>
      <c r="J53" s="31">
        <f t="shared" si="0"/>
        <v>762.19016342926659</v>
      </c>
      <c r="K53" s="31"/>
      <c r="L53" s="26">
        <f t="shared" si="1"/>
        <v>2.0087519910510583</v>
      </c>
      <c r="M53" s="31">
        <f t="shared" si="2"/>
        <v>3.6379748112311088</v>
      </c>
      <c r="N53" s="31">
        <f t="shared" si="3"/>
        <v>1.4413350910076117</v>
      </c>
    </row>
    <row r="54" spans="1:14" x14ac:dyDescent="0.15">
      <c r="A54" s="122">
        <v>1704</v>
      </c>
      <c r="B54" s="113">
        <v>6.1579495927022663</v>
      </c>
      <c r="C54" s="113">
        <v>11.166060048341228</v>
      </c>
      <c r="D54" s="113"/>
      <c r="E54" s="113"/>
      <c r="F54" s="113"/>
      <c r="G54" s="113"/>
      <c r="H54" s="31"/>
      <c r="I54" s="31">
        <v>238.60419065184985</v>
      </c>
      <c r="J54" s="31">
        <f t="shared" si="0"/>
        <v>751.60320055332704</v>
      </c>
      <c r="K54" s="31"/>
      <c r="L54" s="26">
        <f t="shared" si="1"/>
        <v>2.0482714776123925</v>
      </c>
      <c r="M54" s="31">
        <f t="shared" si="2"/>
        <v>3.7140807942677805</v>
      </c>
      <c r="N54" s="31"/>
    </row>
    <row r="55" spans="1:14" x14ac:dyDescent="0.15">
      <c r="A55" s="122">
        <v>1705</v>
      </c>
      <c r="B55" s="113">
        <v>6.3869901511913376</v>
      </c>
      <c r="C55" s="113">
        <v>11.535721635039119</v>
      </c>
      <c r="D55" s="113"/>
      <c r="E55" s="113"/>
      <c r="F55" s="113"/>
      <c r="G55" s="113"/>
      <c r="H55" s="31"/>
      <c r="I55" s="31">
        <v>277.71802469129591</v>
      </c>
      <c r="J55" s="31">
        <f t="shared" si="0"/>
        <v>874.81177777758205</v>
      </c>
      <c r="K55" s="31"/>
      <c r="L55" s="26">
        <f t="shared" si="1"/>
        <v>1.8252469598137968</v>
      </c>
      <c r="M55" s="31">
        <f t="shared" si="2"/>
        <v>3.2966296088128448</v>
      </c>
      <c r="N55" s="31"/>
    </row>
    <row r="56" spans="1:14" x14ac:dyDescent="0.15">
      <c r="A56" s="122">
        <v>1706</v>
      </c>
      <c r="B56" s="113">
        <v>6.0135075985621711</v>
      </c>
      <c r="C56" s="113">
        <v>10.54024711734278</v>
      </c>
      <c r="D56" s="113"/>
      <c r="E56" s="113"/>
      <c r="F56" s="113"/>
      <c r="G56" s="113"/>
      <c r="H56" s="31"/>
      <c r="I56" s="31">
        <v>233.22676478153033</v>
      </c>
      <c r="J56" s="31">
        <f t="shared" si="0"/>
        <v>734.66430906182052</v>
      </c>
      <c r="K56" s="31"/>
      <c r="L56" s="26">
        <f t="shared" si="1"/>
        <v>2.0463453595021952</v>
      </c>
      <c r="M56" s="31">
        <f t="shared" si="2"/>
        <v>3.5867562189059057</v>
      </c>
      <c r="N56" s="31"/>
    </row>
    <row r="57" spans="1:14" x14ac:dyDescent="0.15">
      <c r="A57" s="122">
        <v>1707</v>
      </c>
      <c r="B57" s="113">
        <v>6.3391608979619738</v>
      </c>
      <c r="C57" s="113">
        <v>11.410234512172703</v>
      </c>
      <c r="D57" s="113"/>
      <c r="E57" s="113"/>
      <c r="F57" s="113"/>
      <c r="G57" s="113"/>
      <c r="H57" s="31"/>
      <c r="I57" s="31">
        <v>205.59206577157121</v>
      </c>
      <c r="J57" s="31">
        <f t="shared" si="0"/>
        <v>647.61500718044931</v>
      </c>
      <c r="K57" s="31"/>
      <c r="L57" s="26">
        <f t="shared" si="1"/>
        <v>2.4471178198761425</v>
      </c>
      <c r="M57" s="31">
        <f t="shared" si="2"/>
        <v>4.404713597454279</v>
      </c>
      <c r="N57" s="31"/>
    </row>
    <row r="58" spans="1:14" x14ac:dyDescent="0.15">
      <c r="A58" s="122">
        <v>1708</v>
      </c>
      <c r="B58" s="113">
        <v>6.2416927846566521</v>
      </c>
      <c r="C58" s="113">
        <v>10.879866096668287</v>
      </c>
      <c r="D58" s="113"/>
      <c r="E58" s="113"/>
      <c r="F58" s="113"/>
      <c r="G58" s="113"/>
      <c r="H58" s="31"/>
      <c r="I58" s="31">
        <v>259.73057909578392</v>
      </c>
      <c r="J58" s="31">
        <f t="shared" si="0"/>
        <v>818.15132415171934</v>
      </c>
      <c r="K58" s="31"/>
      <c r="L58" s="26">
        <f t="shared" si="1"/>
        <v>1.9072549907342027</v>
      </c>
      <c r="M58" s="31">
        <f t="shared" si="2"/>
        <v>3.3245274362749511</v>
      </c>
      <c r="N58" s="31"/>
    </row>
    <row r="59" spans="1:14" x14ac:dyDescent="0.15">
      <c r="A59" s="122">
        <v>1709</v>
      </c>
      <c r="B59" s="113">
        <v>5.8251784713776749</v>
      </c>
      <c r="C59" s="113">
        <v>10.212489542327848</v>
      </c>
      <c r="D59" s="113"/>
      <c r="E59" s="113"/>
      <c r="F59" s="113"/>
      <c r="G59" s="113"/>
      <c r="H59" s="31"/>
      <c r="I59" s="31">
        <v>167.49649835877614</v>
      </c>
      <c r="J59" s="31">
        <f t="shared" si="0"/>
        <v>527.61396983014481</v>
      </c>
      <c r="K59" s="31"/>
      <c r="L59" s="26">
        <f t="shared" si="1"/>
        <v>2.7601517418373986</v>
      </c>
      <c r="M59" s="31">
        <f t="shared" si="2"/>
        <v>4.8389969401376742</v>
      </c>
      <c r="N59" s="31"/>
    </row>
    <row r="60" spans="1:14" x14ac:dyDescent="0.15">
      <c r="A60" s="122">
        <v>1710</v>
      </c>
      <c r="B60" s="113">
        <v>6.1723649305870163</v>
      </c>
      <c r="C60" s="113">
        <v>10.628405985848014</v>
      </c>
      <c r="D60" s="113"/>
      <c r="E60" s="113"/>
      <c r="F60" s="113"/>
      <c r="G60" s="113"/>
      <c r="H60" s="31"/>
      <c r="I60" s="31">
        <v>258.89415945461792</v>
      </c>
      <c r="J60" s="31">
        <f t="shared" si="0"/>
        <v>815.51660228204639</v>
      </c>
      <c r="K60" s="31"/>
      <c r="L60" s="26">
        <f t="shared" si="1"/>
        <v>1.8921640936907329</v>
      </c>
      <c r="M60" s="31">
        <f t="shared" si="2"/>
        <v>3.2581819781800654</v>
      </c>
      <c r="N60" s="31"/>
    </row>
    <row r="61" spans="1:14" x14ac:dyDescent="0.15">
      <c r="A61" s="122">
        <v>1711</v>
      </c>
      <c r="B61" s="113">
        <v>6.0756060220186665</v>
      </c>
      <c r="C61" s="113">
        <v>10.457708462492773</v>
      </c>
      <c r="D61" s="113"/>
      <c r="E61" s="113"/>
      <c r="F61" s="113"/>
      <c r="G61" s="113"/>
      <c r="H61" s="31"/>
      <c r="I61" s="31">
        <v>238.35297659565484</v>
      </c>
      <c r="J61" s="31">
        <f t="shared" si="0"/>
        <v>750.81187627631277</v>
      </c>
      <c r="K61" s="31"/>
      <c r="L61" s="26">
        <f t="shared" si="1"/>
        <v>2.0230120933058902</v>
      </c>
      <c r="M61" s="31">
        <f t="shared" si="2"/>
        <v>3.4821334054937556</v>
      </c>
      <c r="N61" s="31"/>
    </row>
    <row r="62" spans="1:14" x14ac:dyDescent="0.15">
      <c r="A62" s="122">
        <v>1712</v>
      </c>
      <c r="B62" s="113">
        <v>5.9447271364180976</v>
      </c>
      <c r="C62" s="113">
        <v>10.176484239502461</v>
      </c>
      <c r="D62" s="113"/>
      <c r="E62" s="113"/>
      <c r="F62" s="113"/>
      <c r="G62" s="113"/>
      <c r="H62" s="31"/>
      <c r="I62" s="31">
        <v>218.07649620732118</v>
      </c>
      <c r="J62" s="31">
        <f t="shared" si="0"/>
        <v>686.94096305306175</v>
      </c>
      <c r="K62" s="31"/>
      <c r="L62" s="26">
        <f t="shared" si="1"/>
        <v>2.163478179404664</v>
      </c>
      <c r="M62" s="31">
        <f t="shared" si="2"/>
        <v>3.7035512463377414</v>
      </c>
      <c r="N62" s="31"/>
    </row>
    <row r="63" spans="1:14" x14ac:dyDescent="0.15">
      <c r="A63" s="122">
        <v>1713</v>
      </c>
      <c r="B63" s="113">
        <v>5.8671874657851619</v>
      </c>
      <c r="C63" s="113">
        <v>10.067145707883443</v>
      </c>
      <c r="D63" s="113"/>
      <c r="E63" s="113"/>
      <c r="F63" s="113"/>
      <c r="G63" s="113"/>
      <c r="H63" s="31"/>
      <c r="I63" s="31">
        <v>192.59709754890633</v>
      </c>
      <c r="J63" s="31">
        <f t="shared" si="0"/>
        <v>606.68085727905498</v>
      </c>
      <c r="K63" s="31"/>
      <c r="L63" s="26">
        <f t="shared" si="1"/>
        <v>2.4177404789477444</v>
      </c>
      <c r="M63" s="31">
        <f t="shared" si="2"/>
        <v>4.1484520185103095</v>
      </c>
      <c r="N63" s="31"/>
    </row>
    <row r="64" spans="1:14" x14ac:dyDescent="0.15">
      <c r="A64" s="122">
        <v>1714</v>
      </c>
      <c r="B64" s="113">
        <v>6.1664282513581181</v>
      </c>
      <c r="C64" s="113">
        <v>10.478281290363771</v>
      </c>
      <c r="D64" s="113"/>
      <c r="E64" s="113"/>
      <c r="F64" s="113"/>
      <c r="G64" s="113"/>
      <c r="H64" s="31"/>
      <c r="I64" s="31">
        <v>264.55454128157101</v>
      </c>
      <c r="J64" s="31">
        <f t="shared" si="0"/>
        <v>833.34680503694869</v>
      </c>
      <c r="K64" s="31"/>
      <c r="L64" s="26">
        <f t="shared" si="1"/>
        <v>1.8498985698651336</v>
      </c>
      <c r="M64" s="31">
        <f t="shared" si="2"/>
        <v>3.1434335702226601</v>
      </c>
      <c r="N64" s="31"/>
    </row>
    <row r="65" spans="1:14" x14ac:dyDescent="0.15">
      <c r="A65" s="122">
        <v>1715</v>
      </c>
      <c r="B65" s="113">
        <v>5.9814755001317872</v>
      </c>
      <c r="C65" s="113">
        <v>9.94632863393565</v>
      </c>
      <c r="D65" s="113"/>
      <c r="E65" s="113"/>
      <c r="F65" s="113"/>
      <c r="G65" s="113"/>
      <c r="H65" s="31"/>
      <c r="I65" s="31">
        <v>206.16302500314751</v>
      </c>
      <c r="J65" s="31">
        <f t="shared" si="0"/>
        <v>649.41352875991458</v>
      </c>
      <c r="K65" s="31"/>
      <c r="L65" s="26">
        <f t="shared" si="1"/>
        <v>2.3026450925474609</v>
      </c>
      <c r="M65" s="31">
        <f t="shared" si="2"/>
        <v>3.8289657488844693</v>
      </c>
      <c r="N65" s="31"/>
    </row>
    <row r="66" spans="1:14" x14ac:dyDescent="0.15">
      <c r="A66" s="122">
        <v>1716</v>
      </c>
      <c r="B66" s="113">
        <v>5.8573122948606064</v>
      </c>
      <c r="C66" s="113">
        <v>9.6092874912198543</v>
      </c>
      <c r="D66" s="113"/>
      <c r="E66" s="113"/>
      <c r="F66" s="113"/>
      <c r="G66" s="113"/>
      <c r="H66" s="31"/>
      <c r="I66" s="31">
        <v>193.41783120892541</v>
      </c>
      <c r="J66" s="31">
        <f t="shared" si="0"/>
        <v>609.26616830811497</v>
      </c>
      <c r="K66" s="31"/>
      <c r="L66" s="26">
        <f t="shared" si="1"/>
        <v>2.403429157705371</v>
      </c>
      <c r="M66" s="31">
        <f t="shared" si="2"/>
        <v>3.942975989420233</v>
      </c>
      <c r="N66" s="31"/>
    </row>
    <row r="67" spans="1:14" x14ac:dyDescent="0.15">
      <c r="A67" s="122">
        <v>1717</v>
      </c>
      <c r="B67" s="113">
        <v>6.0138207174754781</v>
      </c>
      <c r="C67" s="113">
        <v>9.8475854288529359</v>
      </c>
      <c r="D67" s="113">
        <v>4.3332539682539686</v>
      </c>
      <c r="E67" s="113"/>
      <c r="F67" s="113"/>
      <c r="G67" s="113"/>
      <c r="H67" s="31"/>
      <c r="I67" s="31">
        <v>235.11151345547995</v>
      </c>
      <c r="J67" s="31">
        <f t="shared" si="0"/>
        <v>740.60126738476185</v>
      </c>
      <c r="K67" s="31"/>
      <c r="L67" s="26">
        <f t="shared" si="1"/>
        <v>2.0300467276783434</v>
      </c>
      <c r="M67" s="31">
        <f t="shared" si="2"/>
        <v>3.3241859899953612</v>
      </c>
      <c r="N67" s="31">
        <f t="shared" si="3"/>
        <v>1.4627486338079438</v>
      </c>
    </row>
    <row r="68" spans="1:14" x14ac:dyDescent="0.15">
      <c r="A68" s="122">
        <v>1718</v>
      </c>
      <c r="B68" s="113">
        <v>6.0394887517122662</v>
      </c>
      <c r="C68" s="113">
        <v>9.8596801907193488</v>
      </c>
      <c r="D68" s="113"/>
      <c r="E68" s="113"/>
      <c r="F68" s="113"/>
      <c r="G68" s="113"/>
      <c r="H68" s="31"/>
      <c r="I68" s="31">
        <v>234.12223102846733</v>
      </c>
      <c r="J68" s="31">
        <f t="shared" ref="J68:J131" si="4">I68*3.15</f>
        <v>737.48502773967209</v>
      </c>
      <c r="K68" s="31"/>
      <c r="L68" s="26">
        <f t="shared" ref="L68:L131" si="5">(B68*250)/J68</f>
        <v>2.0473258861345216</v>
      </c>
      <c r="M68" s="31">
        <f t="shared" ref="M68:M131" si="6">C68*250/J68</f>
        <v>3.3423323253552746</v>
      </c>
      <c r="N68" s="31"/>
    </row>
    <row r="69" spans="1:14" x14ac:dyDescent="0.15">
      <c r="A69" s="122">
        <v>1719</v>
      </c>
      <c r="B69" s="113">
        <v>6.040148420389885</v>
      </c>
      <c r="C69" s="113">
        <v>9.7938279324658115</v>
      </c>
      <c r="D69" s="113">
        <v>7.1407142857142869</v>
      </c>
      <c r="E69" s="113"/>
      <c r="F69" s="113"/>
      <c r="G69" s="113"/>
      <c r="H69" s="31"/>
      <c r="I69" s="31">
        <v>240.88180553242842</v>
      </c>
      <c r="J69" s="31">
        <f t="shared" si="4"/>
        <v>758.77768742714954</v>
      </c>
      <c r="K69" s="31"/>
      <c r="L69" s="26">
        <f t="shared" si="5"/>
        <v>1.9900916040608407</v>
      </c>
      <c r="M69" s="31">
        <f t="shared" si="6"/>
        <v>3.2268436772549802</v>
      </c>
      <c r="N69" s="31">
        <f t="shared" ref="N69:N106" si="7">D69*250/J69</f>
        <v>2.3527030393865758</v>
      </c>
    </row>
    <row r="70" spans="1:14" x14ac:dyDescent="0.15">
      <c r="A70" s="122">
        <v>1720</v>
      </c>
      <c r="B70" s="113">
        <v>6.0430538748048921</v>
      </c>
      <c r="C70" s="113">
        <v>9.6804151051504022</v>
      </c>
      <c r="D70" s="113"/>
      <c r="E70" s="113"/>
      <c r="F70" s="113"/>
      <c r="G70" s="113"/>
      <c r="H70" s="31"/>
      <c r="I70" s="31">
        <v>251.1067303148759</v>
      </c>
      <c r="J70" s="31">
        <f t="shared" si="4"/>
        <v>790.98620049185911</v>
      </c>
      <c r="K70" s="31"/>
      <c r="L70" s="26">
        <f t="shared" si="5"/>
        <v>1.909974494829094</v>
      </c>
      <c r="M70" s="31">
        <f t="shared" si="6"/>
        <v>3.0596030307263349</v>
      </c>
      <c r="N70" s="31"/>
    </row>
    <row r="71" spans="1:14" x14ac:dyDescent="0.15">
      <c r="A71" s="122">
        <v>1721</v>
      </c>
      <c r="B71" s="113">
        <v>6.0598163455583922</v>
      </c>
      <c r="C71" s="113">
        <v>9.6915981602450589</v>
      </c>
      <c r="D71" s="113"/>
      <c r="E71" s="113"/>
      <c r="F71" s="113"/>
      <c r="G71" s="113"/>
      <c r="H71" s="31"/>
      <c r="I71" s="31">
        <v>245.58805325734644</v>
      </c>
      <c r="J71" s="31">
        <f t="shared" si="4"/>
        <v>773.6023677606413</v>
      </c>
      <c r="K71" s="31"/>
      <c r="L71" s="26">
        <f t="shared" si="5"/>
        <v>1.9583110775306429</v>
      </c>
      <c r="M71" s="31">
        <f t="shared" si="6"/>
        <v>3.1319701710258068</v>
      </c>
      <c r="N71" s="31"/>
    </row>
    <row r="72" spans="1:14" x14ac:dyDescent="0.15">
      <c r="A72" s="122">
        <v>1722</v>
      </c>
      <c r="B72" s="113">
        <v>6.0529324801637134</v>
      </c>
      <c r="C72" s="113">
        <v>9.6301062004003732</v>
      </c>
      <c r="D72" s="113"/>
      <c r="E72" s="113"/>
      <c r="F72" s="113"/>
      <c r="G72" s="113"/>
      <c r="H72" s="31"/>
      <c r="I72" s="31">
        <v>236.28276579095686</v>
      </c>
      <c r="J72" s="31">
        <f t="shared" si="4"/>
        <v>744.29071224151403</v>
      </c>
      <c r="K72" s="31"/>
      <c r="L72" s="26">
        <f t="shared" si="5"/>
        <v>2.0331210576088727</v>
      </c>
      <c r="M72" s="31">
        <f t="shared" si="6"/>
        <v>3.2346588644772414</v>
      </c>
      <c r="N72" s="31"/>
    </row>
    <row r="73" spans="1:14" x14ac:dyDescent="0.15">
      <c r="A73" s="122">
        <v>1723</v>
      </c>
      <c r="B73" s="113">
        <v>6.1219066598793397</v>
      </c>
      <c r="C73" s="113">
        <v>9.7705051148160535</v>
      </c>
      <c r="D73" s="113"/>
      <c r="E73" s="113"/>
      <c r="F73" s="113"/>
      <c r="G73" s="113"/>
      <c r="H73" s="31"/>
      <c r="I73" s="31">
        <v>221.27057301675492</v>
      </c>
      <c r="J73" s="31">
        <f t="shared" si="4"/>
        <v>697.00230500277803</v>
      </c>
      <c r="K73" s="31"/>
      <c r="L73" s="26">
        <f t="shared" si="5"/>
        <v>2.1957985705136727</v>
      </c>
      <c r="M73" s="31">
        <f t="shared" si="6"/>
        <v>3.5044737458856434</v>
      </c>
      <c r="N73" s="31"/>
    </row>
    <row r="74" spans="1:14" x14ac:dyDescent="0.15">
      <c r="A74" s="122">
        <v>1724</v>
      </c>
      <c r="B74" s="113">
        <v>6.1136664482883578</v>
      </c>
      <c r="C74" s="113">
        <v>9.6774490538796769</v>
      </c>
      <c r="D74" s="113">
        <v>5.1721682758620684</v>
      </c>
      <c r="E74" s="113"/>
      <c r="F74" s="113"/>
      <c r="G74" s="113"/>
      <c r="H74" s="31"/>
      <c r="I74" s="31">
        <v>236.53788806102614</v>
      </c>
      <c r="J74" s="31">
        <f t="shared" si="4"/>
        <v>745.09434739223229</v>
      </c>
      <c r="K74" s="31"/>
      <c r="L74" s="26">
        <f t="shared" si="5"/>
        <v>2.0513061432037691</v>
      </c>
      <c r="M74" s="31">
        <f t="shared" si="6"/>
        <v>3.2470549158472131</v>
      </c>
      <c r="N74" s="31">
        <f t="shared" si="7"/>
        <v>1.7354071648658398</v>
      </c>
    </row>
    <row r="75" spans="1:14" x14ac:dyDescent="0.15">
      <c r="A75" s="122">
        <v>1725</v>
      </c>
      <c r="B75" s="113">
        <v>6.2113919205229493</v>
      </c>
      <c r="C75" s="113">
        <v>9.9993890089634618</v>
      </c>
      <c r="D75" s="113"/>
      <c r="E75" s="113"/>
      <c r="F75" s="113"/>
      <c r="G75" s="113"/>
      <c r="H75" s="31"/>
      <c r="I75" s="31">
        <v>233.49434402012298</v>
      </c>
      <c r="J75" s="31">
        <f t="shared" si="4"/>
        <v>735.50718366338742</v>
      </c>
      <c r="K75" s="31"/>
      <c r="L75" s="26">
        <f t="shared" si="5"/>
        <v>2.1112614732005315</v>
      </c>
      <c r="M75" s="31">
        <f t="shared" si="6"/>
        <v>3.3988073913700165</v>
      </c>
      <c r="N75" s="31"/>
    </row>
    <row r="76" spans="1:14" x14ac:dyDescent="0.15">
      <c r="A76" s="122">
        <v>1726</v>
      </c>
      <c r="B76" s="113">
        <v>6.3556544107140347</v>
      </c>
      <c r="C76" s="113">
        <v>10.14459366286918</v>
      </c>
      <c r="D76" s="113">
        <v>5.2406533333333334</v>
      </c>
      <c r="E76" s="113"/>
      <c r="F76" s="113"/>
      <c r="G76" s="113"/>
      <c r="H76" s="31"/>
      <c r="I76" s="31">
        <v>282.17366060099351</v>
      </c>
      <c r="J76" s="31">
        <f t="shared" si="4"/>
        <v>888.8470308931295</v>
      </c>
      <c r="K76" s="31"/>
      <c r="L76" s="26">
        <f t="shared" si="5"/>
        <v>1.7876119820999341</v>
      </c>
      <c r="M76" s="31">
        <f t="shared" si="6"/>
        <v>2.8533013303413157</v>
      </c>
      <c r="N76" s="31">
        <f t="shared" si="7"/>
        <v>1.4740031611703284</v>
      </c>
    </row>
    <row r="77" spans="1:14" x14ac:dyDescent="0.15">
      <c r="A77" s="122">
        <v>1727</v>
      </c>
      <c r="B77" s="113">
        <v>6.1768315525736526</v>
      </c>
      <c r="C77" s="113">
        <v>9.7857314502581634</v>
      </c>
      <c r="D77" s="113"/>
      <c r="E77" s="113"/>
      <c r="F77" s="113"/>
      <c r="G77" s="113"/>
      <c r="H77" s="31"/>
      <c r="I77" s="31">
        <v>258.89155846860405</v>
      </c>
      <c r="J77" s="31">
        <f t="shared" si="4"/>
        <v>815.50840917610276</v>
      </c>
      <c r="K77" s="31"/>
      <c r="L77" s="26">
        <f t="shared" si="5"/>
        <v>1.8935523788203554</v>
      </c>
      <c r="M77" s="31">
        <f t="shared" si="6"/>
        <v>2.9998867394097619</v>
      </c>
      <c r="N77" s="31"/>
    </row>
    <row r="78" spans="1:14" x14ac:dyDescent="0.15">
      <c r="A78" s="122">
        <v>1728</v>
      </c>
      <c r="B78" s="113">
        <v>6.1193060934496897</v>
      </c>
      <c r="C78" s="113">
        <v>9.7941560298980797</v>
      </c>
      <c r="D78" s="113"/>
      <c r="E78" s="113"/>
      <c r="F78" s="113"/>
      <c r="G78" s="113"/>
      <c r="H78" s="31"/>
      <c r="I78" s="31">
        <v>233.12576007585827</v>
      </c>
      <c r="J78" s="31">
        <f t="shared" si="4"/>
        <v>734.34614423895357</v>
      </c>
      <c r="K78" s="31"/>
      <c r="L78" s="26">
        <f t="shared" si="5"/>
        <v>2.0832498888489055</v>
      </c>
      <c r="M78" s="31">
        <f t="shared" si="6"/>
        <v>3.33431179108605</v>
      </c>
      <c r="N78" s="31"/>
    </row>
    <row r="79" spans="1:14" x14ac:dyDescent="0.15">
      <c r="A79" s="122">
        <v>1729</v>
      </c>
      <c r="B79" s="113">
        <v>5.9372251120662929</v>
      </c>
      <c r="C79" s="113">
        <v>9.3980556790521117</v>
      </c>
      <c r="D79" s="113"/>
      <c r="E79" s="113"/>
      <c r="F79" s="113"/>
      <c r="G79" s="113"/>
      <c r="H79" s="31"/>
      <c r="I79" s="31">
        <v>213.78769129346489</v>
      </c>
      <c r="J79" s="31">
        <f t="shared" si="4"/>
        <v>673.43122757441438</v>
      </c>
      <c r="K79" s="31"/>
      <c r="L79" s="26">
        <f t="shared" si="5"/>
        <v>2.2040948165751</v>
      </c>
      <c r="M79" s="31">
        <f t="shared" si="6"/>
        <v>3.4888698705368628</v>
      </c>
      <c r="N79" s="31"/>
    </row>
    <row r="80" spans="1:14" x14ac:dyDescent="0.15">
      <c r="A80" s="122">
        <v>1730</v>
      </c>
      <c r="B80" s="113">
        <v>6.0688504350238883</v>
      </c>
      <c r="C80" s="113">
        <v>9.6858226049630769</v>
      </c>
      <c r="D80" s="113"/>
      <c r="E80" s="113"/>
      <c r="F80" s="113"/>
      <c r="G80" s="113"/>
      <c r="H80" s="31"/>
      <c r="I80" s="31">
        <v>233.42236736379144</v>
      </c>
      <c r="J80" s="31">
        <f t="shared" si="4"/>
        <v>735.28045719594297</v>
      </c>
      <c r="K80" s="31"/>
      <c r="L80" s="26">
        <f t="shared" si="5"/>
        <v>2.063447483076045</v>
      </c>
      <c r="M80" s="31">
        <f t="shared" si="6"/>
        <v>3.2932408682194607</v>
      </c>
      <c r="N80" s="31"/>
    </row>
    <row r="81" spans="1:15" x14ac:dyDescent="0.15">
      <c r="A81" s="122">
        <v>1731</v>
      </c>
      <c r="B81" s="113">
        <v>5.9870792209256809</v>
      </c>
      <c r="C81" s="113">
        <v>9.4591481269838944</v>
      </c>
      <c r="D81" s="113"/>
      <c r="E81" s="113"/>
      <c r="F81" s="113"/>
      <c r="G81" s="113"/>
      <c r="H81" s="31"/>
      <c r="I81" s="31">
        <v>232.96255370570768</v>
      </c>
      <c r="J81" s="31">
        <f t="shared" si="4"/>
        <v>733.83204417297918</v>
      </c>
      <c r="K81" s="31"/>
      <c r="L81" s="26">
        <f t="shared" si="5"/>
        <v>2.0396626409497607</v>
      </c>
      <c r="M81" s="31">
        <f t="shared" si="6"/>
        <v>3.2225180823373054</v>
      </c>
      <c r="N81" s="31"/>
    </row>
    <row r="82" spans="1:15" x14ac:dyDescent="0.15">
      <c r="A82" s="122">
        <v>1732</v>
      </c>
      <c r="B82" s="113">
        <v>6.0005732355921433</v>
      </c>
      <c r="C82" s="113">
        <v>9.5225849170062773</v>
      </c>
      <c r="D82" s="113"/>
      <c r="E82" s="113"/>
      <c r="F82" s="113"/>
      <c r="G82" s="113"/>
      <c r="H82" s="31"/>
      <c r="I82" s="31">
        <v>232.8024998173866</v>
      </c>
      <c r="J82" s="31">
        <f t="shared" si="4"/>
        <v>733.32787442476774</v>
      </c>
      <c r="K82" s="31"/>
      <c r="L82" s="26">
        <f t="shared" si="5"/>
        <v>2.0456651945417574</v>
      </c>
      <c r="M82" s="31">
        <f t="shared" si="6"/>
        <v>3.2463599329549289</v>
      </c>
      <c r="N82" s="31"/>
      <c r="O82" s="31"/>
    </row>
    <row r="83" spans="1:15" x14ac:dyDescent="0.15">
      <c r="A83" s="122">
        <v>1733</v>
      </c>
      <c r="B83" s="113">
        <v>6.0905953354837594</v>
      </c>
      <c r="C83" s="113">
        <v>9.8199574766891846</v>
      </c>
      <c r="D83" s="113"/>
      <c r="E83" s="113"/>
      <c r="F83" s="113"/>
      <c r="G83" s="113"/>
      <c r="H83" s="31"/>
      <c r="I83" s="31">
        <v>232.65100457779926</v>
      </c>
      <c r="J83" s="31">
        <f t="shared" si="4"/>
        <v>732.85066442006769</v>
      </c>
      <c r="K83" s="31"/>
      <c r="L83" s="26">
        <f t="shared" si="5"/>
        <v>2.0777068341418086</v>
      </c>
      <c r="M83" s="31">
        <f t="shared" si="6"/>
        <v>3.3499176412905642</v>
      </c>
      <c r="N83" s="31"/>
      <c r="O83" s="31"/>
    </row>
    <row r="84" spans="1:15" x14ac:dyDescent="0.15">
      <c r="A84" s="122">
        <v>1734</v>
      </c>
      <c r="B84" s="113">
        <v>5.9906570597007782</v>
      </c>
      <c r="C84" s="113">
        <v>9.5913867223558977</v>
      </c>
      <c r="D84" s="113"/>
      <c r="E84" s="113"/>
      <c r="F84" s="113"/>
      <c r="G84" s="113"/>
      <c r="H84" s="31"/>
      <c r="I84" s="31">
        <v>221.8341268835527</v>
      </c>
      <c r="J84" s="31">
        <f t="shared" si="4"/>
        <v>698.77749968319097</v>
      </c>
      <c r="K84" s="31"/>
      <c r="L84" s="26">
        <f t="shared" si="5"/>
        <v>2.1432634359351868</v>
      </c>
      <c r="M84" s="31">
        <f t="shared" si="6"/>
        <v>3.4314881084123354</v>
      </c>
      <c r="N84" s="31"/>
      <c r="O84" s="31"/>
    </row>
    <row r="85" spans="1:15" x14ac:dyDescent="0.15">
      <c r="A85" s="122">
        <v>1735</v>
      </c>
      <c r="B85" s="113">
        <v>6.0552005787702567</v>
      </c>
      <c r="C85" s="113">
        <v>9.75714509834296</v>
      </c>
      <c r="D85" s="113"/>
      <c r="E85" s="113"/>
      <c r="F85" s="113"/>
      <c r="G85" s="113"/>
      <c r="H85" s="31"/>
      <c r="I85" s="31">
        <v>232.33908353662585</v>
      </c>
      <c r="J85" s="31">
        <f t="shared" si="4"/>
        <v>731.86811314037141</v>
      </c>
      <c r="K85" s="31"/>
      <c r="L85" s="26">
        <f t="shared" si="5"/>
        <v>2.0684056560368536</v>
      </c>
      <c r="M85" s="31">
        <f t="shared" si="6"/>
        <v>3.3329588088200914</v>
      </c>
      <c r="N85" s="31"/>
      <c r="O85" s="31"/>
    </row>
    <row r="86" spans="1:15" x14ac:dyDescent="0.15">
      <c r="A86" s="122">
        <v>1736</v>
      </c>
      <c r="B86" s="113">
        <v>6.0202225573371031</v>
      </c>
      <c r="C86" s="113">
        <v>9.7820600376325348</v>
      </c>
      <c r="D86" s="113"/>
      <c r="E86" s="113"/>
      <c r="F86" s="113"/>
      <c r="G86" s="113"/>
      <c r="H86" s="31"/>
      <c r="I86" s="31">
        <v>216.18633129775435</v>
      </c>
      <c r="J86" s="31">
        <f t="shared" si="4"/>
        <v>680.98694358792613</v>
      </c>
      <c r="K86" s="31"/>
      <c r="L86" s="26">
        <f t="shared" si="5"/>
        <v>2.2101093912382028</v>
      </c>
      <c r="M86" s="31">
        <f t="shared" si="6"/>
        <v>3.5911334753694573</v>
      </c>
      <c r="N86" s="31"/>
      <c r="O86" s="31"/>
    </row>
    <row r="87" spans="1:15" x14ac:dyDescent="0.15">
      <c r="A87" s="122">
        <v>1737</v>
      </c>
      <c r="B87" s="113">
        <v>6.1129890396183102</v>
      </c>
      <c r="C87" s="113">
        <v>9.9800817349626065</v>
      </c>
      <c r="D87" s="113"/>
      <c r="E87" s="113"/>
      <c r="F87" s="113"/>
      <c r="G87" s="113"/>
      <c r="H87" s="31"/>
      <c r="I87" s="31">
        <v>232.431267537021</v>
      </c>
      <c r="J87" s="31">
        <f t="shared" si="4"/>
        <v>732.1584927416161</v>
      </c>
      <c r="K87" s="31"/>
      <c r="L87" s="26">
        <f t="shared" si="5"/>
        <v>2.0873175344616355</v>
      </c>
      <c r="M87" s="31">
        <f t="shared" si="6"/>
        <v>3.4077600116306539</v>
      </c>
      <c r="N87" s="31"/>
      <c r="O87" s="31"/>
    </row>
    <row r="88" spans="1:15" x14ac:dyDescent="0.15">
      <c r="A88" s="122">
        <v>1738</v>
      </c>
      <c r="B88" s="113">
        <v>5.9036814398233357</v>
      </c>
      <c r="C88" s="113">
        <v>9.579504347307882</v>
      </c>
      <c r="D88" s="113"/>
      <c r="E88" s="113"/>
      <c r="F88" s="113"/>
      <c r="G88" s="113"/>
      <c r="H88" s="31"/>
      <c r="I88" s="31">
        <v>198.63834879446134</v>
      </c>
      <c r="J88" s="31">
        <f t="shared" si="4"/>
        <v>625.71079870255323</v>
      </c>
      <c r="K88" s="31"/>
      <c r="L88" s="26">
        <f t="shared" si="5"/>
        <v>2.358789976161892</v>
      </c>
      <c r="M88" s="31">
        <f t="shared" si="6"/>
        <v>3.8274488658224883</v>
      </c>
      <c r="N88" s="31"/>
      <c r="O88" s="31"/>
    </row>
    <row r="89" spans="1:15" x14ac:dyDescent="0.15">
      <c r="A89" s="122">
        <v>1739</v>
      </c>
      <c r="B89" s="113">
        <v>6.0543640746191896</v>
      </c>
      <c r="C89" s="113">
        <v>9.8183377268891689</v>
      </c>
      <c r="D89" s="113"/>
      <c r="E89" s="113"/>
      <c r="F89" s="113"/>
      <c r="G89" s="113"/>
      <c r="H89" s="31"/>
      <c r="I89" s="31">
        <v>236.83548666614266</v>
      </c>
      <c r="J89" s="31">
        <f t="shared" si="4"/>
        <v>746.0317829983494</v>
      </c>
      <c r="K89" s="31"/>
      <c r="L89" s="26">
        <f t="shared" si="5"/>
        <v>2.028855945750164</v>
      </c>
      <c r="M89" s="31">
        <f t="shared" si="6"/>
        <v>3.2901874794893597</v>
      </c>
      <c r="N89" s="31"/>
      <c r="O89" s="31"/>
    </row>
    <row r="90" spans="1:15" x14ac:dyDescent="0.15">
      <c r="A90" s="122">
        <v>1740</v>
      </c>
      <c r="B90" s="113">
        <v>6.0025520295214561</v>
      </c>
      <c r="C90" s="113">
        <v>9.7091842107602275</v>
      </c>
      <c r="D90" s="113"/>
      <c r="E90" s="113"/>
      <c r="F90" s="113"/>
      <c r="G90" s="113"/>
      <c r="H90" s="31"/>
      <c r="I90" s="31">
        <v>231.58186471275599</v>
      </c>
      <c r="J90" s="31">
        <f t="shared" si="4"/>
        <v>729.4828738451813</v>
      </c>
      <c r="K90" s="31"/>
      <c r="L90" s="26">
        <f t="shared" si="5"/>
        <v>2.0571257546737769</v>
      </c>
      <c r="M90" s="31">
        <f t="shared" si="6"/>
        <v>3.3274202037061174</v>
      </c>
      <c r="N90" s="31"/>
      <c r="O90" s="31"/>
    </row>
    <row r="91" spans="1:15" x14ac:dyDescent="0.15">
      <c r="A91" s="122">
        <v>1741</v>
      </c>
      <c r="B91" s="113">
        <v>5.9727249329974486</v>
      </c>
      <c r="C91" s="113">
        <v>9.6399887590570934</v>
      </c>
      <c r="D91" s="113"/>
      <c r="E91" s="113"/>
      <c r="F91" s="113"/>
      <c r="G91" s="113"/>
      <c r="H91" s="31"/>
      <c r="I91" s="31">
        <v>173.89924222408547</v>
      </c>
      <c r="J91" s="31">
        <f t="shared" si="4"/>
        <v>547.78261300586917</v>
      </c>
      <c r="K91" s="31"/>
      <c r="L91" s="26">
        <f t="shared" si="5"/>
        <v>2.7258645999291029</v>
      </c>
      <c r="M91" s="31">
        <f t="shared" si="6"/>
        <v>4.3995503554590769</v>
      </c>
      <c r="N91" s="31"/>
      <c r="O91" s="31"/>
    </row>
    <row r="92" spans="1:15" x14ac:dyDescent="0.15">
      <c r="A92" s="122">
        <v>1742</v>
      </c>
      <c r="B92" s="113">
        <v>5.9548552769654055</v>
      </c>
      <c r="C92" s="113">
        <v>9.6075565031020194</v>
      </c>
      <c r="D92" s="113"/>
      <c r="E92" s="113"/>
      <c r="F92" s="113"/>
      <c r="G92" s="113"/>
      <c r="H92" s="31"/>
      <c r="I92" s="31">
        <v>234.38270586215847</v>
      </c>
      <c r="J92" s="31">
        <f t="shared" si="4"/>
        <v>738.30552346579918</v>
      </c>
      <c r="K92" s="31"/>
      <c r="L92" s="26">
        <f t="shared" si="5"/>
        <v>2.016392634112961</v>
      </c>
      <c r="M92" s="31">
        <f t="shared" si="6"/>
        <v>3.2532455053301095</v>
      </c>
      <c r="N92" s="31"/>
      <c r="O92" s="31"/>
    </row>
    <row r="93" spans="1:15" x14ac:dyDescent="0.15">
      <c r="A93" s="122">
        <v>1743</v>
      </c>
      <c r="B93" s="113">
        <v>5.8992233728372296</v>
      </c>
      <c r="C93" s="113">
        <v>9.5920147274365419</v>
      </c>
      <c r="D93" s="113"/>
      <c r="E93" s="113"/>
      <c r="F93" s="113"/>
      <c r="G93" s="113"/>
      <c r="H93" s="31"/>
      <c r="I93" s="31">
        <v>212.79247696936267</v>
      </c>
      <c r="J93" s="31">
        <f t="shared" si="4"/>
        <v>670.29630245349233</v>
      </c>
      <c r="K93" s="31"/>
      <c r="L93" s="26">
        <f t="shared" si="5"/>
        <v>2.200229716039102</v>
      </c>
      <c r="M93" s="31">
        <f t="shared" si="6"/>
        <v>3.577527838183947</v>
      </c>
      <c r="N93" s="31"/>
      <c r="O93" s="31"/>
    </row>
    <row r="94" spans="1:15" x14ac:dyDescent="0.15">
      <c r="A94" s="122">
        <v>1744</v>
      </c>
      <c r="B94" s="113">
        <v>5.8117010671760818</v>
      </c>
      <c r="C94" s="113">
        <v>9.4485704929858727</v>
      </c>
      <c r="D94" s="113"/>
      <c r="E94" s="113">
        <v>9.2796199999999995</v>
      </c>
      <c r="F94" s="113"/>
      <c r="G94" s="113"/>
      <c r="H94" s="31"/>
      <c r="I94" s="31">
        <v>187.29940031816082</v>
      </c>
      <c r="J94" s="31">
        <f t="shared" si="4"/>
        <v>589.99311100220655</v>
      </c>
      <c r="K94" s="31"/>
      <c r="L94" s="26">
        <f t="shared" si="5"/>
        <v>2.4626139520950892</v>
      </c>
      <c r="M94" s="31">
        <f t="shared" si="6"/>
        <v>4.0036783128432729</v>
      </c>
      <c r="N94" s="31"/>
      <c r="O94" s="31">
        <f t="shared" ref="O94:O129" si="8">E94*250/J94</f>
        <v>3.9320882849957943</v>
      </c>
    </row>
    <row r="95" spans="1:15" x14ac:dyDescent="0.15">
      <c r="A95" s="122">
        <v>1745</v>
      </c>
      <c r="B95" s="113">
        <v>5.6871528947176326</v>
      </c>
      <c r="C95" s="113">
        <v>9.177990317367053</v>
      </c>
      <c r="D95" s="113"/>
      <c r="E95" s="113"/>
      <c r="F95" s="113"/>
      <c r="G95" s="113"/>
      <c r="H95" s="31"/>
      <c r="I95" s="31">
        <v>170.8297719251924</v>
      </c>
      <c r="J95" s="31">
        <f t="shared" si="4"/>
        <v>538.11378156435603</v>
      </c>
      <c r="K95" s="31"/>
      <c r="L95" s="26">
        <f t="shared" si="5"/>
        <v>2.6421702479838247</v>
      </c>
      <c r="M95" s="31">
        <f t="shared" si="6"/>
        <v>4.2639636038895086</v>
      </c>
      <c r="N95" s="31"/>
      <c r="O95" s="31"/>
    </row>
    <row r="96" spans="1:15" x14ac:dyDescent="0.15">
      <c r="A96" s="122">
        <v>1746</v>
      </c>
      <c r="B96" s="113">
        <v>5.7942331299669672</v>
      </c>
      <c r="C96" s="113">
        <v>9.3697786186993532</v>
      </c>
      <c r="D96" s="113"/>
      <c r="E96" s="113"/>
      <c r="F96" s="113"/>
      <c r="G96" s="113"/>
      <c r="H96" s="31"/>
      <c r="I96" s="31">
        <v>194.93303693312475</v>
      </c>
      <c r="J96" s="31">
        <f t="shared" si="4"/>
        <v>614.03906633934298</v>
      </c>
      <c r="K96" s="31"/>
      <c r="L96" s="26">
        <f t="shared" si="5"/>
        <v>2.3590653460006554</v>
      </c>
      <c r="M96" s="31">
        <f t="shared" si="6"/>
        <v>3.8148137196539671</v>
      </c>
      <c r="N96" s="31"/>
      <c r="O96" s="31"/>
    </row>
    <row r="97" spans="1:15" x14ac:dyDescent="0.15">
      <c r="A97" s="122">
        <v>1747</v>
      </c>
      <c r="B97" s="113">
        <v>5.7253883379110118</v>
      </c>
      <c r="C97" s="113">
        <v>9.2231852293394301</v>
      </c>
      <c r="D97" s="113"/>
      <c r="E97" s="113"/>
      <c r="F97" s="113"/>
      <c r="G97" s="113"/>
      <c r="H97" s="31"/>
      <c r="I97" s="31">
        <v>184.97082063340585</v>
      </c>
      <c r="J97" s="31">
        <f t="shared" si="4"/>
        <v>582.65808499522836</v>
      </c>
      <c r="K97" s="31"/>
      <c r="L97" s="26">
        <f t="shared" si="5"/>
        <v>2.4565815206863126</v>
      </c>
      <c r="M97" s="31">
        <f t="shared" si="6"/>
        <v>3.9573746022141623</v>
      </c>
      <c r="N97" s="31"/>
      <c r="O97" s="31"/>
    </row>
    <row r="98" spans="1:15" x14ac:dyDescent="0.15">
      <c r="A98" s="122">
        <v>1748</v>
      </c>
      <c r="B98" s="113">
        <v>5.6308399735861112</v>
      </c>
      <c r="C98" s="113">
        <v>9.0293335892163871</v>
      </c>
      <c r="D98" s="113"/>
      <c r="E98" s="113"/>
      <c r="F98" s="113"/>
      <c r="G98" s="113"/>
      <c r="H98" s="31"/>
      <c r="I98" s="31">
        <v>173.11097143500817</v>
      </c>
      <c r="J98" s="31">
        <f t="shared" si="4"/>
        <v>545.29956002027575</v>
      </c>
      <c r="K98" s="31"/>
      <c r="L98" s="26">
        <f t="shared" si="5"/>
        <v>2.5815351718680741</v>
      </c>
      <c r="M98" s="31">
        <f t="shared" si="6"/>
        <v>4.1396207934225417</v>
      </c>
      <c r="N98" s="31"/>
    </row>
    <row r="99" spans="1:15" x14ac:dyDescent="0.15">
      <c r="A99" s="122">
        <v>1749</v>
      </c>
      <c r="B99" s="113">
        <v>5.8488305678061758</v>
      </c>
      <c r="C99" s="113">
        <v>9.4281893836440069</v>
      </c>
      <c r="D99" s="113"/>
      <c r="E99" s="113"/>
      <c r="F99" s="113"/>
      <c r="G99" s="113"/>
      <c r="H99" s="31"/>
      <c r="I99" s="31">
        <v>219.10903265784742</v>
      </c>
      <c r="J99" s="31">
        <f t="shared" si="4"/>
        <v>690.19345287221938</v>
      </c>
      <c r="K99" s="31"/>
      <c r="L99" s="26">
        <f t="shared" si="5"/>
        <v>2.1185475403549696</v>
      </c>
      <c r="M99" s="31">
        <f t="shared" si="6"/>
        <v>3.4150531798037487</v>
      </c>
      <c r="N99" s="31"/>
    </row>
    <row r="100" spans="1:15" x14ac:dyDescent="0.15">
      <c r="A100" s="122">
        <v>1750</v>
      </c>
      <c r="B100" s="113">
        <v>5.6767602480240376</v>
      </c>
      <c r="C100" s="113">
        <v>9.0923211894358911</v>
      </c>
      <c r="D100" s="113"/>
      <c r="E100" s="113"/>
      <c r="F100" s="113"/>
      <c r="G100" s="113"/>
      <c r="H100" s="31"/>
      <c r="I100" s="31">
        <v>194.78566660582919</v>
      </c>
      <c r="J100" s="31">
        <f t="shared" si="4"/>
        <v>613.57484980836193</v>
      </c>
      <c r="K100" s="31"/>
      <c r="L100" s="26">
        <f t="shared" si="5"/>
        <v>2.3129860398438193</v>
      </c>
      <c r="M100" s="31">
        <f t="shared" si="6"/>
        <v>3.704650374879161</v>
      </c>
      <c r="N100" s="31"/>
    </row>
    <row r="101" spans="1:15" x14ac:dyDescent="0.15">
      <c r="A101" s="122">
        <v>1751</v>
      </c>
      <c r="B101" s="113">
        <v>5.7327246917897767</v>
      </c>
      <c r="C101" s="113">
        <v>9.2173077262846519</v>
      </c>
      <c r="D101" s="113"/>
      <c r="E101" s="113"/>
      <c r="F101" s="113"/>
      <c r="G101" s="113"/>
      <c r="H101" s="31"/>
      <c r="I101" s="31">
        <v>218.87936785110139</v>
      </c>
      <c r="J101" s="31">
        <f t="shared" si="4"/>
        <v>689.47000873096931</v>
      </c>
      <c r="K101" s="31"/>
      <c r="L101" s="26">
        <f t="shared" si="5"/>
        <v>2.078670797567165</v>
      </c>
      <c r="M101" s="31">
        <f t="shared" si="6"/>
        <v>3.3421713814825407</v>
      </c>
      <c r="N101" s="31"/>
    </row>
    <row r="102" spans="1:15" x14ac:dyDescent="0.15">
      <c r="A102" s="122">
        <v>1752</v>
      </c>
      <c r="B102" s="113">
        <v>5.64525113281739</v>
      </c>
      <c r="C102" s="113">
        <v>9.0769772883461997</v>
      </c>
      <c r="D102" s="113"/>
      <c r="E102" s="113"/>
      <c r="F102" s="113"/>
      <c r="G102" s="113"/>
      <c r="H102" s="31"/>
      <c r="I102" s="31">
        <v>195.28456249038078</v>
      </c>
      <c r="J102" s="31">
        <f t="shared" si="4"/>
        <v>615.14637184469939</v>
      </c>
      <c r="K102" s="31"/>
      <c r="L102" s="26">
        <f t="shared" si="5"/>
        <v>2.294271490169252</v>
      </c>
      <c r="M102" s="31">
        <f t="shared" si="6"/>
        <v>3.6889501847853636</v>
      </c>
      <c r="N102" s="31"/>
    </row>
    <row r="103" spans="1:15" x14ac:dyDescent="0.15">
      <c r="A103" s="122">
        <v>1753</v>
      </c>
      <c r="B103" s="113">
        <v>5.6967871067848606</v>
      </c>
      <c r="C103" s="113">
        <v>9.2553893551281643</v>
      </c>
      <c r="D103" s="113"/>
      <c r="E103" s="113"/>
      <c r="F103" s="113"/>
      <c r="G103" s="113"/>
      <c r="H103" s="31"/>
      <c r="I103" s="31">
        <v>193.04956237202634</v>
      </c>
      <c r="J103" s="31">
        <f t="shared" si="4"/>
        <v>608.10612147188294</v>
      </c>
      <c r="K103" s="31"/>
      <c r="L103" s="26">
        <f t="shared" si="5"/>
        <v>2.3420201284095543</v>
      </c>
      <c r="M103" s="31">
        <f t="shared" si="6"/>
        <v>3.8050058321753411</v>
      </c>
      <c r="N103" s="31"/>
    </row>
    <row r="104" spans="1:15" x14ac:dyDescent="0.15">
      <c r="A104" s="122">
        <v>1754</v>
      </c>
      <c r="B104" s="113">
        <v>5.7143285466237463</v>
      </c>
      <c r="C104" s="113">
        <v>9.2481837537585783</v>
      </c>
      <c r="D104" s="113"/>
      <c r="E104" s="113"/>
      <c r="F104" s="113"/>
      <c r="G104" s="113"/>
      <c r="H104" s="31"/>
      <c r="I104" s="31">
        <v>213.38042257504196</v>
      </c>
      <c r="J104" s="31">
        <f t="shared" si="4"/>
        <v>672.14833111138216</v>
      </c>
      <c r="K104" s="31"/>
      <c r="L104" s="26">
        <f t="shared" si="5"/>
        <v>2.125397134132295</v>
      </c>
      <c r="M104" s="31">
        <f t="shared" si="6"/>
        <v>3.4397852846212214</v>
      </c>
      <c r="N104" s="31"/>
    </row>
    <row r="105" spans="1:15" x14ac:dyDescent="0.15">
      <c r="A105" s="122">
        <v>1755</v>
      </c>
      <c r="B105" s="113">
        <v>5.6913079716157275</v>
      </c>
      <c r="C105" s="113">
        <v>9.20811784997926</v>
      </c>
      <c r="D105" s="113"/>
      <c r="E105" s="113"/>
      <c r="F105" s="113"/>
      <c r="G105" s="113"/>
      <c r="H105" s="31"/>
      <c r="I105" s="31">
        <v>209.56810600730822</v>
      </c>
      <c r="J105" s="31">
        <f t="shared" si="4"/>
        <v>660.13953392302085</v>
      </c>
      <c r="K105" s="31"/>
      <c r="L105" s="26">
        <f t="shared" si="5"/>
        <v>2.155342802223156</v>
      </c>
      <c r="M105" s="31">
        <f t="shared" si="6"/>
        <v>3.4871861844336318</v>
      </c>
      <c r="N105" s="31"/>
    </row>
    <row r="106" spans="1:15" x14ac:dyDescent="0.15">
      <c r="A106" s="122">
        <v>1756</v>
      </c>
      <c r="B106" s="113">
        <v>5.6998866039997971</v>
      </c>
      <c r="C106" s="113">
        <v>9.2613162262354187</v>
      </c>
      <c r="D106" s="113">
        <v>4.3370924137931031</v>
      </c>
      <c r="E106" s="113"/>
      <c r="F106" s="113"/>
      <c r="G106" s="113"/>
      <c r="H106" s="31"/>
      <c r="I106" s="31">
        <v>211.51343316480032</v>
      </c>
      <c r="J106" s="31">
        <f t="shared" si="4"/>
        <v>666.26731446912095</v>
      </c>
      <c r="K106" s="31"/>
      <c r="L106" s="26">
        <f t="shared" si="5"/>
        <v>2.1387386414645913</v>
      </c>
      <c r="M106" s="31">
        <f t="shared" si="6"/>
        <v>3.4750752532468132</v>
      </c>
      <c r="N106" s="31">
        <f t="shared" si="7"/>
        <v>1.6273845045396234</v>
      </c>
    </row>
    <row r="107" spans="1:15" x14ac:dyDescent="0.15">
      <c r="A107" s="122">
        <v>1757</v>
      </c>
      <c r="B107" s="113">
        <v>5.6996041994519508</v>
      </c>
      <c r="C107" s="113">
        <v>9.237123176808673</v>
      </c>
      <c r="D107" s="113"/>
      <c r="E107" s="113"/>
      <c r="F107" s="113"/>
      <c r="G107" s="113"/>
      <c r="H107" s="31"/>
      <c r="I107" s="31">
        <v>209.86225194512963</v>
      </c>
      <c r="J107" s="31">
        <f t="shared" si="4"/>
        <v>661.06609362715835</v>
      </c>
      <c r="K107" s="31"/>
      <c r="L107" s="26">
        <f t="shared" si="5"/>
        <v>2.1554592855379946</v>
      </c>
      <c r="M107" s="31">
        <f t="shared" si="6"/>
        <v>3.4932676421680218</v>
      </c>
      <c r="N107" s="31"/>
    </row>
    <row r="108" spans="1:15" x14ac:dyDescent="0.15">
      <c r="A108" s="122">
        <v>1758</v>
      </c>
      <c r="B108" s="113">
        <v>5.7010117983156716</v>
      </c>
      <c r="C108" s="113">
        <v>9.2058180671670389</v>
      </c>
      <c r="D108" s="113"/>
      <c r="E108" s="113"/>
      <c r="F108" s="113"/>
      <c r="G108" s="113"/>
      <c r="H108" s="31"/>
      <c r="I108" s="31">
        <v>209.63396885783965</v>
      </c>
      <c r="J108" s="31">
        <f t="shared" si="4"/>
        <v>660.34700190219485</v>
      </c>
      <c r="K108" s="31"/>
      <c r="L108" s="26">
        <f t="shared" si="5"/>
        <v>2.1583393965193083</v>
      </c>
      <c r="M108" s="31">
        <f t="shared" si="6"/>
        <v>3.4852199073550612</v>
      </c>
      <c r="N108" s="31"/>
    </row>
    <row r="109" spans="1:15" x14ac:dyDescent="0.15">
      <c r="A109" s="122">
        <v>1759</v>
      </c>
      <c r="B109" s="113">
        <v>5.6828999323808782</v>
      </c>
      <c r="C109" s="113">
        <v>9.1958866003404189</v>
      </c>
      <c r="D109" s="113"/>
      <c r="E109" s="113"/>
      <c r="F109" s="113"/>
      <c r="G109" s="113"/>
      <c r="H109" s="31"/>
      <c r="I109" s="31">
        <v>195.8754207456397</v>
      </c>
      <c r="J109" s="31">
        <f t="shared" si="4"/>
        <v>617.00757534876504</v>
      </c>
      <c r="K109" s="31"/>
      <c r="L109" s="26">
        <f t="shared" si="5"/>
        <v>2.30260541338111</v>
      </c>
      <c r="M109" s="31">
        <f t="shared" si="6"/>
        <v>3.7260023084572427</v>
      </c>
      <c r="N109" s="31"/>
    </row>
    <row r="110" spans="1:15" x14ac:dyDescent="0.15">
      <c r="A110" s="122">
        <v>1760</v>
      </c>
      <c r="B110" s="113">
        <v>5.7678063312835857</v>
      </c>
      <c r="C110" s="113">
        <v>9.3548542544030209</v>
      </c>
      <c r="D110" s="113"/>
      <c r="E110" s="113"/>
      <c r="F110" s="113"/>
      <c r="G110" s="113"/>
      <c r="H110" s="31"/>
      <c r="I110" s="31">
        <v>213.25989283263291</v>
      </c>
      <c r="J110" s="31">
        <f t="shared" si="4"/>
        <v>671.76866242279368</v>
      </c>
      <c r="K110" s="31"/>
      <c r="L110" s="26">
        <f t="shared" si="5"/>
        <v>2.1465002216988944</v>
      </c>
      <c r="M110" s="31">
        <f t="shared" si="6"/>
        <v>3.4814270066811033</v>
      </c>
      <c r="N110" s="31"/>
    </row>
    <row r="111" spans="1:15" x14ac:dyDescent="0.15">
      <c r="A111" s="122">
        <v>1761</v>
      </c>
      <c r="B111" s="113">
        <v>5.7400792463177872</v>
      </c>
      <c r="C111" s="113">
        <v>9.2431075303190795</v>
      </c>
      <c r="D111" s="113"/>
      <c r="E111" s="113"/>
      <c r="F111" s="113"/>
      <c r="G111" s="113"/>
      <c r="H111" s="31"/>
      <c r="I111" s="31">
        <v>221.1319849534666</v>
      </c>
      <c r="J111" s="31">
        <f t="shared" si="4"/>
        <v>696.56575260341981</v>
      </c>
      <c r="K111" s="31"/>
      <c r="L111" s="26">
        <f t="shared" si="5"/>
        <v>2.0601354663447768</v>
      </c>
      <c r="M111" s="31">
        <f t="shared" si="6"/>
        <v>3.3173851484130874</v>
      </c>
      <c r="N111" s="31"/>
    </row>
    <row r="112" spans="1:15" x14ac:dyDescent="0.15">
      <c r="A112" s="122">
        <v>1762</v>
      </c>
      <c r="B112" s="113">
        <v>5.621775046972207</v>
      </c>
      <c r="C112" s="113">
        <v>9.0889960009205222</v>
      </c>
      <c r="D112" s="113"/>
      <c r="E112" s="113"/>
      <c r="F112" s="113"/>
      <c r="G112" s="113"/>
      <c r="H112" s="31"/>
      <c r="I112" s="31">
        <v>186.42039646507527</v>
      </c>
      <c r="J112" s="31">
        <f t="shared" si="4"/>
        <v>587.22424886498709</v>
      </c>
      <c r="K112" s="31"/>
      <c r="L112" s="26">
        <f t="shared" si="5"/>
        <v>2.3933680607698937</v>
      </c>
      <c r="M112" s="31">
        <f t="shared" si="6"/>
        <v>3.869474063140331</v>
      </c>
      <c r="N112" s="31"/>
    </row>
    <row r="113" spans="1:15" x14ac:dyDescent="0.15">
      <c r="A113" s="122">
        <v>1763</v>
      </c>
      <c r="B113" s="113">
        <v>5.7799850254976324</v>
      </c>
      <c r="C113" s="113">
        <v>9.3014153862072764</v>
      </c>
      <c r="D113" s="113"/>
      <c r="E113" s="113"/>
      <c r="F113" s="113"/>
      <c r="G113" s="113"/>
      <c r="H113" s="31"/>
      <c r="I113" s="31">
        <v>211.91338525479497</v>
      </c>
      <c r="J113" s="31">
        <f t="shared" si="4"/>
        <v>667.52716355260418</v>
      </c>
      <c r="K113" s="31"/>
      <c r="L113" s="26">
        <f t="shared" si="5"/>
        <v>2.1647003077509006</v>
      </c>
      <c r="M113" s="31">
        <f t="shared" si="6"/>
        <v>3.4835344140547031</v>
      </c>
      <c r="N113" s="31"/>
    </row>
    <row r="114" spans="1:15" x14ac:dyDescent="0.15">
      <c r="A114" s="122">
        <v>1764</v>
      </c>
      <c r="B114" s="113">
        <v>5.7370791596284878</v>
      </c>
      <c r="C114" s="113">
        <v>9.1142718804526162</v>
      </c>
      <c r="D114" s="113"/>
      <c r="E114" s="113"/>
      <c r="F114" s="113"/>
      <c r="G114" s="113"/>
      <c r="H114" s="31"/>
      <c r="I114" s="31">
        <v>212.10252930040431</v>
      </c>
      <c r="J114" s="31">
        <f t="shared" si="4"/>
        <v>668.1229672962736</v>
      </c>
      <c r="K114" s="31"/>
      <c r="L114" s="26">
        <f t="shared" si="5"/>
        <v>2.1467152906167151</v>
      </c>
      <c r="M114" s="31">
        <f t="shared" si="6"/>
        <v>3.4104020990835684</v>
      </c>
      <c r="N114" s="31"/>
      <c r="O114" s="31"/>
    </row>
    <row r="115" spans="1:15" x14ac:dyDescent="0.15">
      <c r="A115" s="122">
        <v>1765</v>
      </c>
      <c r="B115" s="113">
        <v>5.8052282672951074</v>
      </c>
      <c r="C115" s="113">
        <v>9.259438807975874</v>
      </c>
      <c r="D115" s="113"/>
      <c r="E115" s="113"/>
      <c r="F115" s="113"/>
      <c r="G115" s="113"/>
      <c r="H115" s="31"/>
      <c r="I115" s="31">
        <v>217.28478422017872</v>
      </c>
      <c r="J115" s="31">
        <f t="shared" si="4"/>
        <v>684.447070293563</v>
      </c>
      <c r="K115" s="31"/>
      <c r="L115" s="26">
        <f t="shared" si="5"/>
        <v>2.1204080341834231</v>
      </c>
      <c r="M115" s="31">
        <f t="shared" si="6"/>
        <v>3.3820872386832086</v>
      </c>
      <c r="N115" s="31"/>
      <c r="O115" s="31"/>
    </row>
    <row r="116" spans="1:15" x14ac:dyDescent="0.15">
      <c r="A116" s="122">
        <v>1766</v>
      </c>
      <c r="B116" s="113">
        <v>5.6676297271387917</v>
      </c>
      <c r="C116" s="113">
        <v>8.968926033996711</v>
      </c>
      <c r="D116" s="113"/>
      <c r="E116" s="113"/>
      <c r="F116" s="113"/>
      <c r="G116" s="113"/>
      <c r="H116" s="31"/>
      <c r="I116" s="31">
        <v>185.1073973642703</v>
      </c>
      <c r="J116" s="31">
        <f t="shared" si="4"/>
        <v>583.08830169745147</v>
      </c>
      <c r="K116" s="31"/>
      <c r="L116" s="26">
        <f t="shared" si="5"/>
        <v>2.4300049026191788</v>
      </c>
      <c r="M116" s="31">
        <f t="shared" si="6"/>
        <v>3.8454407368004619</v>
      </c>
      <c r="N116" s="31"/>
      <c r="O116" s="31"/>
    </row>
    <row r="117" spans="1:15" x14ac:dyDescent="0.15">
      <c r="A117" s="122">
        <v>1767</v>
      </c>
      <c r="B117" s="113">
        <v>5.7400403778400353</v>
      </c>
      <c r="C117" s="113">
        <v>9.0485300128020025</v>
      </c>
      <c r="D117" s="113"/>
      <c r="E117" s="113"/>
      <c r="F117" s="113"/>
      <c r="G117" s="113"/>
      <c r="H117" s="31"/>
      <c r="I117" s="31">
        <v>209.36777489197161</v>
      </c>
      <c r="J117" s="31">
        <f t="shared" si="4"/>
        <v>659.50849090971053</v>
      </c>
      <c r="K117" s="31"/>
      <c r="L117" s="26">
        <f t="shared" si="5"/>
        <v>2.1758781186889489</v>
      </c>
      <c r="M117" s="31">
        <f t="shared" si="6"/>
        <v>3.43002786829957</v>
      </c>
      <c r="N117" s="31"/>
      <c r="O117" s="31"/>
    </row>
    <row r="118" spans="1:15" x14ac:dyDescent="0.15">
      <c r="A118" s="122">
        <v>1768</v>
      </c>
      <c r="B118" s="113">
        <v>5.7287459447553681</v>
      </c>
      <c r="C118" s="113">
        <v>8.9869648266065152</v>
      </c>
      <c r="D118" s="113"/>
      <c r="E118" s="113"/>
      <c r="F118" s="113"/>
      <c r="G118" s="113"/>
      <c r="H118" s="31"/>
      <c r="I118" s="31">
        <v>209.03285598546091</v>
      </c>
      <c r="J118" s="31">
        <f t="shared" si="4"/>
        <v>658.45349635420189</v>
      </c>
      <c r="K118" s="31"/>
      <c r="L118" s="26">
        <f t="shared" si="5"/>
        <v>2.1750761353971551</v>
      </c>
      <c r="M118" s="31">
        <f t="shared" si="6"/>
        <v>3.4121486469304729</v>
      </c>
      <c r="N118" s="31"/>
      <c r="O118" s="31"/>
    </row>
    <row r="119" spans="1:15" x14ac:dyDescent="0.15">
      <c r="A119" s="122">
        <v>1769</v>
      </c>
      <c r="B119" s="113">
        <v>5.7789014715737839</v>
      </c>
      <c r="C119" s="113">
        <v>9.539101779122845</v>
      </c>
      <c r="D119" s="113"/>
      <c r="E119" s="113"/>
      <c r="F119" s="113"/>
      <c r="G119" s="113"/>
      <c r="H119" s="31"/>
      <c r="I119" s="31">
        <v>234.44182429660731</v>
      </c>
      <c r="J119" s="31">
        <f t="shared" si="4"/>
        <v>738.49174653431305</v>
      </c>
      <c r="K119" s="31"/>
      <c r="L119" s="26">
        <f t="shared" si="5"/>
        <v>1.9563189090107438</v>
      </c>
      <c r="M119" s="31">
        <f t="shared" si="6"/>
        <v>3.2292513165817831</v>
      </c>
      <c r="N119" s="31"/>
      <c r="O119" s="31"/>
    </row>
    <row r="120" spans="1:15" x14ac:dyDescent="0.15">
      <c r="A120" s="122">
        <v>1770</v>
      </c>
      <c r="B120" s="113">
        <v>5.7510987477928879</v>
      </c>
      <c r="C120" s="113">
        <v>9.5045376829376913</v>
      </c>
      <c r="D120" s="113"/>
      <c r="E120" s="113"/>
      <c r="F120" s="113"/>
      <c r="G120" s="113"/>
      <c r="H120" s="31"/>
      <c r="I120" s="31">
        <v>221.51855776606646</v>
      </c>
      <c r="J120" s="31">
        <f t="shared" si="4"/>
        <v>697.7834569631093</v>
      </c>
      <c r="K120" s="31"/>
      <c r="L120" s="26">
        <f t="shared" si="5"/>
        <v>2.0604883543752956</v>
      </c>
      <c r="M120" s="31">
        <f t="shared" si="6"/>
        <v>3.4052604673028886</v>
      </c>
      <c r="N120" s="31"/>
      <c r="O120" s="31"/>
    </row>
    <row r="121" spans="1:15" x14ac:dyDescent="0.15">
      <c r="A121" s="122">
        <v>1771</v>
      </c>
      <c r="B121" s="113">
        <v>5.6236461432944154</v>
      </c>
      <c r="C121" s="113">
        <v>9.255629984409639</v>
      </c>
      <c r="D121" s="113"/>
      <c r="E121" s="113"/>
      <c r="F121" s="113"/>
      <c r="G121" s="113"/>
      <c r="H121" s="31"/>
      <c r="I121" s="31">
        <v>182.6519692917889</v>
      </c>
      <c r="J121" s="31">
        <f t="shared" si="4"/>
        <v>575.35370326913505</v>
      </c>
      <c r="K121" s="31"/>
      <c r="L121" s="26">
        <f t="shared" si="5"/>
        <v>2.4435604182875243</v>
      </c>
      <c r="M121" s="31">
        <f t="shared" si="6"/>
        <v>4.0217130487817956</v>
      </c>
      <c r="N121" s="31"/>
      <c r="O121" s="31"/>
    </row>
    <row r="122" spans="1:15" x14ac:dyDescent="0.15">
      <c r="A122" s="122">
        <v>1772</v>
      </c>
      <c r="B122" s="113">
        <v>5.7348800741868162</v>
      </c>
      <c r="C122" s="113">
        <v>9.3989031678871413</v>
      </c>
      <c r="D122" s="113"/>
      <c r="E122" s="113"/>
      <c r="F122" s="113"/>
      <c r="G122" s="113"/>
      <c r="H122" s="31"/>
      <c r="I122" s="31">
        <v>219.96758817142427</v>
      </c>
      <c r="J122" s="31">
        <f t="shared" si="4"/>
        <v>692.89790273998642</v>
      </c>
      <c r="K122" s="31"/>
      <c r="L122" s="26">
        <f t="shared" si="5"/>
        <v>2.0691648984319628</v>
      </c>
      <c r="M122" s="31">
        <f t="shared" si="6"/>
        <v>3.3911573157893256</v>
      </c>
      <c r="N122" s="31"/>
      <c r="O122" s="31"/>
    </row>
    <row r="123" spans="1:15" x14ac:dyDescent="0.15">
      <c r="A123" s="122">
        <v>1773</v>
      </c>
      <c r="B123" s="113">
        <v>5.7648969688350462</v>
      </c>
      <c r="C123" s="113">
        <v>9.3076929702092137</v>
      </c>
      <c r="D123" s="113"/>
      <c r="E123" s="113"/>
      <c r="F123" s="113"/>
      <c r="G123" s="113"/>
      <c r="H123" s="31"/>
      <c r="I123" s="31">
        <v>209.32231043126359</v>
      </c>
      <c r="J123" s="31">
        <f t="shared" si="4"/>
        <v>659.36527785848034</v>
      </c>
      <c r="K123" s="31"/>
      <c r="L123" s="26">
        <f t="shared" si="5"/>
        <v>2.1857751546906474</v>
      </c>
      <c r="M123" s="31">
        <f t="shared" si="6"/>
        <v>3.5290351504553006</v>
      </c>
      <c r="N123" s="31"/>
      <c r="O123" s="31"/>
    </row>
    <row r="124" spans="1:15" x14ac:dyDescent="0.15">
      <c r="A124" s="122">
        <v>1774</v>
      </c>
      <c r="B124" s="113">
        <v>5.8516619121615703</v>
      </c>
      <c r="C124" s="113">
        <v>9.3218739234969554</v>
      </c>
      <c r="D124" s="113"/>
      <c r="E124" s="113"/>
      <c r="F124" s="113"/>
      <c r="G124" s="113"/>
      <c r="H124" s="31"/>
      <c r="I124" s="31">
        <v>227.55290862410973</v>
      </c>
      <c r="J124" s="31">
        <f t="shared" si="4"/>
        <v>716.7916621659457</v>
      </c>
      <c r="K124" s="31"/>
      <c r="L124" s="26">
        <f t="shared" si="5"/>
        <v>2.0409214493648928</v>
      </c>
      <c r="M124" s="31">
        <f t="shared" si="6"/>
        <v>3.2512494269704661</v>
      </c>
      <c r="N124" s="31"/>
      <c r="O124" s="31"/>
    </row>
    <row r="125" spans="1:15" x14ac:dyDescent="0.15">
      <c r="A125" s="122">
        <v>1775</v>
      </c>
      <c r="B125" s="113">
        <v>5.9023551196340751</v>
      </c>
      <c r="C125" s="113">
        <v>9.2766353873832887</v>
      </c>
      <c r="D125" s="113"/>
      <c r="E125" s="113"/>
      <c r="F125" s="113"/>
      <c r="G125" s="113"/>
      <c r="H125" s="31"/>
      <c r="I125" s="31">
        <v>208.25474946945536</v>
      </c>
      <c r="J125" s="31">
        <f t="shared" si="4"/>
        <v>656.00246082878436</v>
      </c>
      <c r="K125" s="31"/>
      <c r="L125" s="26">
        <f t="shared" si="5"/>
        <v>2.2493647021449896</v>
      </c>
      <c r="M125" s="31">
        <f t="shared" si="6"/>
        <v>3.5352898583883805</v>
      </c>
      <c r="N125" s="31"/>
      <c r="O125" s="31"/>
    </row>
    <row r="126" spans="1:15" x14ac:dyDescent="0.15">
      <c r="A126" s="122">
        <v>1776</v>
      </c>
      <c r="B126" s="113">
        <v>5.9902943899701153</v>
      </c>
      <c r="C126" s="113">
        <v>9.2995511403237163</v>
      </c>
      <c r="D126" s="113"/>
      <c r="E126" s="113"/>
      <c r="F126" s="113"/>
      <c r="G126" s="113"/>
      <c r="H126" s="31"/>
      <c r="I126" s="31">
        <v>209.98610711048772</v>
      </c>
      <c r="J126" s="31">
        <f t="shared" si="4"/>
        <v>661.45623739803625</v>
      </c>
      <c r="K126" s="31"/>
      <c r="L126" s="26">
        <f t="shared" si="5"/>
        <v>2.2640554473921344</v>
      </c>
      <c r="M126" s="31">
        <f t="shared" si="6"/>
        <v>3.5148021193757528</v>
      </c>
      <c r="N126" s="31"/>
      <c r="O126" s="31"/>
    </row>
    <row r="127" spans="1:15" x14ac:dyDescent="0.15">
      <c r="A127" s="122">
        <v>1777</v>
      </c>
      <c r="B127" s="113">
        <v>6.108832349576879</v>
      </c>
      <c r="C127" s="113">
        <v>9.364810148423004</v>
      </c>
      <c r="D127" s="113"/>
      <c r="E127" s="113"/>
      <c r="F127" s="113"/>
      <c r="G127" s="113"/>
      <c r="H127" s="31"/>
      <c r="I127" s="31">
        <v>209.28029409840434</v>
      </c>
      <c r="J127" s="31">
        <f t="shared" si="4"/>
        <v>659.23292640997363</v>
      </c>
      <c r="K127" s="31"/>
      <c r="L127" s="26">
        <f t="shared" si="5"/>
        <v>2.3166441271540141</v>
      </c>
      <c r="M127" s="31">
        <f t="shared" si="6"/>
        <v>3.5514041294256731</v>
      </c>
      <c r="N127" s="31"/>
      <c r="O127" s="31"/>
    </row>
    <row r="128" spans="1:15" x14ac:dyDescent="0.15">
      <c r="A128" s="122">
        <v>1778</v>
      </c>
      <c r="B128" s="113">
        <v>6.1961557468230772</v>
      </c>
      <c r="C128" s="113">
        <v>9.353346235695561</v>
      </c>
      <c r="D128" s="113"/>
      <c r="E128" s="113"/>
      <c r="F128" s="113"/>
      <c r="G128" s="113"/>
      <c r="H128" s="31"/>
      <c r="I128" s="31">
        <v>210.92713435961628</v>
      </c>
      <c r="J128" s="31">
        <f t="shared" si="4"/>
        <v>664.42047323279121</v>
      </c>
      <c r="K128" s="31"/>
      <c r="L128" s="26">
        <f t="shared" si="5"/>
        <v>2.331413613985728</v>
      </c>
      <c r="M128" s="31">
        <f t="shared" si="6"/>
        <v>3.5193625921045535</v>
      </c>
      <c r="N128" s="31"/>
      <c r="O128" s="31"/>
    </row>
    <row r="129" spans="1:16" x14ac:dyDescent="0.15">
      <c r="A129" s="122">
        <v>1779</v>
      </c>
      <c r="B129" s="113">
        <v>6.2010116701991906</v>
      </c>
      <c r="C129" s="113">
        <v>9.3868296146723065</v>
      </c>
      <c r="D129" s="113"/>
      <c r="E129" s="113">
        <v>5.7659999999999991</v>
      </c>
      <c r="F129" s="113"/>
      <c r="G129" s="113"/>
      <c r="H129" s="31"/>
      <c r="I129" s="31">
        <v>197.22352422723924</v>
      </c>
      <c r="J129" s="31">
        <f t="shared" si="4"/>
        <v>621.25410131580361</v>
      </c>
      <c r="K129" s="31"/>
      <c r="L129" s="26">
        <f t="shared" si="5"/>
        <v>2.4953604559976239</v>
      </c>
      <c r="M129" s="31">
        <f t="shared" si="6"/>
        <v>3.7773712860773037</v>
      </c>
      <c r="N129" s="31"/>
      <c r="O129" s="31">
        <f t="shared" si="8"/>
        <v>2.3203066135852173</v>
      </c>
    </row>
    <row r="130" spans="1:16" x14ac:dyDescent="0.15">
      <c r="A130" s="122">
        <v>1780</v>
      </c>
      <c r="B130" s="113">
        <v>6.2708510120384435</v>
      </c>
      <c r="C130" s="113">
        <v>9.5404098389623755</v>
      </c>
      <c r="D130" s="113"/>
      <c r="E130" s="113"/>
      <c r="F130" s="113"/>
      <c r="G130" s="113"/>
      <c r="H130" s="31"/>
      <c r="I130" s="31">
        <v>198.10247400478946</v>
      </c>
      <c r="J130" s="31">
        <f t="shared" si="4"/>
        <v>624.02279311508676</v>
      </c>
      <c r="K130" s="31"/>
      <c r="L130" s="26">
        <f t="shared" si="5"/>
        <v>2.5122684144014626</v>
      </c>
      <c r="M130" s="31">
        <f t="shared" si="6"/>
        <v>3.8221399699749692</v>
      </c>
      <c r="N130" s="31"/>
      <c r="O130" s="31"/>
      <c r="P130" s="31"/>
    </row>
    <row r="131" spans="1:16" x14ac:dyDescent="0.15">
      <c r="A131" s="122">
        <v>1781</v>
      </c>
      <c r="B131" s="113">
        <v>6.2219792270658809</v>
      </c>
      <c r="C131" s="113">
        <v>9.3532534985130074</v>
      </c>
      <c r="D131" s="113"/>
      <c r="E131" s="113"/>
      <c r="F131" s="113"/>
      <c r="G131" s="113"/>
      <c r="H131" s="31"/>
      <c r="I131" s="31">
        <v>198.53395696981897</v>
      </c>
      <c r="J131" s="31">
        <f t="shared" si="4"/>
        <v>625.38196445492974</v>
      </c>
      <c r="K131" s="31"/>
      <c r="L131" s="26">
        <f t="shared" si="5"/>
        <v>2.4872716118735658</v>
      </c>
      <c r="M131" s="31">
        <f t="shared" si="6"/>
        <v>3.7390163252729529</v>
      </c>
      <c r="N131" s="31"/>
      <c r="O131" s="31"/>
      <c r="P131" s="31"/>
    </row>
    <row r="132" spans="1:16" x14ac:dyDescent="0.15">
      <c r="A132" s="122">
        <v>1782</v>
      </c>
      <c r="B132" s="113">
        <v>6.4053540083896152</v>
      </c>
      <c r="C132" s="113">
        <v>9.7453089433041775</v>
      </c>
      <c r="D132" s="113"/>
      <c r="E132" s="113"/>
      <c r="F132" s="113"/>
      <c r="G132" s="113"/>
      <c r="H132" s="31"/>
      <c r="I132" s="31">
        <v>217.86306171430516</v>
      </c>
      <c r="J132" s="31">
        <f t="shared" ref="J132:J195" si="9">I132*3.15</f>
        <v>686.26864440006125</v>
      </c>
      <c r="K132" s="31"/>
      <c r="L132" s="26">
        <f t="shared" ref="L132:L195" si="10">(B132*250)/J132</f>
        <v>2.3333989031326068</v>
      </c>
      <c r="M132" s="31">
        <f t="shared" ref="M132:M195" si="11">C132*250/J132</f>
        <v>3.5501071711587393</v>
      </c>
      <c r="N132" s="31"/>
      <c r="O132" s="31"/>
      <c r="P132" s="31"/>
    </row>
    <row r="133" spans="1:16" x14ac:dyDescent="0.15">
      <c r="A133" s="122">
        <v>1783</v>
      </c>
      <c r="B133" s="113">
        <v>6.4502855226634672</v>
      </c>
      <c r="C133" s="113">
        <v>9.8633598483879688</v>
      </c>
      <c r="D133" s="113"/>
      <c r="E133" s="113"/>
      <c r="F133" s="113"/>
      <c r="G133" s="113"/>
      <c r="H133" s="31"/>
      <c r="I133" s="31">
        <v>213.7380508198591</v>
      </c>
      <c r="J133" s="31">
        <f t="shared" si="9"/>
        <v>673.27486008255619</v>
      </c>
      <c r="K133" s="31"/>
      <c r="L133" s="26">
        <f t="shared" si="10"/>
        <v>2.3951159864607674</v>
      </c>
      <c r="M133" s="31">
        <f t="shared" si="11"/>
        <v>3.6624566106547238</v>
      </c>
      <c r="N133" s="31"/>
      <c r="O133" s="31"/>
      <c r="P133" s="31"/>
    </row>
    <row r="134" spans="1:16" x14ac:dyDescent="0.15">
      <c r="A134" s="122">
        <v>1784</v>
      </c>
      <c r="B134" s="113">
        <v>6.5210051091766079</v>
      </c>
      <c r="C134" s="113">
        <v>10.035079852446726</v>
      </c>
      <c r="D134" s="113"/>
      <c r="E134" s="113"/>
      <c r="F134" s="113"/>
      <c r="G134" s="113"/>
      <c r="H134" s="31"/>
      <c r="I134" s="31">
        <v>229.09592136719604</v>
      </c>
      <c r="J134" s="31">
        <f t="shared" si="9"/>
        <v>721.65215230666752</v>
      </c>
      <c r="K134" s="31"/>
      <c r="L134" s="26">
        <f t="shared" si="10"/>
        <v>2.2590541330518663</v>
      </c>
      <c r="M134" s="31">
        <f t="shared" si="11"/>
        <v>3.4764255259167784</v>
      </c>
      <c r="N134" s="31"/>
      <c r="O134" s="31"/>
      <c r="P134" s="31"/>
    </row>
    <row r="135" spans="1:16" x14ac:dyDescent="0.15">
      <c r="A135" s="122">
        <v>1785</v>
      </c>
      <c r="B135" s="113">
        <v>6.60952080077932</v>
      </c>
      <c r="C135" s="113">
        <v>10.204821447399775</v>
      </c>
      <c r="D135" s="113"/>
      <c r="E135" s="113">
        <v>6.589714285714285</v>
      </c>
      <c r="F135" s="113">
        <v>10.982857142857142</v>
      </c>
      <c r="G135" s="113"/>
      <c r="H135" s="31"/>
      <c r="I135" s="31">
        <v>236.94460813337543</v>
      </c>
      <c r="J135" s="31">
        <f t="shared" si="9"/>
        <v>746.37551562013255</v>
      </c>
      <c r="K135" s="31"/>
      <c r="L135" s="26">
        <f t="shared" si="10"/>
        <v>2.2138724618022012</v>
      </c>
      <c r="M135" s="31">
        <f t="shared" si="11"/>
        <v>3.4181257402719765</v>
      </c>
      <c r="N135" s="31"/>
      <c r="O135" s="31">
        <f t="shared" ref="O135:O180" si="12">E135*250/J135</f>
        <v>2.2072382292173547</v>
      </c>
      <c r="P135" s="31">
        <f t="shared" ref="P135:P176" si="13">F135*250/J135</f>
        <v>3.6787303820289239</v>
      </c>
    </row>
    <row r="136" spans="1:16" x14ac:dyDescent="0.15">
      <c r="A136" s="122">
        <v>1786</v>
      </c>
      <c r="B136" s="113">
        <v>6.9333142911502179</v>
      </c>
      <c r="C136" s="113">
        <v>10.735097310029897</v>
      </c>
      <c r="D136" s="113"/>
      <c r="E136" s="113">
        <v>6.589714285714285</v>
      </c>
      <c r="F136" s="113">
        <v>10.982857142857142</v>
      </c>
      <c r="G136" s="113"/>
      <c r="H136" s="31"/>
      <c r="I136" s="31">
        <v>274.13622116008241</v>
      </c>
      <c r="J136" s="31">
        <f t="shared" si="9"/>
        <v>863.52909665425955</v>
      </c>
      <c r="K136" s="31"/>
      <c r="L136" s="26">
        <f t="shared" si="10"/>
        <v>2.0072613412834959</v>
      </c>
      <c r="M136" s="31">
        <f t="shared" si="11"/>
        <v>3.1079141836745841</v>
      </c>
      <c r="N136" s="31"/>
      <c r="O136" s="31">
        <f t="shared" si="12"/>
        <v>1.9077858265709025</v>
      </c>
      <c r="P136" s="31">
        <f t="shared" si="13"/>
        <v>3.1796430442848371</v>
      </c>
    </row>
    <row r="137" spans="1:16" x14ac:dyDescent="0.15">
      <c r="A137" s="122">
        <v>1787</v>
      </c>
      <c r="B137" s="113">
        <v>7.4575813465685385</v>
      </c>
      <c r="C137" s="113">
        <v>11.533472233442515</v>
      </c>
      <c r="D137" s="113"/>
      <c r="E137" s="113">
        <v>6.589714285714285</v>
      </c>
      <c r="F137" s="113"/>
      <c r="G137" s="113"/>
      <c r="H137" s="31"/>
      <c r="I137" s="31">
        <v>416.78343631733475</v>
      </c>
      <c r="J137" s="31">
        <f t="shared" si="9"/>
        <v>1312.8678243996044</v>
      </c>
      <c r="K137" s="31"/>
      <c r="L137" s="26">
        <f t="shared" si="10"/>
        <v>1.4200937078298439</v>
      </c>
      <c r="M137" s="31">
        <f t="shared" si="11"/>
        <v>2.1962363649815542</v>
      </c>
      <c r="N137" s="31"/>
      <c r="O137" s="31">
        <f t="shared" si="12"/>
        <v>1.2548320103601953</v>
      </c>
      <c r="P137" s="31"/>
    </row>
    <row r="138" spans="1:16" x14ac:dyDescent="0.15">
      <c r="A138" s="122">
        <v>1788</v>
      </c>
      <c r="B138" s="113">
        <v>6.8076884479751216</v>
      </c>
      <c r="C138" s="113">
        <v>10.688250356679898</v>
      </c>
      <c r="D138" s="113"/>
      <c r="E138" s="113">
        <v>6.589714285714285</v>
      </c>
      <c r="F138" s="113"/>
      <c r="G138" s="113"/>
      <c r="H138" s="31"/>
      <c r="I138" s="31">
        <v>232.47380705248017</v>
      </c>
      <c r="J138" s="31">
        <f t="shared" si="9"/>
        <v>732.29249221531256</v>
      </c>
      <c r="K138" s="31"/>
      <c r="L138" s="26">
        <f t="shared" si="10"/>
        <v>2.3241015442411119</v>
      </c>
      <c r="M138" s="31">
        <f t="shared" si="11"/>
        <v>3.6489007023498479</v>
      </c>
      <c r="N138" s="31"/>
      <c r="O138" s="31">
        <f t="shared" si="12"/>
        <v>2.2496865514008104</v>
      </c>
      <c r="P138" s="31"/>
    </row>
    <row r="139" spans="1:16" x14ac:dyDescent="0.15">
      <c r="A139" s="122">
        <v>1789</v>
      </c>
      <c r="B139" s="113">
        <v>7.4349575362409848</v>
      </c>
      <c r="C139" s="113">
        <v>11.614098188182135</v>
      </c>
      <c r="D139" s="113">
        <v>17.572571428571425</v>
      </c>
      <c r="E139" s="113">
        <v>6.589714285714285</v>
      </c>
      <c r="F139" s="113"/>
      <c r="G139" s="113"/>
      <c r="H139" s="31"/>
      <c r="I139" s="31">
        <v>371.11645692120345</v>
      </c>
      <c r="J139" s="31">
        <f t="shared" si="9"/>
        <v>1169.0168393017909</v>
      </c>
      <c r="K139" s="31"/>
      <c r="L139" s="26">
        <f t="shared" si="10"/>
        <v>1.5900022322778518</v>
      </c>
      <c r="M139" s="31">
        <f t="shared" si="11"/>
        <v>2.4837320126027422</v>
      </c>
      <c r="N139" s="31">
        <f t="shared" ref="N139:N203" si="14">D139*250/J139</f>
        <v>3.7579808172538494</v>
      </c>
      <c r="O139" s="31">
        <f t="shared" si="12"/>
        <v>1.4092428064701938</v>
      </c>
      <c r="P139" s="31"/>
    </row>
    <row r="140" spans="1:16" x14ac:dyDescent="0.15">
      <c r="A140" s="122">
        <v>1790</v>
      </c>
      <c r="B140" s="113">
        <v>6.9687546139425356</v>
      </c>
      <c r="C140" s="113">
        <v>11.035842901767769</v>
      </c>
      <c r="D140" s="113">
        <v>15.375999999999998</v>
      </c>
      <c r="E140" s="113"/>
      <c r="F140" s="113"/>
      <c r="G140" s="113"/>
      <c r="H140" s="31"/>
      <c r="I140" s="31">
        <v>238.85129862594729</v>
      </c>
      <c r="J140" s="31">
        <f t="shared" si="9"/>
        <v>752.38159067173399</v>
      </c>
      <c r="K140" s="31"/>
      <c r="L140" s="26">
        <f t="shared" si="10"/>
        <v>2.3155652332351595</v>
      </c>
      <c r="M140" s="31">
        <f t="shared" si="11"/>
        <v>3.666970005178773</v>
      </c>
      <c r="N140" s="31">
        <f t="shared" si="14"/>
        <v>5.1091095896804664</v>
      </c>
      <c r="O140" s="31"/>
      <c r="P140" s="31"/>
    </row>
    <row r="141" spans="1:16" x14ac:dyDescent="0.15">
      <c r="A141" s="122">
        <v>1791</v>
      </c>
      <c r="B141" s="113">
        <v>8.0998571428571413</v>
      </c>
      <c r="C141" s="113">
        <v>11.031218389520182</v>
      </c>
      <c r="D141" s="113"/>
      <c r="E141" s="113"/>
      <c r="F141" s="113"/>
      <c r="G141" s="113"/>
      <c r="H141" s="31"/>
      <c r="I141" s="31">
        <v>236.3633395595993</v>
      </c>
      <c r="J141" s="31">
        <f t="shared" si="9"/>
        <v>744.54451961273776</v>
      </c>
      <c r="K141" s="31"/>
      <c r="L141" s="26">
        <f t="shared" si="10"/>
        <v>2.7197356670727175</v>
      </c>
      <c r="M141" s="31">
        <f t="shared" si="11"/>
        <v>3.7040157099194966</v>
      </c>
      <c r="N141" s="31"/>
      <c r="O141" s="31"/>
      <c r="P141" s="31"/>
    </row>
    <row r="142" spans="1:16" x14ac:dyDescent="0.15">
      <c r="A142" s="122">
        <v>1792</v>
      </c>
      <c r="B142" s="113">
        <v>8.0998571428571413</v>
      </c>
      <c r="C142" s="113">
        <v>10.937147038341388</v>
      </c>
      <c r="D142" s="113"/>
      <c r="E142" s="113"/>
      <c r="F142" s="113"/>
      <c r="G142" s="113"/>
      <c r="H142" s="31"/>
      <c r="I142" s="31">
        <v>236.24942708707698</v>
      </c>
      <c r="J142" s="31">
        <f t="shared" si="9"/>
        <v>744.18569532429251</v>
      </c>
      <c r="K142" s="31"/>
      <c r="L142" s="26">
        <f t="shared" si="10"/>
        <v>2.7210470430123896</v>
      </c>
      <c r="M142" s="31">
        <f t="shared" si="11"/>
        <v>3.6741995670769132</v>
      </c>
      <c r="N142" s="31"/>
      <c r="O142" s="31"/>
      <c r="P142" s="31"/>
    </row>
    <row r="143" spans="1:16" x14ac:dyDescent="0.15">
      <c r="A143" s="122">
        <v>1793</v>
      </c>
      <c r="B143" s="113">
        <v>8.0998571428571413</v>
      </c>
      <c r="C143" s="113"/>
      <c r="D143" s="113"/>
      <c r="E143" s="113"/>
      <c r="F143" s="113"/>
      <c r="G143" s="113"/>
      <c r="H143" s="31"/>
      <c r="I143" s="31">
        <v>244.47473640849677</v>
      </c>
      <c r="J143" s="31">
        <f t="shared" si="9"/>
        <v>770.09541968676479</v>
      </c>
      <c r="K143" s="31"/>
      <c r="L143" s="26">
        <f t="shared" si="10"/>
        <v>2.6294978959074147</v>
      </c>
      <c r="M143" s="31"/>
      <c r="N143" s="31"/>
      <c r="O143" s="31"/>
      <c r="P143" s="31"/>
    </row>
    <row r="144" spans="1:16" x14ac:dyDescent="0.15">
      <c r="A144" s="122">
        <v>1794</v>
      </c>
      <c r="B144" s="113">
        <v>8.0998571428571413</v>
      </c>
      <c r="C144" s="113"/>
      <c r="D144" s="31"/>
      <c r="E144" s="113"/>
      <c r="F144" s="113"/>
      <c r="G144" s="113"/>
      <c r="H144" s="31"/>
      <c r="I144" s="31">
        <v>231.20023242075726</v>
      </c>
      <c r="J144" s="31">
        <f t="shared" si="9"/>
        <v>728.28073212538538</v>
      </c>
      <c r="K144" s="31"/>
      <c r="L144" s="26">
        <f t="shared" si="10"/>
        <v>2.7804721399187788</v>
      </c>
      <c r="M144" s="31"/>
      <c r="N144" s="31"/>
      <c r="O144" s="31"/>
      <c r="P144" s="31"/>
    </row>
    <row r="145" spans="1:16" x14ac:dyDescent="0.15">
      <c r="A145" s="122">
        <v>1795</v>
      </c>
      <c r="B145" s="113">
        <v>8.3809987301587299</v>
      </c>
      <c r="C145" s="31">
        <v>13.640711620510054</v>
      </c>
      <c r="D145" s="113"/>
      <c r="E145" s="113"/>
      <c r="F145" s="113"/>
      <c r="G145" s="113"/>
      <c r="H145" s="31"/>
      <c r="I145" s="31">
        <v>227.72862451011633</v>
      </c>
      <c r="J145" s="31">
        <f t="shared" si="9"/>
        <v>717.34516720686645</v>
      </c>
      <c r="K145" s="31"/>
      <c r="L145" s="26">
        <f t="shared" si="10"/>
        <v>2.9208389187285886</v>
      </c>
      <c r="M145" s="31">
        <f t="shared" si="11"/>
        <v>4.753887056081739</v>
      </c>
      <c r="N145" s="31"/>
      <c r="O145" s="31"/>
      <c r="P145" s="31"/>
    </row>
    <row r="146" spans="1:16" x14ac:dyDescent="0.15">
      <c r="A146" s="122">
        <v>1796</v>
      </c>
      <c r="B146" s="113"/>
      <c r="C146" s="113"/>
      <c r="D146" s="113"/>
      <c r="E146" s="113"/>
      <c r="F146" s="113"/>
      <c r="G146" s="113"/>
      <c r="H146" s="31"/>
      <c r="I146" s="31">
        <v>245.31972305358312</v>
      </c>
      <c r="J146" s="31">
        <f t="shared" si="9"/>
        <v>772.75712761878685</v>
      </c>
      <c r="K146" s="31"/>
      <c r="L146" s="123"/>
      <c r="M146" s="71">
        <f>M145+((M147-M145)/2)</f>
        <v>4.7286988218808137</v>
      </c>
      <c r="N146" s="31"/>
      <c r="O146" s="31"/>
    </row>
    <row r="147" spans="1:16" x14ac:dyDescent="0.15">
      <c r="A147" s="122">
        <v>1797</v>
      </c>
      <c r="B147" s="113"/>
      <c r="C147" s="113">
        <v>15.317500000000003</v>
      </c>
      <c r="D147" s="31"/>
      <c r="E147" s="113">
        <v>8.3550000000000022</v>
      </c>
      <c r="F147" s="31"/>
      <c r="G147" s="113"/>
      <c r="H147" s="31"/>
      <c r="I147" s="31">
        <v>258.46111760838232</v>
      </c>
      <c r="J147" s="31">
        <f t="shared" si="9"/>
        <v>814.15252046640433</v>
      </c>
      <c r="K147" s="31"/>
      <c r="L147" s="123"/>
      <c r="M147" s="31">
        <f>C147*250/J147</f>
        <v>4.7035105876798893</v>
      </c>
      <c r="N147" s="31"/>
      <c r="O147" s="31">
        <f t="shared" si="12"/>
        <v>2.5655512296435763</v>
      </c>
    </row>
    <row r="148" spans="1:16" x14ac:dyDescent="0.15">
      <c r="A148" s="122">
        <v>1798</v>
      </c>
      <c r="B148" s="113"/>
      <c r="C148" s="113">
        <v>27.85</v>
      </c>
      <c r="D148" s="113">
        <v>18.56666666666667</v>
      </c>
      <c r="E148" s="113">
        <v>12.267261904761906</v>
      </c>
      <c r="F148" s="113"/>
      <c r="G148" s="113"/>
      <c r="H148" s="31"/>
      <c r="I148" s="31">
        <v>352.8038880461159</v>
      </c>
      <c r="J148" s="31">
        <f t="shared" si="9"/>
        <v>1111.3322473452652</v>
      </c>
      <c r="K148" s="31"/>
      <c r="L148" s="123"/>
      <c r="M148" s="31">
        <f>C148*250/J148</f>
        <v>6.2650031227222298</v>
      </c>
      <c r="N148" s="31">
        <f>D148*250/J148</f>
        <v>4.1766687484814877</v>
      </c>
      <c r="O148" s="31">
        <f t="shared" si="12"/>
        <v>2.7595847088181253</v>
      </c>
    </row>
    <row r="149" spans="1:16" x14ac:dyDescent="0.15">
      <c r="A149" s="122">
        <v>1799</v>
      </c>
      <c r="B149" s="113"/>
      <c r="C149" s="113"/>
      <c r="D149" s="113">
        <v>29.176190476190477</v>
      </c>
      <c r="E149" s="113">
        <v>8.4876190476190487</v>
      </c>
      <c r="F149" s="113"/>
      <c r="G149" s="113"/>
      <c r="H149" s="31"/>
      <c r="I149" s="31">
        <v>352.52927786687383</v>
      </c>
      <c r="J149" s="31">
        <f t="shared" si="9"/>
        <v>1110.4672252806524</v>
      </c>
      <c r="K149" s="31"/>
      <c r="L149" s="123"/>
      <c r="M149" s="71">
        <f>M148+((M150-M148)/2)</f>
        <v>5.5082444948317626</v>
      </c>
      <c r="N149" s="31">
        <f t="shared" si="14"/>
        <v>6.5684492554061356</v>
      </c>
      <c r="O149" s="31">
        <f t="shared" si="12"/>
        <v>1.9108216015726944</v>
      </c>
    </row>
    <row r="150" spans="1:16" x14ac:dyDescent="0.15">
      <c r="A150" s="122">
        <v>1800</v>
      </c>
      <c r="B150" s="113">
        <v>14.036400000000002</v>
      </c>
      <c r="C150" s="113">
        <v>21.089036746031748</v>
      </c>
      <c r="D150" s="113">
        <v>26.523809523809526</v>
      </c>
      <c r="E150" s="113"/>
      <c r="F150" s="113"/>
      <c r="G150" s="113"/>
      <c r="H150" s="31"/>
      <c r="I150" s="31">
        <v>352.25466768763181</v>
      </c>
      <c r="J150" s="31">
        <f t="shared" si="9"/>
        <v>1109.6022032160402</v>
      </c>
      <c r="K150" s="31"/>
      <c r="L150" s="26">
        <f t="shared" si="10"/>
        <v>3.1624847083299965</v>
      </c>
      <c r="M150" s="31">
        <f t="shared" si="11"/>
        <v>4.7514858669412954</v>
      </c>
      <c r="N150" s="31">
        <f t="shared" si="14"/>
        <v>5.975972615891906</v>
      </c>
      <c r="O150" s="31"/>
    </row>
    <row r="151" spans="1:16" x14ac:dyDescent="0.15">
      <c r="A151" s="122">
        <v>1801</v>
      </c>
      <c r="B151" s="113"/>
      <c r="C151" s="113">
        <v>18.036190476190477</v>
      </c>
      <c r="D151" s="113"/>
      <c r="E151" s="113"/>
      <c r="F151" s="113"/>
      <c r="G151" s="113"/>
      <c r="H151" s="31"/>
      <c r="I151" s="31">
        <v>351.46840659172301</v>
      </c>
      <c r="J151" s="31">
        <f t="shared" si="9"/>
        <v>1107.1254807639275</v>
      </c>
      <c r="K151" s="31"/>
      <c r="L151" s="123"/>
      <c r="M151" s="31">
        <f t="shared" si="11"/>
        <v>4.0727520930476029</v>
      </c>
      <c r="N151" s="31"/>
      <c r="O151" s="31"/>
    </row>
    <row r="152" spans="1:16" x14ac:dyDescent="0.15">
      <c r="A152" s="122">
        <v>1802</v>
      </c>
      <c r="B152" s="113"/>
      <c r="C152" s="113"/>
      <c r="D152" s="113"/>
      <c r="E152" s="113"/>
      <c r="F152" s="113"/>
      <c r="G152" s="113"/>
      <c r="H152" s="31"/>
      <c r="I152" s="31">
        <v>377.30615508474398</v>
      </c>
      <c r="J152" s="31">
        <f t="shared" si="9"/>
        <v>1188.5143885169434</v>
      </c>
      <c r="K152" s="31"/>
      <c r="L152" s="123"/>
      <c r="M152" s="71">
        <f>M151+((M155-M151)/4)</f>
        <v>4.107310415589887</v>
      </c>
      <c r="N152" s="31"/>
      <c r="O152" s="31"/>
    </row>
    <row r="153" spans="1:16" x14ac:dyDescent="0.15">
      <c r="A153" s="122">
        <v>1803</v>
      </c>
      <c r="B153" s="113"/>
      <c r="C153" s="113"/>
      <c r="D153" s="113"/>
      <c r="E153" s="113"/>
      <c r="F153" s="113"/>
      <c r="G153" s="113"/>
      <c r="H153" s="31"/>
      <c r="I153" s="31">
        <v>387.17358736702732</v>
      </c>
      <c r="J153" s="31">
        <f t="shared" si="9"/>
        <v>1219.5968002061361</v>
      </c>
      <c r="K153" s="31"/>
      <c r="L153" s="123"/>
      <c r="M153" s="71">
        <f>M152+((M155-M151)/4)</f>
        <v>4.141868738132171</v>
      </c>
      <c r="N153" s="31"/>
      <c r="O153" s="31"/>
    </row>
    <row r="154" spans="1:16" x14ac:dyDescent="0.15">
      <c r="A154" s="122">
        <v>1804</v>
      </c>
      <c r="B154" s="113"/>
      <c r="C154" s="113"/>
      <c r="D154" s="113"/>
      <c r="E154" s="113"/>
      <c r="F154" s="113"/>
      <c r="G154" s="113"/>
      <c r="H154" s="31"/>
      <c r="I154" s="31">
        <v>372.71700048643243</v>
      </c>
      <c r="J154" s="31">
        <f t="shared" si="9"/>
        <v>1174.0585515322621</v>
      </c>
      <c r="K154" s="31"/>
      <c r="L154" s="123"/>
      <c r="M154" s="71">
        <f>M153+((M155-M151)/4)</f>
        <v>4.1764270606744551</v>
      </c>
      <c r="N154" s="31"/>
      <c r="O154" s="31"/>
    </row>
    <row r="155" spans="1:16" x14ac:dyDescent="0.15">
      <c r="A155" s="122">
        <v>1805</v>
      </c>
      <c r="B155" s="113">
        <v>13.925000000000001</v>
      </c>
      <c r="C155" s="113">
        <v>19.00873</v>
      </c>
      <c r="D155" s="113"/>
      <c r="E155" s="113"/>
      <c r="F155" s="113"/>
      <c r="G155" s="113"/>
      <c r="H155" s="31"/>
      <c r="I155" s="31">
        <v>358.26041360583747</v>
      </c>
      <c r="J155" s="31">
        <f t="shared" si="9"/>
        <v>1128.520302858388</v>
      </c>
      <c r="K155" s="31"/>
      <c r="L155" s="26">
        <f t="shared" si="10"/>
        <v>3.0847916436970326</v>
      </c>
      <c r="M155" s="31">
        <f t="shared" si="11"/>
        <v>4.2109853832167392</v>
      </c>
      <c r="N155" s="31"/>
      <c r="O155" s="31"/>
    </row>
    <row r="156" spans="1:16" x14ac:dyDescent="0.15">
      <c r="A156" s="122">
        <v>1806</v>
      </c>
      <c r="B156" s="113">
        <v>17.947780000000002</v>
      </c>
      <c r="C156" s="113">
        <v>30.303450000000002</v>
      </c>
      <c r="D156" s="113"/>
      <c r="E156" s="113">
        <v>15.914285714285716</v>
      </c>
      <c r="F156" s="113"/>
      <c r="G156" s="113"/>
      <c r="H156" s="31"/>
      <c r="I156" s="71">
        <v>363.6115701285002</v>
      </c>
      <c r="J156" s="31">
        <f t="shared" si="9"/>
        <v>1145.3764459047757</v>
      </c>
      <c r="K156" s="31"/>
      <c r="L156" s="26">
        <f t="shared" si="10"/>
        <v>3.9174413059067188</v>
      </c>
      <c r="M156" s="31">
        <f t="shared" si="11"/>
        <v>6.614299191403</v>
      </c>
      <c r="N156" s="31"/>
      <c r="O156" s="31">
        <f t="shared" si="12"/>
        <v>3.4735928460870404</v>
      </c>
    </row>
    <row r="157" spans="1:16" x14ac:dyDescent="0.15">
      <c r="A157" s="122">
        <v>1807</v>
      </c>
      <c r="B157" s="113">
        <v>12.80603</v>
      </c>
      <c r="C157" s="113">
        <v>23.249780000000001</v>
      </c>
      <c r="D157" s="113"/>
      <c r="E157" s="113">
        <v>14.919642857142859</v>
      </c>
      <c r="F157" s="113"/>
      <c r="G157" s="113"/>
      <c r="H157" s="31"/>
      <c r="I157" s="71">
        <v>368.96272665116317</v>
      </c>
      <c r="J157" s="31">
        <f t="shared" si="9"/>
        <v>1162.232588951164</v>
      </c>
      <c r="K157" s="31"/>
      <c r="L157" s="26">
        <f t="shared" si="10"/>
        <v>2.754618593933202</v>
      </c>
      <c r="M157" s="31">
        <f t="shared" si="11"/>
        <v>5.0011030969673103</v>
      </c>
      <c r="N157" s="31"/>
      <c r="O157" s="31">
        <f t="shared" si="12"/>
        <v>3.2092635757630115</v>
      </c>
    </row>
    <row r="158" spans="1:16" x14ac:dyDescent="0.15">
      <c r="A158" s="122">
        <v>1808</v>
      </c>
      <c r="B158" s="113">
        <v>9.8220980000000004</v>
      </c>
      <c r="C158" s="113"/>
      <c r="D158" s="113"/>
      <c r="E158" s="113">
        <v>16.151894841269808</v>
      </c>
      <c r="F158" s="113"/>
      <c r="G158" s="113"/>
      <c r="H158" s="31"/>
      <c r="I158" s="71">
        <v>374.31388317382596</v>
      </c>
      <c r="J158" s="31">
        <f t="shared" si="9"/>
        <v>1179.0887319975518</v>
      </c>
      <c r="K158" s="31"/>
      <c r="L158" s="26">
        <f t="shared" si="10"/>
        <v>2.0825612469724617</v>
      </c>
      <c r="M158" s="71">
        <f>M157+((M159-M157)/2)</f>
        <v>6.3817222837397125</v>
      </c>
      <c r="N158" s="31"/>
      <c r="O158" s="31">
        <f t="shared" si="12"/>
        <v>3.4246563475138325</v>
      </c>
    </row>
    <row r="159" spans="1:16" x14ac:dyDescent="0.15">
      <c r="A159" s="122">
        <v>1809</v>
      </c>
      <c r="B159" s="113">
        <v>25.99333</v>
      </c>
      <c r="C159" s="113">
        <v>37.133330000000001</v>
      </c>
      <c r="D159" s="113"/>
      <c r="E159" s="113"/>
      <c r="F159" s="113"/>
      <c r="G159" s="113"/>
      <c r="H159" s="31"/>
      <c r="I159" s="71">
        <v>379.66503969648875</v>
      </c>
      <c r="J159" s="31">
        <f t="shared" si="9"/>
        <v>1195.9448750439394</v>
      </c>
      <c r="K159" s="31"/>
      <c r="L159" s="26">
        <f t="shared" si="10"/>
        <v>5.4336388203187456</v>
      </c>
      <c r="M159" s="31">
        <f t="shared" si="11"/>
        <v>7.7623414705121148</v>
      </c>
      <c r="N159" s="31"/>
      <c r="O159" s="31"/>
    </row>
    <row r="160" spans="1:16" x14ac:dyDescent="0.15">
      <c r="A160" s="122">
        <v>1810</v>
      </c>
      <c r="B160" s="113">
        <v>24.412269999999999</v>
      </c>
      <c r="C160" s="113">
        <v>28.850860000000001</v>
      </c>
      <c r="D160" s="113"/>
      <c r="E160" s="113"/>
      <c r="F160" s="113"/>
      <c r="G160" s="113"/>
      <c r="H160" s="31"/>
      <c r="I160" s="71">
        <v>385.0161962191516</v>
      </c>
      <c r="J160" s="31">
        <f t="shared" si="9"/>
        <v>1212.8010180903275</v>
      </c>
      <c r="K160" s="31"/>
      <c r="L160" s="26">
        <f t="shared" si="10"/>
        <v>5.032208424107254</v>
      </c>
      <c r="M160" s="31">
        <f t="shared" si="11"/>
        <v>5.9471544733340655</v>
      </c>
      <c r="N160" s="31"/>
      <c r="O160" s="31"/>
    </row>
    <row r="161" spans="1:17" x14ac:dyDescent="0.15">
      <c r="A161" s="122">
        <v>1811</v>
      </c>
      <c r="B161" s="113">
        <v>23.324369999999998</v>
      </c>
      <c r="C161" s="113">
        <v>29.155470000000001</v>
      </c>
      <c r="D161" s="113"/>
      <c r="E161" s="113"/>
      <c r="F161" s="113"/>
      <c r="G161" s="113"/>
      <c r="H161" s="31"/>
      <c r="I161" s="31">
        <v>390.36735274181444</v>
      </c>
      <c r="J161" s="31">
        <f t="shared" si="9"/>
        <v>1229.6571611367156</v>
      </c>
      <c r="K161" s="31"/>
      <c r="L161" s="26">
        <f t="shared" si="10"/>
        <v>4.7420473643317305</v>
      </c>
      <c r="M161" s="31">
        <f t="shared" si="11"/>
        <v>5.9275607302299198</v>
      </c>
      <c r="N161" s="31"/>
      <c r="O161" s="31"/>
    </row>
    <row r="162" spans="1:17" x14ac:dyDescent="0.15">
      <c r="A162" s="122">
        <v>1812</v>
      </c>
      <c r="B162" s="113"/>
      <c r="C162" s="113">
        <v>30.402920000000002</v>
      </c>
      <c r="D162" s="113"/>
      <c r="E162" s="113"/>
      <c r="F162" s="113"/>
      <c r="G162" s="113"/>
      <c r="H162" s="31"/>
      <c r="I162" s="31">
        <v>392.93592574984064</v>
      </c>
      <c r="J162" s="31">
        <f t="shared" si="9"/>
        <v>1237.748166111998</v>
      </c>
      <c r="K162" s="31"/>
      <c r="L162" s="71">
        <f>L161+((L163-L161)/2)</f>
        <v>4.1456385401267237</v>
      </c>
      <c r="M162" s="31">
        <f t="shared" si="11"/>
        <v>6.1407725804800313</v>
      </c>
      <c r="N162" s="31"/>
      <c r="O162" s="31"/>
      <c r="P162" s="31"/>
      <c r="Q162" s="31"/>
    </row>
    <row r="163" spans="1:17" x14ac:dyDescent="0.15">
      <c r="A163" s="122">
        <v>1813</v>
      </c>
      <c r="B163" s="113">
        <v>17.843820000000001</v>
      </c>
      <c r="C163" s="113">
        <v>28.082080000000001</v>
      </c>
      <c r="D163" s="113"/>
      <c r="E163" s="113">
        <v>14.918606770833374</v>
      </c>
      <c r="F163" s="113"/>
      <c r="G163" s="113"/>
      <c r="H163" s="31"/>
      <c r="I163" s="31">
        <v>399.00944819752726</v>
      </c>
      <c r="J163" s="31">
        <f t="shared" si="9"/>
        <v>1256.8797618222109</v>
      </c>
      <c r="K163" s="31"/>
      <c r="L163" s="26">
        <f t="shared" si="10"/>
        <v>3.5492297159217161</v>
      </c>
      <c r="M163" s="31">
        <f t="shared" si="11"/>
        <v>5.5856735172676544</v>
      </c>
      <c r="N163" s="31"/>
      <c r="O163" s="31">
        <f t="shared" si="12"/>
        <v>2.96738940827652</v>
      </c>
      <c r="P163" s="31"/>
      <c r="Q163" s="31"/>
    </row>
    <row r="164" spans="1:17" x14ac:dyDescent="0.15">
      <c r="A164" s="122">
        <v>1814</v>
      </c>
      <c r="B164" s="113"/>
      <c r="C164" s="113"/>
      <c r="D164" s="113"/>
      <c r="E164" s="113"/>
      <c r="F164" s="113"/>
      <c r="G164" s="113"/>
      <c r="H164" s="31"/>
      <c r="I164" s="31">
        <v>488.45410885145787</v>
      </c>
      <c r="J164" s="31">
        <f t="shared" si="9"/>
        <v>1538.6304428820922</v>
      </c>
      <c r="K164" s="31"/>
      <c r="L164" s="71">
        <f>L163+((L165-L163)/2)</f>
        <v>3.0114393519321716</v>
      </c>
      <c r="M164" s="71">
        <f>M163+((M165-M163)/2)</f>
        <v>4.3276419702831452</v>
      </c>
      <c r="N164" s="31"/>
      <c r="O164" s="31"/>
      <c r="P164" s="31"/>
      <c r="Q164" s="31"/>
    </row>
    <row r="165" spans="1:17" x14ac:dyDescent="0.15">
      <c r="A165" s="122">
        <v>1815</v>
      </c>
      <c r="B165" s="113">
        <v>11.72021</v>
      </c>
      <c r="C165" s="113">
        <v>14.543889999999999</v>
      </c>
      <c r="D165" s="113"/>
      <c r="E165" s="113">
        <v>6.2662500000000003</v>
      </c>
      <c r="F165" s="113"/>
      <c r="G165" s="113"/>
      <c r="H165" s="31"/>
      <c r="I165" s="31">
        <v>376.03370622079979</v>
      </c>
      <c r="J165" s="31">
        <f t="shared" si="9"/>
        <v>1184.5061745955193</v>
      </c>
      <c r="K165" s="31"/>
      <c r="L165" s="26">
        <f t="shared" si="10"/>
        <v>2.4736489879426276</v>
      </c>
      <c r="M165" s="31">
        <f t="shared" si="11"/>
        <v>3.0696104232986361</v>
      </c>
      <c r="N165" s="31"/>
      <c r="O165" s="31">
        <f t="shared" si="12"/>
        <v>1.3225448153826163</v>
      </c>
      <c r="P165" s="31"/>
      <c r="Q165" s="31"/>
    </row>
    <row r="166" spans="1:17" x14ac:dyDescent="0.15">
      <c r="A166" s="122">
        <v>1816</v>
      </c>
      <c r="B166" s="31">
        <v>13.61979</v>
      </c>
      <c r="C166" s="113">
        <v>21.79167</v>
      </c>
      <c r="D166" s="113">
        <v>16.34375</v>
      </c>
      <c r="E166" s="113"/>
      <c r="F166" s="113"/>
      <c r="G166" s="113"/>
      <c r="H166" s="31"/>
      <c r="I166" s="31">
        <v>287.8819412577792</v>
      </c>
      <c r="J166" s="31">
        <f t="shared" si="9"/>
        <v>906.82811496200452</v>
      </c>
      <c r="K166" s="31"/>
      <c r="L166" s="26">
        <f t="shared" si="10"/>
        <v>3.7547881939486021</v>
      </c>
      <c r="M166" s="31">
        <f t="shared" si="11"/>
        <v>6.0076627644349818</v>
      </c>
      <c r="N166" s="31">
        <f t="shared" si="14"/>
        <v>4.5057463841107284</v>
      </c>
      <c r="O166" s="31"/>
      <c r="P166" s="31"/>
      <c r="Q166" s="31"/>
    </row>
    <row r="167" spans="1:17" x14ac:dyDescent="0.15">
      <c r="A167" s="122">
        <v>1817</v>
      </c>
      <c r="B167" s="31">
        <v>11.57682</v>
      </c>
      <c r="C167" s="113">
        <v>18.522919999999999</v>
      </c>
      <c r="D167" s="113"/>
      <c r="E167" s="113"/>
      <c r="F167" s="113"/>
      <c r="G167" s="113"/>
      <c r="H167" s="31"/>
      <c r="I167" s="31">
        <v>309.19399301822489</v>
      </c>
      <c r="J167" s="31">
        <f t="shared" si="9"/>
        <v>973.96107800740833</v>
      </c>
      <c r="K167" s="31"/>
      <c r="L167" s="26">
        <f t="shared" si="10"/>
        <v>2.9715817863288225</v>
      </c>
      <c r="M167" s="31">
        <f t="shared" si="11"/>
        <v>4.7545329115962645</v>
      </c>
      <c r="N167" s="31"/>
      <c r="O167" s="31"/>
      <c r="P167" s="31"/>
      <c r="Q167" s="31"/>
    </row>
    <row r="168" spans="1:17" x14ac:dyDescent="0.15">
      <c r="A168" s="122">
        <v>1818</v>
      </c>
      <c r="B168" s="113">
        <v>13.72875</v>
      </c>
      <c r="C168" s="113">
        <v>27.4575</v>
      </c>
      <c r="D168" s="113"/>
      <c r="E168" s="113"/>
      <c r="F168" s="113"/>
      <c r="G168" s="113"/>
      <c r="H168" s="31"/>
      <c r="I168" s="31">
        <v>477.01633872554788</v>
      </c>
      <c r="J168" s="31">
        <f t="shared" si="9"/>
        <v>1502.6014669854758</v>
      </c>
      <c r="K168" s="31"/>
      <c r="L168" s="26">
        <f t="shared" si="10"/>
        <v>2.2841635492913941</v>
      </c>
      <c r="M168" s="31">
        <f t="shared" si="11"/>
        <v>4.5683270985827882</v>
      </c>
      <c r="N168" s="31"/>
      <c r="O168" s="31"/>
      <c r="P168" s="31"/>
      <c r="Q168" s="31"/>
    </row>
    <row r="169" spans="1:17" x14ac:dyDescent="0.15">
      <c r="A169" s="122">
        <v>1819</v>
      </c>
      <c r="B169" s="113">
        <v>9.6010880000000007</v>
      </c>
      <c r="C169" s="113">
        <v>25.859439999999999</v>
      </c>
      <c r="D169" s="113"/>
      <c r="E169" s="113"/>
      <c r="F169" s="113"/>
      <c r="G169" s="113"/>
      <c r="H169" s="31"/>
      <c r="I169" s="31">
        <v>483.83694060286081</v>
      </c>
      <c r="J169" s="31">
        <f t="shared" si="9"/>
        <v>1524.0863628990114</v>
      </c>
      <c r="K169" s="31"/>
      <c r="L169" s="26">
        <f t="shared" si="10"/>
        <v>1.5748923803992114</v>
      </c>
      <c r="M169" s="31">
        <f t="shared" si="11"/>
        <v>4.2417937443538243</v>
      </c>
      <c r="N169" s="31"/>
      <c r="O169" s="31"/>
      <c r="P169" s="31"/>
      <c r="Q169" s="31"/>
    </row>
    <row r="170" spans="1:17" x14ac:dyDescent="0.15">
      <c r="A170" s="122">
        <v>1820</v>
      </c>
      <c r="B170" s="113">
        <v>9.7250759999999996</v>
      </c>
      <c r="C170" s="113">
        <v>21.737189999999998</v>
      </c>
      <c r="D170" s="113"/>
      <c r="E170" s="113"/>
      <c r="F170" s="113"/>
      <c r="G170" s="113"/>
      <c r="H170" s="31"/>
      <c r="I170" s="31">
        <v>291.8272124738387</v>
      </c>
      <c r="J170" s="31">
        <f t="shared" si="9"/>
        <v>919.25571929259183</v>
      </c>
      <c r="K170" s="31"/>
      <c r="L170" s="26">
        <f t="shared" si="10"/>
        <v>2.6448233597839015</v>
      </c>
      <c r="M170" s="31">
        <f t="shared" si="11"/>
        <v>5.9116276199858007</v>
      </c>
      <c r="N170" s="31"/>
      <c r="O170" s="31"/>
      <c r="P170" s="31"/>
      <c r="Q170" s="31"/>
    </row>
    <row r="171" spans="1:17" x14ac:dyDescent="0.15">
      <c r="A171" s="122">
        <v>1821</v>
      </c>
      <c r="B171" s="113">
        <v>7.562227</v>
      </c>
      <c r="C171" s="113">
        <v>25.27833</v>
      </c>
      <c r="D171" s="113"/>
      <c r="E171" s="113"/>
      <c r="F171" s="113"/>
      <c r="G171" s="113"/>
      <c r="H171" s="31"/>
      <c r="I171" s="31">
        <v>489.32600918540578</v>
      </c>
      <c r="J171" s="31">
        <f t="shared" si="9"/>
        <v>1541.3769289340282</v>
      </c>
      <c r="K171" s="31"/>
      <c r="L171" s="26">
        <f t="shared" si="10"/>
        <v>1.2265375940896264</v>
      </c>
      <c r="M171" s="31">
        <f t="shared" si="11"/>
        <v>4.0999591867321135</v>
      </c>
      <c r="N171" s="31"/>
      <c r="O171" s="31"/>
      <c r="P171" s="31"/>
      <c r="Q171" s="31"/>
    </row>
    <row r="172" spans="1:17" x14ac:dyDescent="0.15">
      <c r="A172" s="122">
        <v>1822</v>
      </c>
      <c r="B172" s="113">
        <v>14.005039999999999</v>
      </c>
      <c r="C172" s="113"/>
      <c r="D172" s="113"/>
      <c r="E172" s="113">
        <v>7.1601190476190464</v>
      </c>
      <c r="F172" s="113"/>
      <c r="G172" s="113"/>
      <c r="H172" s="31"/>
      <c r="I172" s="31">
        <v>509.64518551234784</v>
      </c>
      <c r="J172" s="31">
        <f t="shared" si="9"/>
        <v>1605.3823343638956</v>
      </c>
      <c r="K172" s="31"/>
      <c r="L172" s="26">
        <f t="shared" si="10"/>
        <v>2.180950870739033</v>
      </c>
      <c r="M172" s="71">
        <f>M171+((M173-M171)/2)</f>
        <v>5.0829273849291994</v>
      </c>
      <c r="N172" s="31"/>
      <c r="O172" s="31">
        <f t="shared" si="12"/>
        <v>1.1150177272967374</v>
      </c>
      <c r="P172" s="31"/>
      <c r="Q172" s="31"/>
    </row>
    <row r="173" spans="1:17" x14ac:dyDescent="0.15">
      <c r="A173" s="122">
        <v>1823</v>
      </c>
      <c r="B173" s="113">
        <v>10.937340000000001</v>
      </c>
      <c r="C173" s="113">
        <v>21.992349999999998</v>
      </c>
      <c r="D173" s="113"/>
      <c r="E173" s="113"/>
      <c r="F173" s="113"/>
      <c r="G173" s="113">
        <v>2.3348214285714284</v>
      </c>
      <c r="H173" s="31"/>
      <c r="I173" s="31">
        <v>287.74392490861732</v>
      </c>
      <c r="J173" s="31">
        <f t="shared" si="9"/>
        <v>906.39336346214452</v>
      </c>
      <c r="K173" s="31"/>
      <c r="L173" s="26">
        <f t="shared" si="10"/>
        <v>3.0167200138752994</v>
      </c>
      <c r="M173" s="31">
        <f t="shared" si="11"/>
        <v>6.0658955831262844</v>
      </c>
      <c r="N173" s="31"/>
      <c r="O173" s="31"/>
      <c r="P173" s="31"/>
      <c r="Q173" s="31">
        <f t="shared" ref="Q173:Q180" si="15">G173*250/J173</f>
        <v>0.64398679499735278</v>
      </c>
    </row>
    <row r="174" spans="1:17" x14ac:dyDescent="0.15">
      <c r="A174" s="122">
        <v>1824</v>
      </c>
      <c r="B174" s="113">
        <v>10.197979999999999</v>
      </c>
      <c r="C174" s="113">
        <v>22.7379</v>
      </c>
      <c r="D174" s="113">
        <v>5.9927083333333355</v>
      </c>
      <c r="E174" s="113">
        <v>5.763549933862433</v>
      </c>
      <c r="F174" s="113"/>
      <c r="G174" s="113">
        <v>4.903125000000002</v>
      </c>
      <c r="H174" s="31"/>
      <c r="I174" s="31">
        <v>312.17467490232679</v>
      </c>
      <c r="J174" s="31">
        <f t="shared" si="9"/>
        <v>983.3502259423293</v>
      </c>
      <c r="K174" s="31"/>
      <c r="L174" s="26">
        <f t="shared" si="10"/>
        <v>2.5926622405123854</v>
      </c>
      <c r="M174" s="31">
        <f t="shared" si="11"/>
        <v>5.7807227272995805</v>
      </c>
      <c r="N174" s="31">
        <f t="shared" si="14"/>
        <v>1.5235437424114628</v>
      </c>
      <c r="O174" s="31">
        <f t="shared" si="12"/>
        <v>1.4652841332139097</v>
      </c>
      <c r="P174" s="31"/>
      <c r="Q174" s="31">
        <f t="shared" si="15"/>
        <v>1.2465357892457423</v>
      </c>
    </row>
    <row r="175" spans="1:17" x14ac:dyDescent="0.15">
      <c r="A175" s="122">
        <v>1825</v>
      </c>
      <c r="B175" s="77">
        <v>4.6696429999999998</v>
      </c>
      <c r="C175" s="113">
        <v>19.612500000000001</v>
      </c>
      <c r="D175" s="113">
        <v>6.8643749999999999</v>
      </c>
      <c r="E175" s="113"/>
      <c r="F175" s="113"/>
      <c r="G175" s="113"/>
      <c r="H175" s="31"/>
      <c r="I175" s="31">
        <v>282.10835266249404</v>
      </c>
      <c r="J175" s="31">
        <f t="shared" si="9"/>
        <v>888.64131088685622</v>
      </c>
      <c r="K175" s="31"/>
      <c r="L175" s="26">
        <f t="shared" si="10"/>
        <v>1.313702993207613</v>
      </c>
      <c r="M175" s="31">
        <f t="shared" si="11"/>
        <v>5.5175524026749603</v>
      </c>
      <c r="N175" s="31">
        <f t="shared" si="14"/>
        <v>1.9311433409362362</v>
      </c>
      <c r="O175" s="31"/>
      <c r="P175" s="31"/>
      <c r="Q175" s="31"/>
    </row>
    <row r="176" spans="1:17" x14ac:dyDescent="0.15">
      <c r="A176" s="122">
        <v>1826</v>
      </c>
      <c r="B176" s="113">
        <v>8.3119639999999997</v>
      </c>
      <c r="C176" s="113">
        <v>23.142749999999999</v>
      </c>
      <c r="D176" s="113"/>
      <c r="E176" s="113">
        <v>8.7789285714285707</v>
      </c>
      <c r="F176" s="113">
        <v>11.767499999999998</v>
      </c>
      <c r="G176" s="113"/>
      <c r="H176" s="31"/>
      <c r="I176" s="31">
        <v>449.61743967924508</v>
      </c>
      <c r="J176" s="31">
        <f t="shared" si="9"/>
        <v>1416.2949349896219</v>
      </c>
      <c r="K176" s="31"/>
      <c r="L176" s="26">
        <f t="shared" si="10"/>
        <v>1.467202168604258</v>
      </c>
      <c r="M176" s="31">
        <f t="shared" si="11"/>
        <v>4.0850866278374394</v>
      </c>
      <c r="N176" s="31"/>
      <c r="O176" s="31">
        <f t="shared" si="12"/>
        <v>1.5496293099948317</v>
      </c>
      <c r="P176" s="31">
        <f t="shared" si="13"/>
        <v>2.0771626921207318</v>
      </c>
      <c r="Q176" s="31"/>
    </row>
    <row r="177" spans="1:17" x14ac:dyDescent="0.15">
      <c r="A177" s="122">
        <v>1827</v>
      </c>
      <c r="B177" s="113">
        <v>9.401548</v>
      </c>
      <c r="C177" s="113">
        <v>20.396999999999998</v>
      </c>
      <c r="D177" s="113"/>
      <c r="E177" s="113">
        <v>10.786875</v>
      </c>
      <c r="F177" s="113"/>
      <c r="G177" s="113">
        <v>1.7433333333333332</v>
      </c>
      <c r="H177" s="31"/>
      <c r="I177" s="31">
        <v>324.77072367368271</v>
      </c>
      <c r="J177" s="31">
        <f t="shared" si="9"/>
        <v>1023.0277795721005</v>
      </c>
      <c r="K177" s="31"/>
      <c r="L177" s="26">
        <f t="shared" si="10"/>
        <v>2.2974811113957152</v>
      </c>
      <c r="M177" s="31">
        <f t="shared" si="11"/>
        <v>4.9844687522882829</v>
      </c>
      <c r="N177" s="31"/>
      <c r="O177" s="31">
        <f t="shared" si="12"/>
        <v>2.6360171286139957</v>
      </c>
      <c r="P177" s="31"/>
      <c r="Q177" s="31">
        <f t="shared" si="15"/>
        <v>0.4260229702810498</v>
      </c>
    </row>
    <row r="178" spans="1:17" x14ac:dyDescent="0.15">
      <c r="A178" s="122">
        <v>1828</v>
      </c>
      <c r="B178" s="113">
        <v>9.306324</v>
      </c>
      <c r="C178" s="113">
        <v>26.15</v>
      </c>
      <c r="D178" s="113"/>
      <c r="E178" s="113"/>
      <c r="F178" s="113"/>
      <c r="G178" s="113">
        <v>2.25936</v>
      </c>
      <c r="H178" s="31"/>
      <c r="I178" s="31">
        <v>238.09907573750513</v>
      </c>
      <c r="J178" s="31">
        <f t="shared" si="9"/>
        <v>750.01208857314111</v>
      </c>
      <c r="K178" s="31"/>
      <c r="L178" s="26">
        <f t="shared" si="10"/>
        <v>3.1020580007266272</v>
      </c>
      <c r="M178" s="31">
        <f t="shared" si="11"/>
        <v>8.7165261728477645</v>
      </c>
      <c r="N178" s="31"/>
      <c r="O178" s="31"/>
      <c r="P178" s="31"/>
      <c r="Q178" s="31">
        <f t="shared" si="15"/>
        <v>0.75310786133404684</v>
      </c>
    </row>
    <row r="179" spans="1:17" x14ac:dyDescent="0.15">
      <c r="A179" s="122">
        <v>1829</v>
      </c>
      <c r="B179" s="113">
        <v>13.791510000000001</v>
      </c>
      <c r="C179" s="113">
        <v>20.737200000000001</v>
      </c>
      <c r="D179" s="113"/>
      <c r="E179" s="113"/>
      <c r="F179" s="113"/>
      <c r="G179" s="113"/>
      <c r="H179" s="31"/>
      <c r="I179" s="31">
        <v>301.66541026434732</v>
      </c>
      <c r="J179" s="31">
        <f t="shared" si="9"/>
        <v>950.24604233269406</v>
      </c>
      <c r="K179" s="31"/>
      <c r="L179" s="26">
        <f t="shared" si="10"/>
        <v>3.6284050092290214</v>
      </c>
      <c r="M179" s="31">
        <f t="shared" si="11"/>
        <v>5.4557449008400143</v>
      </c>
      <c r="N179" s="31"/>
      <c r="O179" s="31"/>
      <c r="P179" s="31"/>
      <c r="Q179" s="31"/>
    </row>
    <row r="180" spans="1:17" x14ac:dyDescent="0.15">
      <c r="A180" s="122">
        <v>1830</v>
      </c>
      <c r="B180" s="113"/>
      <c r="C180" s="113"/>
      <c r="D180" s="113"/>
      <c r="E180" s="113">
        <v>6.1016666666666666</v>
      </c>
      <c r="F180" s="113">
        <v>13.587938585377801</v>
      </c>
      <c r="G180" s="113">
        <v>1.9612499999999997</v>
      </c>
      <c r="H180" s="31"/>
      <c r="I180" s="31">
        <v>354.94431781372714</v>
      </c>
      <c r="J180" s="31">
        <f t="shared" si="9"/>
        <v>1118.0746011132405</v>
      </c>
      <c r="K180" s="31"/>
      <c r="L180" s="71"/>
      <c r="M180" s="71"/>
      <c r="N180" s="31"/>
      <c r="O180" s="31">
        <f t="shared" si="12"/>
        <v>1.3643245854505999</v>
      </c>
      <c r="P180" s="31">
        <f>F180*250/J180</f>
        <v>3.0382450714488574</v>
      </c>
      <c r="Q180" s="31">
        <f t="shared" si="15"/>
        <v>0.4385329024662642</v>
      </c>
    </row>
    <row r="181" spans="1:17" x14ac:dyDescent="0.15">
      <c r="A181" s="122">
        <v>1831</v>
      </c>
      <c r="B181" s="113"/>
      <c r="C181" s="113"/>
      <c r="D181" s="113"/>
      <c r="E181" s="113"/>
      <c r="F181" s="113"/>
      <c r="G181" s="113"/>
      <c r="H181" s="31"/>
      <c r="I181" s="31">
        <v>287.18371734748501</v>
      </c>
      <c r="J181" s="31">
        <f t="shared" si="9"/>
        <v>904.62870964457773</v>
      </c>
      <c r="K181" s="31"/>
      <c r="L181" s="71"/>
      <c r="M181" s="71"/>
      <c r="N181" s="31"/>
      <c r="O181" s="31"/>
      <c r="P181" s="31"/>
      <c r="Q181" s="31"/>
    </row>
    <row r="182" spans="1:17" x14ac:dyDescent="0.15">
      <c r="A182" s="122">
        <v>1832</v>
      </c>
      <c r="B182" s="113"/>
      <c r="C182" s="113"/>
      <c r="D182" s="113"/>
      <c r="E182" s="113"/>
      <c r="F182" s="113"/>
      <c r="G182" s="113"/>
      <c r="H182" s="31"/>
      <c r="I182" s="31">
        <v>281.74720856515592</v>
      </c>
      <c r="J182" s="31">
        <f t="shared" si="9"/>
        <v>887.50370698024108</v>
      </c>
      <c r="K182" s="31"/>
      <c r="L182" s="71"/>
      <c r="M182" s="71"/>
      <c r="N182" s="31"/>
      <c r="O182" s="31"/>
      <c r="P182" s="31"/>
      <c r="Q182" s="31"/>
    </row>
    <row r="183" spans="1:17" x14ac:dyDescent="0.15">
      <c r="A183" s="122">
        <v>1833</v>
      </c>
      <c r="B183" s="113"/>
      <c r="C183" s="113"/>
      <c r="D183" s="113"/>
      <c r="E183" s="113"/>
      <c r="F183" s="113"/>
      <c r="G183" s="113"/>
      <c r="H183" s="31"/>
      <c r="I183" s="31">
        <v>246.35981499199318</v>
      </c>
      <c r="J183" s="31">
        <f t="shared" si="9"/>
        <v>776.03341722477853</v>
      </c>
      <c r="K183" s="31"/>
      <c r="L183" s="71"/>
      <c r="M183" s="71"/>
      <c r="N183" s="31"/>
      <c r="O183" s="31"/>
      <c r="P183" s="31"/>
      <c r="Q183" s="31"/>
    </row>
    <row r="184" spans="1:17" x14ac:dyDescent="0.15">
      <c r="A184" s="122">
        <v>1834</v>
      </c>
      <c r="B184" s="113"/>
      <c r="C184" s="113"/>
      <c r="D184" s="113"/>
      <c r="E184" s="113"/>
      <c r="F184" s="113"/>
      <c r="G184" s="113"/>
      <c r="H184" s="31"/>
      <c r="I184" s="31">
        <v>203.16043813027116</v>
      </c>
      <c r="J184" s="31">
        <f t="shared" si="9"/>
        <v>639.9553801103541</v>
      </c>
      <c r="K184" s="31"/>
      <c r="L184" s="71"/>
      <c r="M184" s="71"/>
      <c r="N184" s="31"/>
      <c r="O184" s="31"/>
      <c r="P184" s="31"/>
      <c r="Q184" s="31"/>
    </row>
    <row r="185" spans="1:17" x14ac:dyDescent="0.15">
      <c r="A185" s="122">
        <v>1835</v>
      </c>
      <c r="B185" s="113"/>
      <c r="C185" s="113"/>
      <c r="D185" s="113"/>
      <c r="E185" s="113"/>
      <c r="F185" s="113"/>
      <c r="G185" s="113"/>
      <c r="H185" s="31"/>
      <c r="I185" s="31">
        <v>255.03073650695612</v>
      </c>
      <c r="J185" s="31">
        <f t="shared" si="9"/>
        <v>803.34681999691179</v>
      </c>
      <c r="K185" s="31"/>
      <c r="L185" s="71"/>
      <c r="M185" s="71"/>
      <c r="N185" s="31"/>
      <c r="O185" s="31"/>
      <c r="P185" s="31"/>
      <c r="Q185" s="31"/>
    </row>
    <row r="186" spans="1:17" x14ac:dyDescent="0.15">
      <c r="A186" s="122">
        <v>1836</v>
      </c>
      <c r="B186" s="113"/>
      <c r="C186" s="113"/>
      <c r="D186" s="113"/>
      <c r="E186" s="113"/>
      <c r="F186" s="113"/>
      <c r="G186" s="113"/>
      <c r="H186" s="31"/>
      <c r="I186" s="31">
        <v>334.48297685787065</v>
      </c>
      <c r="J186" s="31">
        <f t="shared" si="9"/>
        <v>1053.6213771022926</v>
      </c>
      <c r="K186" s="31"/>
      <c r="L186" s="71"/>
      <c r="M186" s="71"/>
      <c r="N186" s="31"/>
      <c r="O186" s="31"/>
      <c r="P186" s="31"/>
      <c r="Q186" s="31"/>
    </row>
    <row r="187" spans="1:17" x14ac:dyDescent="0.15">
      <c r="A187" s="122">
        <v>1837</v>
      </c>
      <c r="B187" s="113">
        <v>13.726101</v>
      </c>
      <c r="C187" s="113">
        <v>28.765000000000001</v>
      </c>
      <c r="D187" s="113">
        <v>12.452380952380953</v>
      </c>
      <c r="E187" s="113"/>
      <c r="F187" s="113"/>
      <c r="G187" s="113"/>
      <c r="H187" s="31"/>
      <c r="I187" s="31">
        <v>378.08932381684792</v>
      </c>
      <c r="J187" s="31">
        <f t="shared" si="9"/>
        <v>1190.9813700230709</v>
      </c>
      <c r="K187" s="31"/>
      <c r="L187" s="26">
        <f t="shared" si="10"/>
        <v>2.8812585455753408</v>
      </c>
      <c r="M187" s="31">
        <f t="shared" si="11"/>
        <v>6.0380877325232181</v>
      </c>
      <c r="N187" s="31">
        <f t="shared" si="14"/>
        <v>2.6138907933000946</v>
      </c>
      <c r="O187" s="31"/>
      <c r="P187" s="31"/>
      <c r="Q187" s="31"/>
    </row>
    <row r="188" spans="1:17" x14ac:dyDescent="0.15">
      <c r="A188" s="122">
        <v>1838</v>
      </c>
      <c r="B188" s="113">
        <v>11.231587124999999</v>
      </c>
      <c r="C188" s="113">
        <v>21.900624999999998</v>
      </c>
      <c r="D188" s="113">
        <v>9.8373809523809506</v>
      </c>
      <c r="E188" s="113"/>
      <c r="F188" s="113"/>
      <c r="G188" s="113"/>
      <c r="H188" s="31"/>
      <c r="I188" s="31">
        <v>390.80204692754739</v>
      </c>
      <c r="J188" s="31">
        <f t="shared" si="9"/>
        <v>1231.0264478217744</v>
      </c>
      <c r="K188" s="31"/>
      <c r="L188" s="26">
        <f>(B188*250)/J188</f>
        <v>2.2809394438424944</v>
      </c>
      <c r="M188" s="31">
        <f t="shared" si="11"/>
        <v>4.4476349469891172</v>
      </c>
      <c r="N188" s="31">
        <f t="shared" si="14"/>
        <v>1.9978004879155098</v>
      </c>
      <c r="O188" s="31"/>
      <c r="P188" s="31"/>
      <c r="Q188" s="31"/>
    </row>
    <row r="189" spans="1:17" x14ac:dyDescent="0.15">
      <c r="A189" s="122">
        <v>1839</v>
      </c>
      <c r="B189" s="113">
        <v>12.77581</v>
      </c>
      <c r="C189" s="113">
        <v>26.15</v>
      </c>
      <c r="D189" s="113">
        <v>14.942857142857143</v>
      </c>
      <c r="E189" s="113"/>
      <c r="F189" s="113"/>
      <c r="G189" s="113"/>
      <c r="H189" s="31"/>
      <c r="I189" s="31">
        <v>599.71279278546751</v>
      </c>
      <c r="J189" s="31">
        <f t="shared" si="9"/>
        <v>1889.0952972742225</v>
      </c>
      <c r="K189" s="31"/>
      <c r="L189" s="26">
        <f t="shared" si="10"/>
        <v>1.6907312747051761</v>
      </c>
      <c r="M189" s="31">
        <f t="shared" si="11"/>
        <v>3.4606512490042007</v>
      </c>
      <c r="N189" s="31">
        <f t="shared" si="14"/>
        <v>1.977514999430972</v>
      </c>
      <c r="O189" s="31"/>
      <c r="P189" s="31"/>
      <c r="Q189" s="31"/>
    </row>
    <row r="190" spans="1:17" x14ac:dyDescent="0.15">
      <c r="A190" s="122">
        <v>1840</v>
      </c>
      <c r="B190" s="113">
        <v>13.2509555</v>
      </c>
      <c r="C190" s="113">
        <v>27.4575</v>
      </c>
      <c r="D190" s="113">
        <v>14.942857142857143</v>
      </c>
      <c r="E190" s="113"/>
      <c r="F190" s="113"/>
      <c r="G190" s="113"/>
      <c r="H190" s="31"/>
      <c r="I190" s="31">
        <v>522.32169450845743</v>
      </c>
      <c r="J190" s="31">
        <f t="shared" si="9"/>
        <v>1645.3133377016409</v>
      </c>
      <c r="K190" s="31"/>
      <c r="L190" s="26">
        <f t="shared" si="10"/>
        <v>2.0134395066824213</v>
      </c>
      <c r="M190" s="31">
        <f t="shared" si="11"/>
        <v>4.1720776478898136</v>
      </c>
      <c r="N190" s="31">
        <f t="shared" si="14"/>
        <v>2.2705184478311908</v>
      </c>
      <c r="O190" s="31"/>
      <c r="P190" s="31"/>
      <c r="Q190" s="31"/>
    </row>
    <row r="191" spans="1:17" x14ac:dyDescent="0.15">
      <c r="A191" s="122">
        <v>1841</v>
      </c>
      <c r="B191" s="113">
        <v>12.3006645</v>
      </c>
      <c r="C191" s="113">
        <v>24.842500000000001</v>
      </c>
      <c r="D191" s="113">
        <v>13.074999999999999</v>
      </c>
      <c r="E191" s="113"/>
      <c r="F191" s="113"/>
      <c r="G191" s="113"/>
      <c r="H191" s="31"/>
      <c r="I191" s="31">
        <v>340.64403416835682</v>
      </c>
      <c r="J191" s="31">
        <f t="shared" si="9"/>
        <v>1073.0287076303239</v>
      </c>
      <c r="K191" s="31"/>
      <c r="L191" s="26">
        <f t="shared" si="10"/>
        <v>2.8658749790499041</v>
      </c>
      <c r="M191" s="31">
        <f t="shared" si="11"/>
        <v>5.7879392749104932</v>
      </c>
      <c r="N191" s="31">
        <f t="shared" si="14"/>
        <v>3.0462838289002594</v>
      </c>
      <c r="O191" s="31"/>
      <c r="P191" s="31"/>
      <c r="Q191" s="31"/>
    </row>
    <row r="192" spans="1:17" x14ac:dyDescent="0.15">
      <c r="A192" s="122">
        <v>1842</v>
      </c>
      <c r="B192" s="113">
        <v>13.2509555</v>
      </c>
      <c r="C192" s="113">
        <v>27.4575</v>
      </c>
      <c r="D192" s="113">
        <v>12.950476190476191</v>
      </c>
      <c r="E192" s="113"/>
      <c r="F192" s="113"/>
      <c r="G192" s="113"/>
      <c r="H192" s="31"/>
      <c r="I192" s="31">
        <v>357.08702148415182</v>
      </c>
      <c r="J192" s="31">
        <f t="shared" si="9"/>
        <v>1124.8241176750782</v>
      </c>
      <c r="K192" s="31"/>
      <c r="L192" s="26">
        <f t="shared" si="10"/>
        <v>2.9451172169451407</v>
      </c>
      <c r="M192" s="31">
        <f t="shared" si="11"/>
        <v>6.1026207494449141</v>
      </c>
      <c r="N192" s="31">
        <f t="shared" si="14"/>
        <v>2.8783335961100729</v>
      </c>
      <c r="O192" s="31"/>
      <c r="P192" s="31"/>
      <c r="Q192" s="31"/>
    </row>
    <row r="193" spans="1:17" x14ac:dyDescent="0.15">
      <c r="A193" s="122">
        <v>1843</v>
      </c>
      <c r="B193" s="113">
        <v>13.2509555</v>
      </c>
      <c r="C193" s="113">
        <v>27.4575</v>
      </c>
      <c r="D193" s="113">
        <v>13.074999999999999</v>
      </c>
      <c r="E193" s="113"/>
      <c r="F193" s="113"/>
      <c r="G193" s="113"/>
      <c r="H193" s="31"/>
      <c r="I193" s="31">
        <v>353.92885334571434</v>
      </c>
      <c r="J193" s="31">
        <f t="shared" si="9"/>
        <v>1114.8758880390001</v>
      </c>
      <c r="K193" s="31"/>
      <c r="L193" s="26">
        <f t="shared" si="10"/>
        <v>2.9713970052997642</v>
      </c>
      <c r="M193" s="31">
        <f t="shared" si="11"/>
        <v>6.1570754858408723</v>
      </c>
      <c r="N193" s="31">
        <f t="shared" si="14"/>
        <v>2.9319407075432724</v>
      </c>
      <c r="O193" s="31"/>
      <c r="P193" s="31"/>
      <c r="Q193" s="31"/>
    </row>
    <row r="194" spans="1:17" x14ac:dyDescent="0.15">
      <c r="A194" s="122">
        <v>1844</v>
      </c>
      <c r="B194" s="113">
        <v>13.2509555</v>
      </c>
      <c r="C194" s="113">
        <v>27.4575</v>
      </c>
      <c r="D194" s="113">
        <v>10.89583333333333</v>
      </c>
      <c r="E194" s="113"/>
      <c r="F194" s="113"/>
      <c r="G194" s="113"/>
      <c r="H194" s="31"/>
      <c r="I194" s="31">
        <v>285.13432427235887</v>
      </c>
      <c r="J194" s="31">
        <f t="shared" si="9"/>
        <v>898.17312145793039</v>
      </c>
      <c r="K194" s="31"/>
      <c r="L194" s="26">
        <f t="shared" si="10"/>
        <v>3.6883077391836263</v>
      </c>
      <c r="M194" s="31">
        <f t="shared" si="11"/>
        <v>7.6425967733899967</v>
      </c>
      <c r="N194" s="31">
        <f t="shared" si="14"/>
        <v>3.032776497376982</v>
      </c>
      <c r="O194" s="31"/>
      <c r="P194" s="31"/>
      <c r="Q194" s="31"/>
    </row>
    <row r="195" spans="1:17" x14ac:dyDescent="0.15">
      <c r="A195" s="122">
        <v>1845</v>
      </c>
      <c r="B195" s="113">
        <v>13.2509555</v>
      </c>
      <c r="C195" s="113">
        <v>27.4575</v>
      </c>
      <c r="D195" s="113">
        <v>10.89583333333333</v>
      </c>
      <c r="E195" s="113"/>
      <c r="F195" s="113"/>
      <c r="G195" s="113"/>
      <c r="H195" s="31"/>
      <c r="I195" s="31">
        <v>323.29115555065846</v>
      </c>
      <c r="J195" s="31">
        <f t="shared" si="9"/>
        <v>1018.3671399845741</v>
      </c>
      <c r="K195" s="31"/>
      <c r="L195" s="26">
        <f t="shared" si="10"/>
        <v>3.2529907387331649</v>
      </c>
      <c r="M195" s="31">
        <f t="shared" si="11"/>
        <v>6.7405700071037042</v>
      </c>
      <c r="N195" s="31">
        <f t="shared" si="14"/>
        <v>2.6748293678982948</v>
      </c>
      <c r="O195" s="31"/>
      <c r="P195" s="31"/>
      <c r="Q195" s="31"/>
    </row>
    <row r="196" spans="1:17" x14ac:dyDescent="0.15">
      <c r="A196" s="122">
        <v>1846</v>
      </c>
      <c r="B196" s="113">
        <v>10.633822434101585</v>
      </c>
      <c r="C196" s="113">
        <v>20.25570290066479</v>
      </c>
      <c r="D196" s="113">
        <v>11.340890652557318</v>
      </c>
      <c r="E196" s="113"/>
      <c r="F196" s="113"/>
      <c r="G196" s="113"/>
      <c r="H196" s="31"/>
      <c r="I196" s="31">
        <v>381.84749288228289</v>
      </c>
      <c r="J196" s="31">
        <f t="shared" ref="J196:J259" si="16">I196*3.15</f>
        <v>1202.819602579191</v>
      </c>
      <c r="K196" s="31"/>
      <c r="L196" s="26">
        <f t="shared" ref="L196:L259" si="17">(B196*250)/J196</f>
        <v>2.2101864675508307</v>
      </c>
      <c r="M196" s="31">
        <f t="shared" ref="M196:M259" si="18">C196*250/J196</f>
        <v>4.2100458907617444</v>
      </c>
      <c r="N196" s="31">
        <f t="shared" si="14"/>
        <v>2.3571470377268522</v>
      </c>
      <c r="O196" s="31"/>
      <c r="P196" s="31"/>
      <c r="Q196" s="31"/>
    </row>
    <row r="197" spans="1:17" x14ac:dyDescent="0.15">
      <c r="A197" s="122">
        <v>1847</v>
      </c>
      <c r="B197" s="113">
        <v>10.633822434101585</v>
      </c>
      <c r="C197" s="113">
        <v>20.25570290066479</v>
      </c>
      <c r="D197" s="113">
        <v>11.785947971781304</v>
      </c>
      <c r="E197" s="113"/>
      <c r="F197" s="113"/>
      <c r="G197" s="113"/>
      <c r="H197" s="31"/>
      <c r="I197" s="31">
        <v>386.57640884826299</v>
      </c>
      <c r="J197" s="31">
        <f t="shared" si="16"/>
        <v>1217.7156878720284</v>
      </c>
      <c r="K197" s="31"/>
      <c r="L197" s="26">
        <f t="shared" si="17"/>
        <v>2.1831496752506134</v>
      </c>
      <c r="M197" s="31">
        <f t="shared" si="18"/>
        <v>4.1585451970446927</v>
      </c>
      <c r="N197" s="31">
        <f t="shared" si="14"/>
        <v>2.4196838574810058</v>
      </c>
      <c r="O197" s="31"/>
      <c r="P197" s="31"/>
      <c r="Q197" s="31"/>
    </row>
    <row r="198" spans="1:17" x14ac:dyDescent="0.15">
      <c r="A198" s="122">
        <v>1848</v>
      </c>
      <c r="B198" s="113">
        <v>10.633822434101585</v>
      </c>
      <c r="C198" s="113">
        <v>20.25570290066479</v>
      </c>
      <c r="D198" s="113">
        <v>12.231005291005291</v>
      </c>
      <c r="E198" s="113"/>
      <c r="F198" s="113"/>
      <c r="G198" s="113"/>
      <c r="H198" s="31"/>
      <c r="I198" s="31">
        <v>332.30130260534861</v>
      </c>
      <c r="J198" s="31">
        <f t="shared" si="16"/>
        <v>1046.7491032068481</v>
      </c>
      <c r="K198" s="31"/>
      <c r="L198" s="26">
        <f t="shared" si="17"/>
        <v>2.5397257092276284</v>
      </c>
      <c r="M198" s="31">
        <f t="shared" si="18"/>
        <v>4.8377645699931549</v>
      </c>
      <c r="N198" s="31">
        <f t="shared" si="14"/>
        <v>2.9211883854340219</v>
      </c>
      <c r="O198" s="31"/>
      <c r="P198" s="31"/>
      <c r="Q198" s="31"/>
    </row>
    <row r="199" spans="1:17" x14ac:dyDescent="0.15">
      <c r="A199" s="122">
        <v>1849</v>
      </c>
      <c r="B199" s="113">
        <v>10.633822434101585</v>
      </c>
      <c r="C199" s="113">
        <v>20.25570290066479</v>
      </c>
      <c r="D199" s="113">
        <v>12.676062610229277</v>
      </c>
      <c r="E199" s="113"/>
      <c r="F199" s="113"/>
      <c r="G199" s="113"/>
      <c r="H199" s="31"/>
      <c r="I199" s="31">
        <v>322.5781955250572</v>
      </c>
      <c r="J199" s="31">
        <f t="shared" si="16"/>
        <v>1016.1213159039302</v>
      </c>
      <c r="K199" s="31"/>
      <c r="L199" s="26">
        <f t="shared" si="17"/>
        <v>2.6162777681328966</v>
      </c>
      <c r="M199" s="31">
        <f t="shared" si="18"/>
        <v>4.9835837964499206</v>
      </c>
      <c r="N199" s="31">
        <f t="shared" si="14"/>
        <v>3.1187375000968252</v>
      </c>
      <c r="O199" s="31"/>
      <c r="P199" s="31"/>
      <c r="Q199" s="31"/>
    </row>
    <row r="200" spans="1:17" x14ac:dyDescent="0.15">
      <c r="A200" s="122">
        <v>1850</v>
      </c>
      <c r="B200" s="113">
        <v>10.633822434101585</v>
      </c>
      <c r="C200" s="113">
        <v>20.25570290066479</v>
      </c>
      <c r="D200" s="113">
        <v>13.121119929453263</v>
      </c>
      <c r="E200" s="113"/>
      <c r="F200" s="113"/>
      <c r="G200" s="113"/>
      <c r="H200" s="31"/>
      <c r="I200" s="31">
        <v>306.35193955324172</v>
      </c>
      <c r="J200" s="31">
        <f t="shared" si="16"/>
        <v>965.00860959271142</v>
      </c>
      <c r="K200" s="31"/>
      <c r="L200" s="26">
        <f t="shared" si="17"/>
        <v>2.7548516998697203</v>
      </c>
      <c r="M200" s="31">
        <f t="shared" si="18"/>
        <v>5.2475446071962635</v>
      </c>
      <c r="N200" s="31">
        <f t="shared" si="14"/>
        <v>3.3992235403451798</v>
      </c>
      <c r="O200" s="31"/>
      <c r="P200" s="31"/>
      <c r="Q200" s="31"/>
    </row>
    <row r="201" spans="1:17" x14ac:dyDescent="0.15">
      <c r="A201" s="122">
        <v>1851</v>
      </c>
      <c r="B201" s="113">
        <v>10.633822434101585</v>
      </c>
      <c r="C201" s="113">
        <v>20.25570290066479</v>
      </c>
      <c r="D201" s="113">
        <v>13.566177248677249</v>
      </c>
      <c r="E201" s="113"/>
      <c r="F201" s="113"/>
      <c r="G201" s="113"/>
      <c r="H201" s="31"/>
      <c r="I201" s="31">
        <v>252.18210838227833</v>
      </c>
      <c r="J201" s="31">
        <f t="shared" si="16"/>
        <v>794.37364140417674</v>
      </c>
      <c r="K201" s="31"/>
      <c r="L201" s="26">
        <f t="shared" si="17"/>
        <v>3.3466060175740093</v>
      </c>
      <c r="M201" s="31">
        <f t="shared" si="18"/>
        <v>6.3747403755931975</v>
      </c>
      <c r="N201" s="31">
        <f t="shared" si="14"/>
        <v>4.2694572621697766</v>
      </c>
      <c r="O201" s="31"/>
      <c r="P201" s="31"/>
      <c r="Q201" s="31"/>
    </row>
    <row r="202" spans="1:17" x14ac:dyDescent="0.15">
      <c r="A202" s="122">
        <v>1852</v>
      </c>
      <c r="B202" s="113">
        <v>10.633822434101585</v>
      </c>
      <c r="C202" s="113">
        <v>20.25570290066479</v>
      </c>
      <c r="D202" s="113">
        <v>14.011234567901237</v>
      </c>
      <c r="E202" s="113"/>
      <c r="F202" s="113"/>
      <c r="G202" s="113"/>
      <c r="H202" s="31"/>
      <c r="I202" s="31">
        <v>253.64302841801066</v>
      </c>
      <c r="J202" s="31">
        <f t="shared" si="16"/>
        <v>798.97553951673353</v>
      </c>
      <c r="K202" s="31"/>
      <c r="L202" s="26">
        <f t="shared" si="17"/>
        <v>3.3273304088049849</v>
      </c>
      <c r="M202" s="31">
        <f t="shared" si="18"/>
        <v>6.3380234746975503</v>
      </c>
      <c r="N202" s="31">
        <f t="shared" si="14"/>
        <v>4.3841250059970669</v>
      </c>
      <c r="O202" s="31"/>
      <c r="P202" s="31"/>
      <c r="Q202" s="31"/>
    </row>
    <row r="203" spans="1:17" x14ac:dyDescent="0.15">
      <c r="A203" s="122">
        <v>1853</v>
      </c>
      <c r="B203" s="113">
        <v>16.538712162680621</v>
      </c>
      <c r="C203" s="113">
        <v>24.80806824402093</v>
      </c>
      <c r="D203" s="113">
        <v>14.456291887125222</v>
      </c>
      <c r="E203" s="113"/>
      <c r="F203" s="113"/>
      <c r="G203" s="113"/>
      <c r="H203" s="31"/>
      <c r="I203" s="31">
        <v>299.02161494023909</v>
      </c>
      <c r="J203" s="31">
        <f t="shared" si="16"/>
        <v>941.91808706175311</v>
      </c>
      <c r="K203" s="31"/>
      <c r="L203" s="26">
        <f t="shared" si="17"/>
        <v>4.3896365272780686</v>
      </c>
      <c r="M203" s="31">
        <f t="shared" si="18"/>
        <v>6.5844547909171025</v>
      </c>
      <c r="N203" s="31">
        <f t="shared" si="14"/>
        <v>3.836929157030152</v>
      </c>
      <c r="O203" s="31"/>
      <c r="P203" s="31"/>
      <c r="Q203" s="31"/>
    </row>
    <row r="204" spans="1:17" x14ac:dyDescent="0.15">
      <c r="A204" s="122">
        <v>1854</v>
      </c>
      <c r="B204" s="113">
        <v>15.690000000000001</v>
      </c>
      <c r="C204" s="113">
        <v>32.796458333333334</v>
      </c>
      <c r="D204" s="113">
        <v>14.901349206349206</v>
      </c>
      <c r="E204" s="113">
        <v>12.421249999999997</v>
      </c>
      <c r="F204" s="113">
        <v>25.605208333333334</v>
      </c>
      <c r="G204" s="113">
        <v>8.3430952380952395</v>
      </c>
      <c r="H204" s="31"/>
      <c r="I204" s="31">
        <v>399.01187305078815</v>
      </c>
      <c r="J204" s="31">
        <f t="shared" si="16"/>
        <v>1256.8874001099825</v>
      </c>
      <c r="K204" s="31"/>
      <c r="L204" s="26">
        <f t="shared" si="17"/>
        <v>3.1208046159558656</v>
      </c>
      <c r="M204" s="31">
        <f t="shared" si="18"/>
        <v>6.5233485375188573</v>
      </c>
      <c r="N204" s="31">
        <f t="shared" ref="N204:N259" si="19">D204*250/J204</f>
        <v>2.9639387754713113</v>
      </c>
      <c r="O204" s="31">
        <f t="shared" ref="O204:O259" si="20">E204*250/J204</f>
        <v>2.470636987631726</v>
      </c>
      <c r="P204" s="31">
        <f t="shared" ref="P204:P233" si="21">F204*250/J204</f>
        <v>5.0929797552057519</v>
      </c>
      <c r="Q204" s="31">
        <f t="shared" ref="Q204:Q259" si="22">G204*250/J204</f>
        <v>1.6594754703892305</v>
      </c>
    </row>
    <row r="205" spans="1:17" x14ac:dyDescent="0.15">
      <c r="A205" s="122">
        <v>1855</v>
      </c>
      <c r="B205" s="113">
        <v>15.690000000000001</v>
      </c>
      <c r="C205" s="113">
        <v>32.578541666666666</v>
      </c>
      <c r="D205" s="113">
        <v>13.573095238095236</v>
      </c>
      <c r="E205" s="113">
        <v>11.767500000000002</v>
      </c>
      <c r="F205" s="113">
        <v>26.912708333333335</v>
      </c>
      <c r="G205" s="113">
        <v>7.5129365079365069</v>
      </c>
      <c r="H205" s="31"/>
      <c r="I205" s="31">
        <v>378.49152296157945</v>
      </c>
      <c r="J205" s="31">
        <f t="shared" si="16"/>
        <v>1192.2482973289752</v>
      </c>
      <c r="K205" s="31"/>
      <c r="L205" s="26">
        <f t="shared" si="17"/>
        <v>3.2900026016289381</v>
      </c>
      <c r="M205" s="31">
        <f t="shared" si="18"/>
        <v>6.8313248464378642</v>
      </c>
      <c r="N205" s="31">
        <f t="shared" si="19"/>
        <v>2.8461133617266205</v>
      </c>
      <c r="O205" s="31">
        <f t="shared" si="20"/>
        <v>2.4675019512217036</v>
      </c>
      <c r="P205" s="31">
        <f t="shared" si="21"/>
        <v>5.6432683514051929</v>
      </c>
      <c r="Q205" s="31">
        <f t="shared" si="22"/>
        <v>1.5753716161239093</v>
      </c>
    </row>
    <row r="206" spans="1:17" x14ac:dyDescent="0.15">
      <c r="A206" s="122">
        <v>1856</v>
      </c>
      <c r="B206" s="113">
        <v>18.305</v>
      </c>
      <c r="C206" s="113">
        <v>34.539791666666659</v>
      </c>
      <c r="D206" s="113">
        <v>13.033492063492062</v>
      </c>
      <c r="E206" s="113">
        <v>10.950312499999999</v>
      </c>
      <c r="F206" s="113">
        <v>26.694791666666664</v>
      </c>
      <c r="G206" s="113">
        <v>6.5167460317460311</v>
      </c>
      <c r="H206" s="31"/>
      <c r="I206" s="31">
        <v>438.70006278118717</v>
      </c>
      <c r="J206" s="31">
        <f t="shared" si="16"/>
        <v>1381.9051977607396</v>
      </c>
      <c r="K206" s="31"/>
      <c r="L206" s="26">
        <f t="shared" si="17"/>
        <v>3.3115513331995752</v>
      </c>
      <c r="M206" s="31">
        <f t="shared" si="18"/>
        <v>6.2485819799063398</v>
      </c>
      <c r="N206" s="31">
        <f t="shared" si="19"/>
        <v>2.3578846227316701</v>
      </c>
      <c r="O206" s="31">
        <f t="shared" si="20"/>
        <v>1.9810173153961741</v>
      </c>
      <c r="P206" s="31">
        <f t="shared" si="21"/>
        <v>4.8293456942493798</v>
      </c>
      <c r="Q206" s="31">
        <f t="shared" si="22"/>
        <v>1.178942311365835</v>
      </c>
    </row>
    <row r="207" spans="1:17" x14ac:dyDescent="0.15">
      <c r="A207" s="122">
        <v>1857</v>
      </c>
      <c r="B207" s="113">
        <v>17.651250000000001</v>
      </c>
      <c r="C207" s="113">
        <v>37.590624999999996</v>
      </c>
      <c r="D207" s="113">
        <v>12.120317460317459</v>
      </c>
      <c r="E207" s="113">
        <v>12.094374999999999</v>
      </c>
      <c r="F207" s="113">
        <v>28.928437500000001</v>
      </c>
      <c r="G207" s="113">
        <v>6.8903174603174602</v>
      </c>
      <c r="H207" s="31"/>
      <c r="I207" s="31">
        <v>462.43618629634966</v>
      </c>
      <c r="J207" s="31">
        <f t="shared" si="16"/>
        <v>1456.6739868335014</v>
      </c>
      <c r="K207" s="31"/>
      <c r="L207" s="26">
        <f t="shared" si="17"/>
        <v>3.029375508786639</v>
      </c>
      <c r="M207" s="31">
        <f t="shared" si="18"/>
        <v>6.4514478427863589</v>
      </c>
      <c r="N207" s="31">
        <f t="shared" si="19"/>
        <v>2.0801355639405021</v>
      </c>
      <c r="O207" s="31">
        <f t="shared" si="20"/>
        <v>2.0756832189834378</v>
      </c>
      <c r="P207" s="31">
        <f t="shared" si="21"/>
        <v>4.9648098616225473</v>
      </c>
      <c r="Q207" s="31">
        <f t="shared" si="22"/>
        <v>1.1825428205963129</v>
      </c>
    </row>
    <row r="208" spans="1:17" x14ac:dyDescent="0.15">
      <c r="A208" s="122">
        <v>1858</v>
      </c>
      <c r="B208" s="113">
        <v>19.285625</v>
      </c>
      <c r="C208" s="113">
        <v>39.551874999999995</v>
      </c>
      <c r="D208" s="113">
        <v>13.241031746031746</v>
      </c>
      <c r="E208" s="113">
        <v>12.584687500000001</v>
      </c>
      <c r="F208" s="113">
        <v>31.243802083333328</v>
      </c>
      <c r="G208" s="113">
        <v>7.409166666666664</v>
      </c>
      <c r="H208" s="31"/>
      <c r="I208" s="31">
        <v>489.12650228160919</v>
      </c>
      <c r="J208" s="31">
        <f t="shared" si="16"/>
        <v>1540.7484821870689</v>
      </c>
      <c r="K208" s="31"/>
      <c r="L208" s="26">
        <f t="shared" si="17"/>
        <v>3.1292623719843538</v>
      </c>
      <c r="M208" s="31">
        <f t="shared" si="18"/>
        <v>6.4176397798323173</v>
      </c>
      <c r="N208" s="31">
        <f t="shared" si="19"/>
        <v>2.1484739234070678</v>
      </c>
      <c r="O208" s="31">
        <f t="shared" si="20"/>
        <v>2.0419762935830108</v>
      </c>
      <c r="P208" s="31">
        <f t="shared" si="21"/>
        <v>5.0695818370989452</v>
      </c>
      <c r="Q208" s="31">
        <f t="shared" si="22"/>
        <v>1.2022024931917288</v>
      </c>
    </row>
    <row r="209" spans="1:17" x14ac:dyDescent="0.15">
      <c r="A209" s="122">
        <v>1859</v>
      </c>
      <c r="B209" s="113">
        <v>20.919999999999998</v>
      </c>
      <c r="C209" s="113">
        <v>41.513124999999995</v>
      </c>
      <c r="D209" s="113">
        <v>14.36174603174603</v>
      </c>
      <c r="E209" s="113">
        <v>13.074999999999999</v>
      </c>
      <c r="F209" s="113">
        <v>33.55916666666667</v>
      </c>
      <c r="G209" s="113">
        <v>7.9280158730158723</v>
      </c>
      <c r="H209" s="31"/>
      <c r="I209" s="31">
        <v>508.66541826686887</v>
      </c>
      <c r="J209" s="31">
        <f t="shared" si="16"/>
        <v>1602.2960675406368</v>
      </c>
      <c r="K209" s="31"/>
      <c r="L209" s="26">
        <f t="shared" si="17"/>
        <v>3.2640659276081996</v>
      </c>
      <c r="M209" s="31">
        <f t="shared" si="18"/>
        <v>6.4771308250975208</v>
      </c>
      <c r="N209" s="31">
        <f t="shared" si="19"/>
        <v>2.2408071645881686</v>
      </c>
      <c r="O209" s="31">
        <f t="shared" si="20"/>
        <v>2.0400412047551248</v>
      </c>
      <c r="P209" s="31">
        <f t="shared" si="21"/>
        <v>5.2361057588714885</v>
      </c>
      <c r="Q209" s="31">
        <f t="shared" si="22"/>
        <v>1.2369773654229486</v>
      </c>
    </row>
    <row r="210" spans="1:17" x14ac:dyDescent="0.15">
      <c r="A210" s="122">
        <v>1860</v>
      </c>
      <c r="B210" s="113">
        <v>21.57375</v>
      </c>
      <c r="C210" s="113">
        <v>42.166875000000005</v>
      </c>
      <c r="D210" s="113">
        <v>14.735317460317457</v>
      </c>
      <c r="E210" s="113">
        <v>11.767500000000002</v>
      </c>
      <c r="F210" s="113">
        <v>32.578541666666666</v>
      </c>
      <c r="G210" s="113">
        <v>7.1393650793650787</v>
      </c>
      <c r="H210" s="31"/>
      <c r="I210" s="31">
        <v>492.48384615680948</v>
      </c>
      <c r="J210" s="31">
        <f t="shared" si="16"/>
        <v>1551.3241153939498</v>
      </c>
      <c r="K210" s="31"/>
      <c r="L210" s="26">
        <f t="shared" si="17"/>
        <v>3.4766670913449751</v>
      </c>
      <c r="M210" s="31">
        <f t="shared" si="18"/>
        <v>6.7953038603560891</v>
      </c>
      <c r="N210" s="31">
        <f t="shared" si="19"/>
        <v>2.3746355313659757</v>
      </c>
      <c r="O210" s="31">
        <f t="shared" si="20"/>
        <v>1.8963638680063504</v>
      </c>
      <c r="P210" s="31">
        <f t="shared" si="21"/>
        <v>5.2501184864249879</v>
      </c>
      <c r="Q210" s="31">
        <f t="shared" si="22"/>
        <v>1.1505276377322475</v>
      </c>
    </row>
    <row r="211" spans="1:17" x14ac:dyDescent="0.15">
      <c r="A211" s="122">
        <v>1861</v>
      </c>
      <c r="B211" s="113">
        <v>22.227499999999999</v>
      </c>
      <c r="C211" s="113">
        <v>43.147500000000001</v>
      </c>
      <c r="D211" s="113">
        <v>16.312619047619048</v>
      </c>
      <c r="E211" s="113">
        <v>13.074999999999999</v>
      </c>
      <c r="F211" s="113">
        <v>33.77708333333333</v>
      </c>
      <c r="G211" s="113">
        <v>7.72047619047619</v>
      </c>
      <c r="H211" s="31"/>
      <c r="I211" s="31">
        <v>510.83631305402434</v>
      </c>
      <c r="J211" s="31">
        <f t="shared" si="16"/>
        <v>1609.1343861201767</v>
      </c>
      <c r="K211" s="31"/>
      <c r="L211" s="26">
        <f t="shared" si="17"/>
        <v>3.4533318335197083</v>
      </c>
      <c r="M211" s="31">
        <f t="shared" si="18"/>
        <v>6.7035265003617868</v>
      </c>
      <c r="N211" s="31">
        <f t="shared" si="19"/>
        <v>2.5343779842637635</v>
      </c>
      <c r="O211" s="31">
        <f t="shared" si="20"/>
        <v>2.0313716667762991</v>
      </c>
      <c r="P211" s="31">
        <f t="shared" si="21"/>
        <v>5.2477101391721046</v>
      </c>
      <c r="Q211" s="31">
        <f t="shared" si="22"/>
        <v>1.1994766032393382</v>
      </c>
    </row>
    <row r="212" spans="1:17" x14ac:dyDescent="0.15">
      <c r="A212" s="122">
        <v>1862</v>
      </c>
      <c r="B212" s="113">
        <v>19.612499999999997</v>
      </c>
      <c r="C212" s="113">
        <v>42.929583333333333</v>
      </c>
      <c r="D212" s="113">
        <v>15.939047619047617</v>
      </c>
      <c r="E212" s="113">
        <v>13.728749999999998</v>
      </c>
      <c r="F212" s="113">
        <v>35.302499999999995</v>
      </c>
      <c r="G212" s="113">
        <v>8.7166666666666668</v>
      </c>
      <c r="H212" s="31"/>
      <c r="I212" s="31">
        <v>655.84549780196835</v>
      </c>
      <c r="J212" s="31">
        <f t="shared" si="16"/>
        <v>2065.9133180762001</v>
      </c>
      <c r="K212" s="31"/>
      <c r="L212" s="26">
        <f t="shared" si="17"/>
        <v>2.3733449787553718</v>
      </c>
      <c r="M212" s="31">
        <f t="shared" si="18"/>
        <v>5.1949884534978708</v>
      </c>
      <c r="N212" s="31">
        <f t="shared" si="19"/>
        <v>1.9288136970202387</v>
      </c>
      <c r="O212" s="31">
        <f t="shared" si="20"/>
        <v>1.6613414851287605</v>
      </c>
      <c r="P212" s="31">
        <f t="shared" si="21"/>
        <v>4.2720209617596696</v>
      </c>
      <c r="Q212" s="31">
        <f t="shared" si="22"/>
        <v>1.0548199905579432</v>
      </c>
    </row>
    <row r="213" spans="1:17" x14ac:dyDescent="0.15">
      <c r="A213" s="122">
        <v>1863</v>
      </c>
      <c r="B213" s="113">
        <v>19.612499999999997</v>
      </c>
      <c r="C213" s="113">
        <v>41.622083333333329</v>
      </c>
      <c r="D213" s="113">
        <v>14.154206349206348</v>
      </c>
      <c r="E213" s="113">
        <v>11.767500000000002</v>
      </c>
      <c r="F213" s="113">
        <v>32.360624999999999</v>
      </c>
      <c r="G213" s="113">
        <v>7.8865079365079351</v>
      </c>
      <c r="H213" s="31"/>
      <c r="I213" s="31">
        <v>579.73007205377439</v>
      </c>
      <c r="J213" s="31">
        <f t="shared" si="16"/>
        <v>1826.1497269693893</v>
      </c>
      <c r="K213" s="31"/>
      <c r="L213" s="26">
        <f t="shared" si="17"/>
        <v>2.6849523495190311</v>
      </c>
      <c r="M213" s="31">
        <f t="shared" si="18"/>
        <v>5.6980655417570549</v>
      </c>
      <c r="N213" s="31">
        <f t="shared" si="19"/>
        <v>1.9377116427216714</v>
      </c>
      <c r="O213" s="31">
        <f t="shared" si="20"/>
        <v>1.6109714097114192</v>
      </c>
      <c r="P213" s="31">
        <f t="shared" si="21"/>
        <v>4.4301713767064017</v>
      </c>
      <c r="Q213" s="31">
        <f t="shared" si="22"/>
        <v>1.0796633786425733</v>
      </c>
    </row>
    <row r="214" spans="1:17" x14ac:dyDescent="0.15">
      <c r="A214" s="122">
        <v>1864</v>
      </c>
      <c r="B214" s="113">
        <v>18.958749999999998</v>
      </c>
      <c r="C214" s="113">
        <v>41.404166666666669</v>
      </c>
      <c r="D214" s="113">
        <v>13.573095238095236</v>
      </c>
      <c r="E214" s="113">
        <v>12.421249999999997</v>
      </c>
      <c r="F214" s="113">
        <v>33.668124999999996</v>
      </c>
      <c r="G214" s="113">
        <v>7.554444444444445</v>
      </c>
      <c r="H214" s="31"/>
      <c r="I214" s="31">
        <v>437.25155717346553</v>
      </c>
      <c r="J214" s="31">
        <f t="shared" si="16"/>
        <v>1377.3424050964163</v>
      </c>
      <c r="K214" s="31"/>
      <c r="L214" s="26">
        <f t="shared" si="17"/>
        <v>3.4411831672809159</v>
      </c>
      <c r="M214" s="31">
        <f t="shared" si="18"/>
        <v>7.5152276067054489</v>
      </c>
      <c r="N214" s="31">
        <f t="shared" si="19"/>
        <v>2.463638523701936</v>
      </c>
      <c r="O214" s="31">
        <f t="shared" si="20"/>
        <v>2.254568282011634</v>
      </c>
      <c r="P214" s="31">
        <f t="shared" si="21"/>
        <v>6.1110666591367977</v>
      </c>
      <c r="Q214" s="31">
        <f t="shared" si="22"/>
        <v>1.3711994229778364</v>
      </c>
    </row>
    <row r="215" spans="1:17" x14ac:dyDescent="0.15">
      <c r="A215" s="122">
        <v>1865</v>
      </c>
      <c r="B215" s="113">
        <v>18.305</v>
      </c>
      <c r="C215" s="113">
        <v>40.532499999999999</v>
      </c>
      <c r="D215" s="113">
        <v>13.199523809523807</v>
      </c>
      <c r="E215" s="113">
        <v>12.421249999999997</v>
      </c>
      <c r="F215" s="113">
        <v>32.142708333333331</v>
      </c>
      <c r="G215" s="113">
        <v>6.7657936507936496</v>
      </c>
      <c r="H215" s="31"/>
      <c r="I215" s="31">
        <v>523.67668053592729</v>
      </c>
      <c r="J215" s="31">
        <f t="shared" si="16"/>
        <v>1649.581543688171</v>
      </c>
      <c r="K215" s="31"/>
      <c r="L215" s="26">
        <f t="shared" si="17"/>
        <v>2.7741884100911549</v>
      </c>
      <c r="M215" s="31">
        <f t="shared" si="18"/>
        <v>6.1428457652018427</v>
      </c>
      <c r="N215" s="31">
        <f t="shared" si="19"/>
        <v>2.0004351800657303</v>
      </c>
      <c r="O215" s="31">
        <f t="shared" si="20"/>
        <v>1.8824849925618545</v>
      </c>
      <c r="P215" s="31">
        <f t="shared" si="21"/>
        <v>4.8713427439100636</v>
      </c>
      <c r="Q215" s="31">
        <f t="shared" si="22"/>
        <v>1.0253802967003587</v>
      </c>
    </row>
    <row r="216" spans="1:17" x14ac:dyDescent="0.15">
      <c r="A216" s="122">
        <v>1866</v>
      </c>
      <c r="B216" s="113">
        <v>16.997500000000002</v>
      </c>
      <c r="C216" s="113">
        <v>39.878749999999997</v>
      </c>
      <c r="D216" s="113">
        <v>12.037301587301586</v>
      </c>
      <c r="E216" s="113">
        <v>11.11375</v>
      </c>
      <c r="F216" s="113">
        <v>30.290416666666665</v>
      </c>
      <c r="G216" s="113">
        <v>6.3922222222222214</v>
      </c>
      <c r="H216" s="31"/>
      <c r="I216" s="31">
        <v>514.59017287795496</v>
      </c>
      <c r="J216" s="31">
        <f t="shared" si="16"/>
        <v>1620.9590445655581</v>
      </c>
      <c r="K216" s="31"/>
      <c r="L216" s="26">
        <f t="shared" si="17"/>
        <v>2.6215190409939684</v>
      </c>
      <c r="M216" s="31">
        <f t="shared" si="18"/>
        <v>6.1504869807935396</v>
      </c>
      <c r="N216" s="31">
        <f t="shared" si="19"/>
        <v>1.856509210960319</v>
      </c>
      <c r="O216" s="31">
        <f t="shared" si="20"/>
        <v>1.7140701421883635</v>
      </c>
      <c r="P216" s="31">
        <f t="shared" si="21"/>
        <v>4.6716813679251468</v>
      </c>
      <c r="Q216" s="31">
        <f t="shared" si="22"/>
        <v>0.98587040857892794</v>
      </c>
    </row>
    <row r="217" spans="1:17" x14ac:dyDescent="0.15">
      <c r="A217" s="122">
        <v>1867</v>
      </c>
      <c r="B217" s="113">
        <v>15.690000000000001</v>
      </c>
      <c r="C217" s="113">
        <v>38.026458333333331</v>
      </c>
      <c r="D217" s="113">
        <v>12.286349206349206</v>
      </c>
      <c r="E217" s="113">
        <v>10.459999999999999</v>
      </c>
      <c r="F217" s="113">
        <v>28.329166666666666</v>
      </c>
      <c r="G217" s="113">
        <v>6.2676984126984125</v>
      </c>
      <c r="H217" s="31"/>
      <c r="I217" s="31">
        <v>412.50398594729359</v>
      </c>
      <c r="J217" s="31">
        <f t="shared" si="16"/>
        <v>1299.3875557339748</v>
      </c>
      <c r="K217" s="31"/>
      <c r="L217" s="26">
        <f t="shared" si="17"/>
        <v>3.0187298490667236</v>
      </c>
      <c r="M217" s="31">
        <f t="shared" si="18"/>
        <v>7.3162272036408771</v>
      </c>
      <c r="N217" s="31">
        <f t="shared" si="19"/>
        <v>2.3638731093220899</v>
      </c>
      <c r="O217" s="31">
        <f t="shared" si="20"/>
        <v>2.012486566044482</v>
      </c>
      <c r="P217" s="31">
        <f t="shared" si="21"/>
        <v>5.4504844497038052</v>
      </c>
      <c r="Q217" s="31">
        <f t="shared" si="22"/>
        <v>1.2058947280663366</v>
      </c>
    </row>
    <row r="218" spans="1:17" x14ac:dyDescent="0.15">
      <c r="A218" s="122">
        <v>1868</v>
      </c>
      <c r="B218" s="113">
        <v>13.074999999999999</v>
      </c>
      <c r="C218" s="113">
        <v>36.501041666666666</v>
      </c>
      <c r="D218" s="113">
        <v>11.62222222222222</v>
      </c>
      <c r="E218" s="113">
        <v>10.459999999999999</v>
      </c>
      <c r="F218" s="113">
        <v>27.239583333333332</v>
      </c>
      <c r="G218" s="113">
        <v>6.2261904761904763</v>
      </c>
      <c r="H218" s="31"/>
      <c r="I218" s="31">
        <v>344.48376023721926</v>
      </c>
      <c r="J218" s="31">
        <f t="shared" si="16"/>
        <v>1085.1238447472406</v>
      </c>
      <c r="K218" s="31"/>
      <c r="L218" s="26">
        <f t="shared" si="17"/>
        <v>3.0123289759256875</v>
      </c>
      <c r="M218" s="31">
        <f t="shared" si="18"/>
        <v>8.4094183911258771</v>
      </c>
      <c r="N218" s="31">
        <f t="shared" si="19"/>
        <v>2.6776257563783887</v>
      </c>
      <c r="O218" s="31">
        <f t="shared" si="20"/>
        <v>2.4098631807405497</v>
      </c>
      <c r="P218" s="31">
        <f t="shared" si="21"/>
        <v>6.2756853665118486</v>
      </c>
      <c r="Q218" s="31">
        <f t="shared" si="22"/>
        <v>1.4344423694884227</v>
      </c>
    </row>
    <row r="219" spans="1:17" x14ac:dyDescent="0.15">
      <c r="A219" s="122">
        <v>1869</v>
      </c>
      <c r="B219" s="113">
        <v>15.690000000000001</v>
      </c>
      <c r="C219" s="113">
        <v>34.212916666666658</v>
      </c>
      <c r="D219" s="113">
        <v>11.871269841269839</v>
      </c>
      <c r="E219" s="113">
        <v>9.8062499999999986</v>
      </c>
      <c r="F219" s="113">
        <v>25.714166666666667</v>
      </c>
      <c r="G219" s="113">
        <v>6.2261904761904763</v>
      </c>
      <c r="H219" s="31"/>
      <c r="I219" s="31">
        <v>325.27052388763826</v>
      </c>
      <c r="J219" s="31">
        <f t="shared" si="16"/>
        <v>1024.6021502460605</v>
      </c>
      <c r="K219" s="31"/>
      <c r="L219" s="26">
        <f t="shared" si="17"/>
        <v>3.8283152139179126</v>
      </c>
      <c r="M219" s="31">
        <f t="shared" si="18"/>
        <v>8.3478540081265553</v>
      </c>
      <c r="N219" s="31">
        <f t="shared" si="19"/>
        <v>2.8965559555040281</v>
      </c>
      <c r="O219" s="31">
        <f t="shared" si="20"/>
        <v>2.3926970086986947</v>
      </c>
      <c r="P219" s="31">
        <f t="shared" si="21"/>
        <v>6.2741832672543563</v>
      </c>
      <c r="Q219" s="31">
        <f t="shared" si="22"/>
        <v>1.5191727039356795</v>
      </c>
    </row>
    <row r="220" spans="1:17" x14ac:dyDescent="0.15">
      <c r="A220" s="122">
        <v>1870</v>
      </c>
      <c r="B220" s="113">
        <v>14.3825</v>
      </c>
      <c r="C220" s="113">
        <v>35.084583333333335</v>
      </c>
      <c r="D220" s="113">
        <v>11.580714285714285</v>
      </c>
      <c r="E220" s="113">
        <v>9.8062499999999986</v>
      </c>
      <c r="F220" s="113">
        <v>27.348541666666666</v>
      </c>
      <c r="G220" s="113">
        <v>6.2676984126984125</v>
      </c>
      <c r="H220" s="31"/>
      <c r="I220" s="31">
        <v>336.78952995434548</v>
      </c>
      <c r="J220" s="31">
        <f t="shared" si="16"/>
        <v>1060.8870193561881</v>
      </c>
      <c r="K220" s="31"/>
      <c r="L220" s="26">
        <f t="shared" si="17"/>
        <v>3.3892628851110342</v>
      </c>
      <c r="M220" s="31">
        <f t="shared" si="18"/>
        <v>8.2677473409526758</v>
      </c>
      <c r="N220" s="31">
        <f t="shared" si="19"/>
        <v>2.7290168685309624</v>
      </c>
      <c r="O220" s="31">
        <f t="shared" si="20"/>
        <v>2.3108610580302504</v>
      </c>
      <c r="P220" s="31">
        <f t="shared" si="21"/>
        <v>6.4447347285065879</v>
      </c>
      <c r="Q220" s="31">
        <f t="shared" si="22"/>
        <v>1.4769947926457898</v>
      </c>
    </row>
    <row r="221" spans="1:17" x14ac:dyDescent="0.15">
      <c r="A221" s="122">
        <v>1871</v>
      </c>
      <c r="B221" s="113">
        <v>15.036249999999999</v>
      </c>
      <c r="C221" s="113">
        <v>35.411458333333336</v>
      </c>
      <c r="D221" s="113">
        <v>11.539206349206349</v>
      </c>
      <c r="E221" s="113">
        <v>10.786875</v>
      </c>
      <c r="F221" s="113">
        <v>29.282552083333332</v>
      </c>
      <c r="G221" s="113">
        <v>7.0667261904761896</v>
      </c>
      <c r="H221" s="31"/>
      <c r="I221" s="31">
        <v>415.85574889209454</v>
      </c>
      <c r="J221" s="31">
        <f t="shared" si="16"/>
        <v>1309.9456090100978</v>
      </c>
      <c r="K221" s="31"/>
      <c r="L221" s="26">
        <f t="shared" si="17"/>
        <v>2.8696325054600207</v>
      </c>
      <c r="M221" s="31">
        <f t="shared" si="18"/>
        <v>6.7581924947428034</v>
      </c>
      <c r="N221" s="31">
        <f t="shared" si="19"/>
        <v>2.2022300524993401</v>
      </c>
      <c r="O221" s="31">
        <f t="shared" si="20"/>
        <v>2.0586494060908849</v>
      </c>
      <c r="P221" s="31">
        <f t="shared" si="21"/>
        <v>5.588505332191164</v>
      </c>
      <c r="Q221" s="31">
        <f t="shared" si="22"/>
        <v>1.3486678648849373</v>
      </c>
    </row>
    <row r="222" spans="1:17" x14ac:dyDescent="0.15">
      <c r="A222" s="122">
        <v>1872</v>
      </c>
      <c r="B222" s="113">
        <v>18.958749999999998</v>
      </c>
      <c r="C222" s="113">
        <v>40.641458333333333</v>
      </c>
      <c r="D222" s="113">
        <v>15.025873015873014</v>
      </c>
      <c r="E222" s="113">
        <v>11.767500000000002</v>
      </c>
      <c r="F222" s="113">
        <v>30.508333333333329</v>
      </c>
      <c r="G222" s="113">
        <v>7.72047619047619</v>
      </c>
      <c r="H222" s="31"/>
      <c r="I222" s="31">
        <v>431.32995758099639</v>
      </c>
      <c r="J222" s="31">
        <f t="shared" si="16"/>
        <v>1358.6893663801386</v>
      </c>
      <c r="K222" s="31"/>
      <c r="L222" s="26">
        <f t="shared" si="17"/>
        <v>3.4884261386600963</v>
      </c>
      <c r="M222" s="31">
        <f t="shared" si="18"/>
        <v>7.4780629294265291</v>
      </c>
      <c r="N222" s="31">
        <f t="shared" si="19"/>
        <v>2.7647734257141865</v>
      </c>
      <c r="O222" s="31">
        <f t="shared" si="20"/>
        <v>2.1652300170993706</v>
      </c>
      <c r="P222" s="31">
        <f t="shared" si="21"/>
        <v>5.613559303590959</v>
      </c>
      <c r="Q222" s="31">
        <f t="shared" si="22"/>
        <v>1.4205741911128142</v>
      </c>
    </row>
    <row r="223" spans="1:17" x14ac:dyDescent="0.15">
      <c r="A223" s="122">
        <v>1873</v>
      </c>
      <c r="B223" s="113">
        <v>21.57375</v>
      </c>
      <c r="C223" s="113">
        <v>48.377499999999991</v>
      </c>
      <c r="D223" s="113">
        <v>14.527777777777775</v>
      </c>
      <c r="E223" s="113">
        <v>15.036249999999999</v>
      </c>
      <c r="F223" s="113">
        <v>36.446562499999999</v>
      </c>
      <c r="G223" s="113">
        <v>9.2770238095238078</v>
      </c>
      <c r="H223" s="31"/>
      <c r="I223" s="31">
        <v>515.32625855779963</v>
      </c>
      <c r="J223" s="31">
        <f t="shared" si="16"/>
        <v>1623.2777144570689</v>
      </c>
      <c r="K223" s="31"/>
      <c r="L223" s="26">
        <f t="shared" si="17"/>
        <v>3.3225599365811052</v>
      </c>
      <c r="M223" s="31">
        <f t="shared" si="18"/>
        <v>7.450588948697022</v>
      </c>
      <c r="N223" s="31">
        <f t="shared" si="19"/>
        <v>2.2374140987078146</v>
      </c>
      <c r="O223" s="31">
        <f t="shared" si="20"/>
        <v>2.3157235921625881</v>
      </c>
      <c r="P223" s="31">
        <f t="shared" si="21"/>
        <v>5.6131126201332302</v>
      </c>
      <c r="Q223" s="31">
        <f t="shared" si="22"/>
        <v>1.4287487173177043</v>
      </c>
    </row>
    <row r="224" spans="1:17" x14ac:dyDescent="0.15">
      <c r="A224" s="122">
        <v>1874</v>
      </c>
      <c r="B224" s="113">
        <v>22.554374999999997</v>
      </c>
      <c r="C224" s="113">
        <v>47.778229166666662</v>
      </c>
      <c r="D224" s="113">
        <v>16.810714285714287</v>
      </c>
      <c r="E224" s="113">
        <v>14.709374999999998</v>
      </c>
      <c r="F224" s="113">
        <v>37.645104166666663</v>
      </c>
      <c r="G224" s="113">
        <v>11.331666666666669</v>
      </c>
      <c r="H224" s="31"/>
      <c r="I224" s="31">
        <v>519.51765067827387</v>
      </c>
      <c r="J224" s="31">
        <f t="shared" si="16"/>
        <v>1636.4805996365626</v>
      </c>
      <c r="K224" s="31"/>
      <c r="L224" s="26">
        <f t="shared" si="17"/>
        <v>3.4455610113876358</v>
      </c>
      <c r="M224" s="31">
        <f t="shared" si="18"/>
        <v>7.2989299685675286</v>
      </c>
      <c r="N224" s="31">
        <f t="shared" si="19"/>
        <v>2.5681200084876794</v>
      </c>
      <c r="O224" s="31">
        <f t="shared" si="20"/>
        <v>2.2471050074267191</v>
      </c>
      <c r="P224" s="31">
        <f t="shared" si="21"/>
        <v>5.7509242967846772</v>
      </c>
      <c r="Q224" s="31">
        <f t="shared" si="22"/>
        <v>1.7311031168324358</v>
      </c>
    </row>
    <row r="225" spans="1:17" x14ac:dyDescent="0.15">
      <c r="A225" s="122">
        <v>1875</v>
      </c>
      <c r="B225" s="113">
        <v>26.803749999999997</v>
      </c>
      <c r="C225" s="113">
        <v>49.848437500000003</v>
      </c>
      <c r="D225" s="113">
        <v>19.384206349206348</v>
      </c>
      <c r="E225" s="113">
        <v>16.180312499999999</v>
      </c>
      <c r="F225" s="113">
        <v>38.898124999999993</v>
      </c>
      <c r="G225" s="113">
        <v>9.5053174603174586</v>
      </c>
      <c r="H225" s="31"/>
      <c r="I225" s="31">
        <v>530.47868821568647</v>
      </c>
      <c r="J225" s="31">
        <f t="shared" si="16"/>
        <v>1671.0078678794123</v>
      </c>
      <c r="K225" s="31"/>
      <c r="L225" s="26">
        <f t="shared" si="17"/>
        <v>4.0101172644410132</v>
      </c>
      <c r="M225" s="31">
        <f t="shared" si="18"/>
        <v>7.457840034478715</v>
      </c>
      <c r="N225" s="31">
        <f t="shared" si="19"/>
        <v>2.9000770615469662</v>
      </c>
      <c r="O225" s="31">
        <f t="shared" si="20"/>
        <v>2.4207415193881729</v>
      </c>
      <c r="P225" s="31">
        <f t="shared" si="21"/>
        <v>5.8195604203473241</v>
      </c>
      <c r="Q225" s="31">
        <f t="shared" si="22"/>
        <v>1.4220934627285979</v>
      </c>
    </row>
    <row r="226" spans="1:17" x14ac:dyDescent="0.15">
      <c r="A226" s="122">
        <v>1876</v>
      </c>
      <c r="B226" s="113">
        <v>23.534999999999997</v>
      </c>
      <c r="C226" s="113">
        <v>48.377500000000005</v>
      </c>
      <c r="D226" s="113">
        <v>16.935238095238095</v>
      </c>
      <c r="E226" s="113">
        <v>15.690000000000001</v>
      </c>
      <c r="F226" s="113">
        <v>31.597916666666663</v>
      </c>
      <c r="G226" s="113">
        <v>8.218571428571428</v>
      </c>
      <c r="H226" s="31"/>
      <c r="I226" s="31">
        <v>456.52386298374364</v>
      </c>
      <c r="J226" s="31">
        <f t="shared" si="16"/>
        <v>1438.0501683987925</v>
      </c>
      <c r="K226" s="31"/>
      <c r="L226" s="26">
        <f t="shared" si="17"/>
        <v>4.0914775640625276</v>
      </c>
      <c r="M226" s="31">
        <f t="shared" si="18"/>
        <v>8.4102594372396418</v>
      </c>
      <c r="N226" s="31">
        <f t="shared" si="19"/>
        <v>2.9441320037698615</v>
      </c>
      <c r="O226" s="31">
        <f t="shared" si="20"/>
        <v>2.727651709375019</v>
      </c>
      <c r="P226" s="31">
        <f t="shared" si="21"/>
        <v>5.4931874702691346</v>
      </c>
      <c r="Q226" s="31">
        <f t="shared" si="22"/>
        <v>1.4287699430059622</v>
      </c>
    </row>
    <row r="227" spans="1:17" x14ac:dyDescent="0.15">
      <c r="A227" s="122">
        <v>1877</v>
      </c>
      <c r="B227" s="113">
        <v>22.227499999999999</v>
      </c>
      <c r="C227" s="113">
        <v>47.287916666666668</v>
      </c>
      <c r="D227" s="113">
        <v>14.859841269841271</v>
      </c>
      <c r="E227" s="113">
        <v>14.3825</v>
      </c>
      <c r="F227" s="113">
        <v>34.212916666666665</v>
      </c>
      <c r="G227" s="113">
        <v>8.0525396825396829</v>
      </c>
      <c r="H227" s="31"/>
      <c r="I227" s="31">
        <v>495.83444264781218</v>
      </c>
      <c r="J227" s="31">
        <f t="shared" si="16"/>
        <v>1561.8784943406083</v>
      </c>
      <c r="K227" s="31"/>
      <c r="L227" s="26">
        <f t="shared" si="17"/>
        <v>3.5578151694482441</v>
      </c>
      <c r="M227" s="31">
        <f t="shared" si="18"/>
        <v>7.5690773702967542</v>
      </c>
      <c r="N227" s="31">
        <f t="shared" si="19"/>
        <v>2.3785206921801523</v>
      </c>
      <c r="O227" s="31">
        <f t="shared" si="20"/>
        <v>2.3021156978782757</v>
      </c>
      <c r="P227" s="31">
        <f t="shared" si="21"/>
        <v>5.4762449176801402</v>
      </c>
      <c r="Q227" s="31">
        <f t="shared" si="22"/>
        <v>1.2889190343099148</v>
      </c>
    </row>
    <row r="228" spans="1:17" x14ac:dyDescent="0.15">
      <c r="A228" s="122">
        <v>1878</v>
      </c>
      <c r="B228" s="113">
        <v>20.919999999999998</v>
      </c>
      <c r="C228" s="113">
        <v>48.268541666666664</v>
      </c>
      <c r="D228" s="113">
        <v>15.939047619047617</v>
      </c>
      <c r="E228" s="113">
        <v>13.074999999999999</v>
      </c>
      <c r="F228" s="113">
        <v>34.376354166666665</v>
      </c>
      <c r="G228" s="113">
        <v>7.0978571428571415</v>
      </c>
      <c r="H228" s="31"/>
      <c r="I228" s="31">
        <v>511.84543211621121</v>
      </c>
      <c r="J228" s="31">
        <f t="shared" si="16"/>
        <v>1612.3131111660653</v>
      </c>
      <c r="K228" s="31"/>
      <c r="L228" s="26">
        <f t="shared" si="17"/>
        <v>3.2437868077730458</v>
      </c>
      <c r="M228" s="31">
        <f t="shared" si="18"/>
        <v>7.4843622700180186</v>
      </c>
      <c r="N228" s="31">
        <f t="shared" si="19"/>
        <v>2.4714566154461304</v>
      </c>
      <c r="O228" s="31">
        <f t="shared" si="20"/>
        <v>2.027366754858154</v>
      </c>
      <c r="P228" s="31">
        <f t="shared" si="21"/>
        <v>5.3302850929812298</v>
      </c>
      <c r="Q228" s="31">
        <f t="shared" si="22"/>
        <v>1.1005705240658548</v>
      </c>
    </row>
    <row r="229" spans="1:17" x14ac:dyDescent="0.15">
      <c r="A229" s="122">
        <v>1879</v>
      </c>
      <c r="B229" s="113">
        <v>22.881250000000001</v>
      </c>
      <c r="C229" s="113">
        <v>50.992500000000007</v>
      </c>
      <c r="D229" s="113">
        <v>14.444761904761901</v>
      </c>
      <c r="E229" s="113">
        <v>13.074999999999999</v>
      </c>
      <c r="F229" s="113">
        <v>35.302499999999995</v>
      </c>
      <c r="G229" s="113">
        <v>8.4676190476190474</v>
      </c>
      <c r="H229" s="31"/>
      <c r="I229" s="31">
        <v>462.66863851722974</v>
      </c>
      <c r="J229" s="31">
        <f t="shared" si="16"/>
        <v>1457.4062113292737</v>
      </c>
      <c r="K229" s="31"/>
      <c r="L229" s="26">
        <f t="shared" si="17"/>
        <v>3.9249952796500072</v>
      </c>
      <c r="M229" s="31">
        <f t="shared" si="18"/>
        <v>8.7471323375057324</v>
      </c>
      <c r="N229" s="31">
        <f t="shared" si="19"/>
        <v>2.4778201493300718</v>
      </c>
      <c r="O229" s="31">
        <f t="shared" si="20"/>
        <v>2.2428544455142898</v>
      </c>
      <c r="P229" s="31">
        <f t="shared" si="21"/>
        <v>6.0557070028885809</v>
      </c>
      <c r="Q229" s="31">
        <f t="shared" si="22"/>
        <v>1.4525152599521116</v>
      </c>
    </row>
    <row r="230" spans="1:17" x14ac:dyDescent="0.15">
      <c r="A230" s="122">
        <v>1880</v>
      </c>
      <c r="B230" s="113">
        <v>23.534999999999997</v>
      </c>
      <c r="C230" s="113">
        <v>53.607500000000002</v>
      </c>
      <c r="D230" s="113">
        <v>14.942857142857143</v>
      </c>
      <c r="E230" s="113">
        <v>14.3825</v>
      </c>
      <c r="F230" s="113">
        <v>37.808541666666663</v>
      </c>
      <c r="G230" s="113">
        <v>8.9657142857142862</v>
      </c>
      <c r="H230" s="31"/>
      <c r="I230" s="31">
        <v>483.01565349176889</v>
      </c>
      <c r="J230" s="31">
        <f t="shared" si="16"/>
        <v>1521.499308499072</v>
      </c>
      <c r="K230" s="31"/>
      <c r="L230" s="26">
        <f t="shared" si="17"/>
        <v>3.8670737259842718</v>
      </c>
      <c r="M230" s="31">
        <f t="shared" si="18"/>
        <v>8.8083345980752874</v>
      </c>
      <c r="N230" s="31">
        <f t="shared" si="19"/>
        <v>2.4552849053868395</v>
      </c>
      <c r="O230" s="31">
        <f t="shared" si="20"/>
        <v>2.3632117214348329</v>
      </c>
      <c r="P230" s="31">
        <f t="shared" si="21"/>
        <v>6.2123823283173261</v>
      </c>
      <c r="Q230" s="31">
        <f t="shared" si="22"/>
        <v>1.4731709432321038</v>
      </c>
    </row>
    <row r="231" spans="1:17" x14ac:dyDescent="0.15">
      <c r="A231" s="122">
        <v>1881</v>
      </c>
      <c r="B231" s="113">
        <v>32.033749999999998</v>
      </c>
      <c r="C231" s="113">
        <v>66.301145833333337</v>
      </c>
      <c r="D231" s="113">
        <v>28.391428571428573</v>
      </c>
      <c r="E231" s="113">
        <v>15.690000000000001</v>
      </c>
      <c r="F231" s="113">
        <v>39.98770833333333</v>
      </c>
      <c r="G231" s="113">
        <v>9.6713492063492055</v>
      </c>
      <c r="H231" s="31"/>
      <c r="I231" s="31">
        <v>511.87485914565644</v>
      </c>
      <c r="J231" s="31">
        <f t="shared" si="16"/>
        <v>1612.4058063088178</v>
      </c>
      <c r="K231" s="31"/>
      <c r="L231" s="26">
        <f t="shared" si="17"/>
        <v>4.9667630001489673</v>
      </c>
      <c r="M231" s="31">
        <f t="shared" si="18"/>
        <v>10.27984791017227</v>
      </c>
      <c r="N231" s="31">
        <f t="shared" si="19"/>
        <v>4.4020290147092895</v>
      </c>
      <c r="O231" s="31">
        <f t="shared" si="20"/>
        <v>2.4327002449709236</v>
      </c>
      <c r="P231" s="31">
        <f t="shared" si="21"/>
        <v>6.2000068743356165</v>
      </c>
      <c r="Q231" s="31">
        <f t="shared" si="22"/>
        <v>1.4995215795720238</v>
      </c>
    </row>
    <row r="232" spans="1:17" x14ac:dyDescent="0.15">
      <c r="A232" s="122">
        <v>1882</v>
      </c>
      <c r="B232" s="113">
        <v>31.380000000000003</v>
      </c>
      <c r="C232" s="113">
        <v>68.42583333333333</v>
      </c>
      <c r="D232" s="113">
        <v>24.904761904761905</v>
      </c>
      <c r="E232" s="113">
        <v>15.690000000000001</v>
      </c>
      <c r="F232" s="113">
        <v>37.590624999999996</v>
      </c>
      <c r="G232" s="113">
        <v>9.2147619047619056</v>
      </c>
      <c r="H232" s="31"/>
      <c r="I232" s="31">
        <v>513.17740060950791</v>
      </c>
      <c r="J232" s="31">
        <f t="shared" si="16"/>
        <v>1616.5088119199499</v>
      </c>
      <c r="K232" s="31"/>
      <c r="L232" s="26">
        <f t="shared" si="17"/>
        <v>4.8530511817516082</v>
      </c>
      <c r="M232" s="31">
        <f t="shared" si="18"/>
        <v>10.582347715763921</v>
      </c>
      <c r="N232" s="31">
        <f t="shared" si="19"/>
        <v>3.8516279220250853</v>
      </c>
      <c r="O232" s="31">
        <f t="shared" si="20"/>
        <v>2.4265255908758041</v>
      </c>
      <c r="P232" s="31">
        <f t="shared" si="21"/>
        <v>5.8135508948066121</v>
      </c>
      <c r="Q232" s="31">
        <f t="shared" si="22"/>
        <v>1.4251023311492819</v>
      </c>
    </row>
    <row r="233" spans="1:17" x14ac:dyDescent="0.15">
      <c r="A233" s="122">
        <v>1883</v>
      </c>
      <c r="B233" s="113">
        <v>25.496249999999996</v>
      </c>
      <c r="C233" s="113">
        <v>61.452499999999993</v>
      </c>
      <c r="D233" s="113">
        <v>19.135158730158725</v>
      </c>
      <c r="E233" s="113">
        <v>14.3825</v>
      </c>
      <c r="F233" s="113">
        <v>38.789166666666659</v>
      </c>
      <c r="G233" s="113">
        <v>9.0487301587301587</v>
      </c>
      <c r="H233" s="31"/>
      <c r="I233" s="31">
        <v>499.52740409621452</v>
      </c>
      <c r="J233" s="31">
        <f t="shared" si="16"/>
        <v>1573.5113229030758</v>
      </c>
      <c r="K233" s="31"/>
      <c r="L233" s="26">
        <f t="shared" si="17"/>
        <v>4.0508526422549451</v>
      </c>
      <c r="M233" s="31">
        <f t="shared" si="18"/>
        <v>9.7635935479990987</v>
      </c>
      <c r="N233" s="31">
        <f t="shared" si="19"/>
        <v>3.040200355033829</v>
      </c>
      <c r="O233" s="31">
        <f t="shared" si="20"/>
        <v>2.2850963622976619</v>
      </c>
      <c r="P233" s="31">
        <f t="shared" si="21"/>
        <v>6.1628356437724801</v>
      </c>
      <c r="Q233" s="31">
        <f t="shared" si="22"/>
        <v>1.4376652438120932</v>
      </c>
    </row>
    <row r="234" spans="1:17" x14ac:dyDescent="0.15">
      <c r="A234" s="122">
        <v>1884</v>
      </c>
      <c r="B234" s="113">
        <v>17.541953283485853</v>
      </c>
      <c r="C234" s="113">
        <v>38.630150766441432</v>
      </c>
      <c r="D234" s="113">
        <v>17.254525187781386</v>
      </c>
      <c r="E234" s="113">
        <v>9.6081235160670158</v>
      </c>
      <c r="F234" s="113"/>
      <c r="G234" s="113">
        <v>7.0441304106774165</v>
      </c>
      <c r="H234" s="31"/>
      <c r="I234" s="31">
        <v>461.58139872251843</v>
      </c>
      <c r="J234" s="31">
        <f t="shared" si="16"/>
        <v>1453.9814059759331</v>
      </c>
      <c r="K234" s="31"/>
      <c r="L234" s="26">
        <f t="shared" si="17"/>
        <v>3.0161928500920969</v>
      </c>
      <c r="M234" s="31">
        <f t="shared" si="18"/>
        <v>6.6421328717942449</v>
      </c>
      <c r="N234" s="31">
        <f t="shared" si="19"/>
        <v>2.9667719815508753</v>
      </c>
      <c r="O234" s="31">
        <f t="shared" si="20"/>
        <v>1.6520368617812387</v>
      </c>
      <c r="P234" s="31"/>
      <c r="Q234" s="31">
        <f t="shared" si="22"/>
        <v>1.2111795896642323</v>
      </c>
    </row>
    <row r="235" spans="1:17" x14ac:dyDescent="0.15">
      <c r="A235" s="122">
        <v>1885</v>
      </c>
      <c r="B235" s="113">
        <v>13.587938585377842</v>
      </c>
      <c r="C235" s="113">
        <v>43.273620577470219</v>
      </c>
      <c r="D235" s="113">
        <v>17.254525187781386</v>
      </c>
      <c r="E235" s="113">
        <v>11.094505396816929</v>
      </c>
      <c r="F235" s="113"/>
      <c r="G235" s="113">
        <v>7.0441304106774165</v>
      </c>
      <c r="H235" s="31"/>
      <c r="I235" s="31">
        <v>445.09543377275526</v>
      </c>
      <c r="J235" s="31">
        <f t="shared" si="16"/>
        <v>1402.050616384179</v>
      </c>
      <c r="K235" s="31"/>
      <c r="L235" s="26">
        <f t="shared" si="17"/>
        <v>2.4228687656834533</v>
      </c>
      <c r="M235" s="31">
        <f t="shared" si="18"/>
        <v>7.7161302294974918</v>
      </c>
      <c r="N235" s="31">
        <f t="shared" si="19"/>
        <v>3.0766587500742264</v>
      </c>
      <c r="O235" s="31">
        <f t="shared" si="20"/>
        <v>1.9782640632171191</v>
      </c>
      <c r="P235" s="31"/>
      <c r="Q235" s="31">
        <f t="shared" si="22"/>
        <v>1.2560406750584887</v>
      </c>
    </row>
    <row r="236" spans="1:17" x14ac:dyDescent="0.15">
      <c r="A236" s="122">
        <v>1886</v>
      </c>
      <c r="B236" s="113">
        <v>15.690000000000001</v>
      </c>
      <c r="C236" s="113">
        <v>36.54422883705957</v>
      </c>
      <c r="D236" s="113">
        <v>17.254525187781386</v>
      </c>
      <c r="E236" s="113">
        <v>7.8450000000000006</v>
      </c>
      <c r="F236" s="113"/>
      <c r="G236" s="113">
        <v>7.4714285714285715</v>
      </c>
      <c r="H236" s="31"/>
      <c r="I236" s="31">
        <v>392.70245405752587</v>
      </c>
      <c r="J236" s="31">
        <f t="shared" si="16"/>
        <v>1237.0127302812064</v>
      </c>
      <c r="K236" s="31"/>
      <c r="L236" s="26">
        <f t="shared" si="17"/>
        <v>3.1709455399931983</v>
      </c>
      <c r="M236" s="31">
        <f t="shared" si="18"/>
        <v>7.3855805891245927</v>
      </c>
      <c r="N236" s="31">
        <f t="shared" si="19"/>
        <v>3.487135735429935</v>
      </c>
      <c r="O236" s="31">
        <f t="shared" si="20"/>
        <v>1.5854727699965991</v>
      </c>
      <c r="P236" s="31"/>
      <c r="Q236" s="31">
        <f t="shared" si="22"/>
        <v>1.5099740666634276</v>
      </c>
    </row>
    <row r="237" spans="1:17" x14ac:dyDescent="0.15">
      <c r="A237" s="122">
        <v>1887</v>
      </c>
      <c r="B237" s="113">
        <v>15.690000000000001</v>
      </c>
      <c r="C237" s="113">
        <v>34.326094226741482</v>
      </c>
      <c r="D237" s="113">
        <v>12.940893890836042</v>
      </c>
      <c r="E237" s="113">
        <v>7.8450000000000006</v>
      </c>
      <c r="F237" s="113"/>
      <c r="G237" s="113">
        <v>6.82044994226671</v>
      </c>
      <c r="H237" s="31"/>
      <c r="I237" s="31">
        <v>350.81055216814752</v>
      </c>
      <c r="J237" s="31">
        <f t="shared" si="16"/>
        <v>1105.0532393296646</v>
      </c>
      <c r="K237" s="31"/>
      <c r="L237" s="26">
        <f t="shared" si="17"/>
        <v>3.5496027344161489</v>
      </c>
      <c r="M237" s="31">
        <f t="shared" si="18"/>
        <v>7.7657105117315437</v>
      </c>
      <c r="N237" s="31">
        <f t="shared" si="19"/>
        <v>2.9276629917591359</v>
      </c>
      <c r="O237" s="31">
        <f t="shared" si="20"/>
        <v>1.7748013672080745</v>
      </c>
      <c r="P237" s="31"/>
      <c r="Q237" s="31">
        <f t="shared" si="22"/>
        <v>1.5430138792236059</v>
      </c>
    </row>
    <row r="238" spans="1:17" x14ac:dyDescent="0.15">
      <c r="A238" s="122">
        <v>1888</v>
      </c>
      <c r="B238" s="113">
        <v>16.641758095225399</v>
      </c>
      <c r="C238" s="113">
        <v>35.266043558810964</v>
      </c>
      <c r="D238" s="113">
        <v>8.031544385447889</v>
      </c>
      <c r="E238" s="113">
        <v>7.8450000000000006</v>
      </c>
      <c r="F238" s="113"/>
      <c r="G238" s="113">
        <v>6.1003958832171534</v>
      </c>
      <c r="H238" s="31"/>
      <c r="I238" s="31">
        <v>341.295163700339</v>
      </c>
      <c r="J238" s="31">
        <f t="shared" si="16"/>
        <v>1075.0797656560678</v>
      </c>
      <c r="K238" s="31"/>
      <c r="L238" s="26">
        <f t="shared" si="17"/>
        <v>3.8698891530782742</v>
      </c>
      <c r="M238" s="31">
        <f t="shared" si="18"/>
        <v>8.2007969746528175</v>
      </c>
      <c r="N238" s="31">
        <f t="shared" si="19"/>
        <v>1.8676624381788629</v>
      </c>
      <c r="O238" s="31">
        <f t="shared" si="20"/>
        <v>1.8242832417212751</v>
      </c>
      <c r="P238" s="31"/>
      <c r="Q238" s="31">
        <f t="shared" si="22"/>
        <v>1.4185914566753997</v>
      </c>
    </row>
    <row r="239" spans="1:17" x14ac:dyDescent="0.15">
      <c r="A239" s="122">
        <v>1889</v>
      </c>
      <c r="B239" s="113">
        <v>12.710352694752416</v>
      </c>
      <c r="C239" s="113">
        <v>43.100588890838502</v>
      </c>
      <c r="D239" s="113">
        <v>14.088260821354831</v>
      </c>
      <c r="E239" s="113">
        <v>7.8450000000000006</v>
      </c>
      <c r="F239" s="113"/>
      <c r="G239" s="113">
        <v>7.7164582478722998</v>
      </c>
      <c r="H239" s="31"/>
      <c r="I239" s="31">
        <v>404.8954616629652</v>
      </c>
      <c r="J239" s="31">
        <f t="shared" si="16"/>
        <v>1275.4207042383402</v>
      </c>
      <c r="K239" s="31"/>
      <c r="L239" s="26">
        <f t="shared" si="17"/>
        <v>2.4914039446973741</v>
      </c>
      <c r="M239" s="31">
        <f t="shared" si="18"/>
        <v>8.4483082224577508</v>
      </c>
      <c r="N239" s="31">
        <f t="shared" si="19"/>
        <v>2.7614928890793142</v>
      </c>
      <c r="O239" s="31">
        <f t="shared" si="20"/>
        <v>1.5377278991023011</v>
      </c>
      <c r="P239" s="31"/>
      <c r="Q239" s="31">
        <f t="shared" si="22"/>
        <v>1.5125319477388519</v>
      </c>
    </row>
    <row r="240" spans="1:17" x14ac:dyDescent="0.15">
      <c r="A240" s="122">
        <v>1890</v>
      </c>
      <c r="B240" s="113">
        <v>17.541953283485853</v>
      </c>
      <c r="C240" s="113">
        <v>43.319954512313849</v>
      </c>
      <c r="D240" s="113">
        <v>12.200791766434307</v>
      </c>
      <c r="E240" s="113">
        <v>8.7709766417429265</v>
      </c>
      <c r="F240" s="113"/>
      <c r="G240" s="113">
        <v>6.82044994226671</v>
      </c>
      <c r="H240" s="31"/>
      <c r="I240" s="31">
        <v>404.76355445382609</v>
      </c>
      <c r="J240" s="31">
        <f t="shared" si="16"/>
        <v>1275.0051965295522</v>
      </c>
      <c r="K240" s="31"/>
      <c r="L240" s="26">
        <f t="shared" si="17"/>
        <v>3.4395846642887125</v>
      </c>
      <c r="M240" s="31">
        <f t="shared" si="18"/>
        <v>8.4940741085265401</v>
      </c>
      <c r="N240" s="31">
        <f t="shared" si="19"/>
        <v>2.3923023607362053</v>
      </c>
      <c r="O240" s="31">
        <f t="shared" si="20"/>
        <v>1.7197923321443562</v>
      </c>
      <c r="P240" s="31"/>
      <c r="Q240" s="31">
        <f t="shared" si="22"/>
        <v>1.3373376753348443</v>
      </c>
    </row>
    <row r="241" spans="1:17" x14ac:dyDescent="0.15">
      <c r="A241" s="122">
        <v>1891</v>
      </c>
      <c r="B241" s="113">
        <v>17.541953283485853</v>
      </c>
      <c r="C241" s="113">
        <v>46.36919970587379</v>
      </c>
      <c r="D241" s="113">
        <v>11.137748116498949</v>
      </c>
      <c r="E241" s="113">
        <v>12.404034122010469</v>
      </c>
      <c r="F241" s="113"/>
      <c r="G241" s="113">
        <v>6.1003958832171534</v>
      </c>
      <c r="H241" s="31"/>
      <c r="I241" s="31">
        <v>401.59076484093816</v>
      </c>
      <c r="J241" s="31">
        <f t="shared" si="16"/>
        <v>1265.0109092489552</v>
      </c>
      <c r="K241" s="31"/>
      <c r="L241" s="26">
        <f t="shared" si="17"/>
        <v>3.466759289431864</v>
      </c>
      <c r="M241" s="31">
        <f t="shared" si="18"/>
        <v>9.1637944319000919</v>
      </c>
      <c r="N241" s="31">
        <f t="shared" si="19"/>
        <v>2.2011170091630867</v>
      </c>
      <c r="O241" s="31">
        <f t="shared" si="20"/>
        <v>2.4513690022987276</v>
      </c>
      <c r="P241" s="31"/>
      <c r="Q241" s="31">
        <f t="shared" si="22"/>
        <v>1.2056014376269286</v>
      </c>
    </row>
    <row r="242" spans="1:17" x14ac:dyDescent="0.15">
      <c r="A242" s="122">
        <v>1892</v>
      </c>
      <c r="B242" s="113">
        <v>14.676651099620782</v>
      </c>
      <c r="C242" s="113">
        <v>48.284323506109111</v>
      </c>
      <c r="D242" s="113">
        <v>12.200791766434307</v>
      </c>
      <c r="E242" s="113">
        <v>8.7709766417429265</v>
      </c>
      <c r="F242" s="113"/>
      <c r="G242" s="113">
        <v>7.0441304106774165</v>
      </c>
      <c r="H242" s="31"/>
      <c r="I242" s="31">
        <v>389.33218934552002</v>
      </c>
      <c r="J242" s="31">
        <f t="shared" si="16"/>
        <v>1226.3963964383881</v>
      </c>
      <c r="K242" s="31"/>
      <c r="L242" s="26">
        <f t="shared" si="17"/>
        <v>2.9918244912989902</v>
      </c>
      <c r="M242" s="31">
        <f t="shared" si="18"/>
        <v>9.8427236997623595</v>
      </c>
      <c r="N242" s="31">
        <f t="shared" si="19"/>
        <v>2.4871223940862364</v>
      </c>
      <c r="O242" s="31">
        <f t="shared" si="20"/>
        <v>1.7879571130539369</v>
      </c>
      <c r="P242" s="31"/>
      <c r="Q242" s="31">
        <f t="shared" si="22"/>
        <v>1.435940783733235</v>
      </c>
    </row>
    <row r="243" spans="1:17" x14ac:dyDescent="0.15">
      <c r="A243" s="122">
        <v>1893</v>
      </c>
      <c r="B243" s="113">
        <v>16.641758095225399</v>
      </c>
      <c r="C243" s="113">
        <v>48.964596551316426</v>
      </c>
      <c r="D243" s="113">
        <v>13.571824454645721</v>
      </c>
      <c r="E243" s="113">
        <v>6.7939692926889208</v>
      </c>
      <c r="F243" s="113"/>
      <c r="G243" s="113">
        <v>7.0441304106774165</v>
      </c>
      <c r="H243" s="31"/>
      <c r="I243" s="31">
        <v>401.90526148062162</v>
      </c>
      <c r="J243" s="31">
        <f t="shared" si="16"/>
        <v>1266.001573663958</v>
      </c>
      <c r="K243" s="31"/>
      <c r="L243" s="26">
        <f t="shared" si="17"/>
        <v>3.2862830586896878</v>
      </c>
      <c r="M243" s="31">
        <f t="shared" si="18"/>
        <v>9.6691421183638635</v>
      </c>
      <c r="N243" s="31">
        <f t="shared" si="19"/>
        <v>2.6800567900099956</v>
      </c>
      <c r="O243" s="31">
        <f t="shared" si="20"/>
        <v>1.3416194406904196</v>
      </c>
      <c r="P243" s="31"/>
      <c r="Q243" s="31">
        <f t="shared" si="22"/>
        <v>1.391019284101455</v>
      </c>
    </row>
    <row r="244" spans="1:17" x14ac:dyDescent="0.15">
      <c r="A244" s="122">
        <v>1894</v>
      </c>
      <c r="B244" s="113">
        <v>13.587938585377842</v>
      </c>
      <c r="C244" s="113">
        <v>43.122637101752616</v>
      </c>
      <c r="D244" s="113">
        <v>14.942857142857138</v>
      </c>
      <c r="E244" s="113">
        <v>7.8450000000000006</v>
      </c>
      <c r="F244" s="113"/>
      <c r="G244" s="113">
        <v>9.9619047619047638</v>
      </c>
      <c r="H244" s="31"/>
      <c r="I244" s="31">
        <v>386.53385693214057</v>
      </c>
      <c r="J244" s="31">
        <f t="shared" si="16"/>
        <v>1217.5816493362427</v>
      </c>
      <c r="K244" s="31"/>
      <c r="L244" s="26">
        <f t="shared" si="17"/>
        <v>2.7899440240383933</v>
      </c>
      <c r="M244" s="31">
        <f t="shared" si="18"/>
        <v>8.8541571576043108</v>
      </c>
      <c r="N244" s="31">
        <f t="shared" si="19"/>
        <v>3.0681427301001016</v>
      </c>
      <c r="O244" s="31">
        <f t="shared" si="20"/>
        <v>1.6107749333025543</v>
      </c>
      <c r="P244" s="31"/>
      <c r="Q244" s="31">
        <f t="shared" si="22"/>
        <v>2.0454284867334023</v>
      </c>
    </row>
    <row r="245" spans="1:17" x14ac:dyDescent="0.15">
      <c r="A245" s="122">
        <v>1895</v>
      </c>
      <c r="B245" s="113">
        <v>19.216247032134032</v>
      </c>
      <c r="C245" s="113">
        <v>43.172199635350907</v>
      </c>
      <c r="D245" s="113">
        <v>14.942857142857138</v>
      </c>
      <c r="E245" s="113">
        <v>6.7939692926889208</v>
      </c>
      <c r="F245" s="113"/>
      <c r="G245" s="113">
        <v>8.9101984931991609</v>
      </c>
      <c r="H245" s="31"/>
      <c r="I245" s="31">
        <v>386.60715666591398</v>
      </c>
      <c r="J245" s="31">
        <f t="shared" si="16"/>
        <v>1217.8125434976289</v>
      </c>
      <c r="K245" s="31"/>
      <c r="L245" s="26">
        <f t="shared" si="17"/>
        <v>3.9448286057523769</v>
      </c>
      <c r="M245" s="31">
        <f t="shared" si="18"/>
        <v>8.8626529316568341</v>
      </c>
      <c r="N245" s="31">
        <f t="shared" si="19"/>
        <v>3.0675610180406703</v>
      </c>
      <c r="O245" s="31">
        <f t="shared" si="20"/>
        <v>1.3947075288730899</v>
      </c>
      <c r="P245" s="31"/>
      <c r="Q245" s="31">
        <f t="shared" si="22"/>
        <v>1.8291399897246396</v>
      </c>
    </row>
    <row r="246" spans="1:17" x14ac:dyDescent="0.15">
      <c r="A246" s="122">
        <v>1896</v>
      </c>
      <c r="B246" s="113">
        <v>21.484417318140139</v>
      </c>
      <c r="C246" s="113">
        <v>51.131800033129352</v>
      </c>
      <c r="D246" s="113">
        <v>12.200791766434307</v>
      </c>
      <c r="E246" s="113">
        <v>7.3383255498103912</v>
      </c>
      <c r="F246" s="113"/>
      <c r="G246" s="113">
        <v>4.9809523809523801</v>
      </c>
      <c r="H246" s="31"/>
      <c r="I246" s="31">
        <v>393.89638313932392</v>
      </c>
      <c r="J246" s="31">
        <f t="shared" si="16"/>
        <v>1240.7736068888703</v>
      </c>
      <c r="K246" s="31"/>
      <c r="L246" s="26">
        <f t="shared" si="17"/>
        <v>4.3288350910385676</v>
      </c>
      <c r="M246" s="31">
        <f t="shared" si="18"/>
        <v>10.302403224335542</v>
      </c>
      <c r="N246" s="31">
        <f t="shared" si="19"/>
        <v>2.458303371923487</v>
      </c>
      <c r="O246" s="31">
        <f t="shared" si="20"/>
        <v>1.4785786683943478</v>
      </c>
      <c r="P246" s="31"/>
      <c r="Q246" s="31">
        <f t="shared" si="22"/>
        <v>1.0035981490293133</v>
      </c>
    </row>
    <row r="247" spans="1:17" x14ac:dyDescent="0.15">
      <c r="A247" s="122">
        <v>1897</v>
      </c>
      <c r="B247" s="113">
        <v>23.534999999999993</v>
      </c>
      <c r="C247" s="113">
        <v>47.928736390268675</v>
      </c>
      <c r="D247" s="113">
        <v>17.254525187781386</v>
      </c>
      <c r="E247" s="113">
        <v>8.7709766417429265</v>
      </c>
      <c r="F247" s="113"/>
      <c r="G247" s="113">
        <v>9.9619047619047638</v>
      </c>
      <c r="H247" s="31"/>
      <c r="I247" s="31">
        <v>411.70264248302215</v>
      </c>
      <c r="J247" s="31">
        <f t="shared" si="16"/>
        <v>1296.8633238215198</v>
      </c>
      <c r="K247" s="31"/>
      <c r="L247" s="26">
        <f t="shared" si="17"/>
        <v>4.5369083171094031</v>
      </c>
      <c r="M247" s="31">
        <f t="shared" si="18"/>
        <v>9.2393576697494861</v>
      </c>
      <c r="N247" s="31">
        <f t="shared" si="19"/>
        <v>3.3262034770435132</v>
      </c>
      <c r="O247" s="31">
        <f t="shared" si="20"/>
        <v>1.6908059007901339</v>
      </c>
      <c r="P247" s="31"/>
      <c r="Q247" s="31">
        <f t="shared" si="22"/>
        <v>1.9203844728505419</v>
      </c>
    </row>
    <row r="248" spans="1:17" x14ac:dyDescent="0.15">
      <c r="A248" s="122">
        <v>1898</v>
      </c>
      <c r="B248" s="113">
        <v>19.216247032134032</v>
      </c>
      <c r="C248" s="113">
        <v>47.339953816363796</v>
      </c>
      <c r="D248" s="113">
        <v>17.254525187781386</v>
      </c>
      <c r="E248" s="113">
        <v>9.6081235160670158</v>
      </c>
      <c r="F248" s="113"/>
      <c r="G248" s="113">
        <v>7.7164582478722998</v>
      </c>
      <c r="H248" s="31"/>
      <c r="I248" s="31">
        <v>377.81784011785339</v>
      </c>
      <c r="J248" s="31">
        <f t="shared" si="16"/>
        <v>1190.1261963712382</v>
      </c>
      <c r="K248" s="31"/>
      <c r="L248" s="26">
        <f t="shared" si="17"/>
        <v>4.0365986167528805</v>
      </c>
      <c r="M248" s="31">
        <f t="shared" si="18"/>
        <v>9.9443138804746063</v>
      </c>
      <c r="N248" s="31">
        <f t="shared" si="19"/>
        <v>3.6245158791545395</v>
      </c>
      <c r="O248" s="31">
        <f t="shared" si="20"/>
        <v>2.0182993083764402</v>
      </c>
      <c r="P248" s="31"/>
      <c r="Q248" s="31">
        <f t="shared" si="22"/>
        <v>1.6209327782633924</v>
      </c>
    </row>
    <row r="249" spans="1:17" x14ac:dyDescent="0.15">
      <c r="A249" s="122">
        <v>1899</v>
      </c>
      <c r="B249" s="113">
        <v>20.381907878066766</v>
      </c>
      <c r="C249" s="113">
        <v>46.38114753713063</v>
      </c>
      <c r="D249" s="113">
        <v>17.254525187781386</v>
      </c>
      <c r="E249" s="113">
        <v>10.742208659070069</v>
      </c>
      <c r="F249" s="113"/>
      <c r="G249" s="113">
        <v>12.200791766434307</v>
      </c>
      <c r="H249" s="31"/>
      <c r="I249" s="31">
        <v>391.39861946490964</v>
      </c>
      <c r="J249" s="31">
        <f t="shared" si="16"/>
        <v>1232.9056513144653</v>
      </c>
      <c r="K249" s="31"/>
      <c r="L249" s="26">
        <f t="shared" si="17"/>
        <v>4.1329009759052822</v>
      </c>
      <c r="M249" s="31">
        <f t="shared" si="18"/>
        <v>9.4048452709421149</v>
      </c>
      <c r="N249" s="31">
        <f t="shared" si="19"/>
        <v>3.4987521489145239</v>
      </c>
      <c r="O249" s="31">
        <f t="shared" si="20"/>
        <v>2.178230071298894</v>
      </c>
      <c r="P249" s="31"/>
      <c r="Q249" s="31">
        <f t="shared" si="22"/>
        <v>2.4739913701884659</v>
      </c>
    </row>
    <row r="250" spans="1:17" x14ac:dyDescent="0.15">
      <c r="A250" s="122">
        <v>1900</v>
      </c>
      <c r="B250" s="113">
        <v>17.651250000000001</v>
      </c>
      <c r="C250" s="113">
        <v>48.813333333333333</v>
      </c>
      <c r="D250" s="113">
        <v>14.859841269841271</v>
      </c>
      <c r="E250" s="113">
        <v>11.11375</v>
      </c>
      <c r="F250" s="113"/>
      <c r="G250" s="113">
        <v>7.6374603174603184</v>
      </c>
      <c r="H250" s="31"/>
      <c r="I250" s="31">
        <v>381.8051631956784</v>
      </c>
      <c r="J250" s="31">
        <f t="shared" si="16"/>
        <v>1202.6862640663869</v>
      </c>
      <c r="K250" s="31"/>
      <c r="L250" s="26">
        <f t="shared" si="17"/>
        <v>3.6691302061436182</v>
      </c>
      <c r="M250" s="31">
        <f t="shared" si="18"/>
        <v>10.146730446619388</v>
      </c>
      <c r="N250" s="31">
        <f t="shared" si="19"/>
        <v>3.088885629157943</v>
      </c>
      <c r="O250" s="31">
        <f t="shared" si="20"/>
        <v>2.3101930927570926</v>
      </c>
      <c r="P250" s="31"/>
      <c r="Q250" s="31">
        <f t="shared" si="22"/>
        <v>1.587583675321401</v>
      </c>
    </row>
    <row r="251" spans="1:17" x14ac:dyDescent="0.15">
      <c r="A251" s="122">
        <v>1901</v>
      </c>
      <c r="B251" s="113">
        <v>20.919999999999998</v>
      </c>
      <c r="C251" s="113">
        <v>52.082083333333337</v>
      </c>
      <c r="D251" s="113">
        <v>13.697619047619046</v>
      </c>
      <c r="E251" s="113">
        <v>10.459999999999999</v>
      </c>
      <c r="F251" s="113"/>
      <c r="G251" s="113">
        <v>7.0978571428571415</v>
      </c>
      <c r="H251" s="31"/>
      <c r="I251" s="31">
        <v>433.3790901300307</v>
      </c>
      <c r="J251" s="31">
        <f t="shared" si="16"/>
        <v>1365.1441339095966</v>
      </c>
      <c r="K251" s="31"/>
      <c r="L251" s="26">
        <f t="shared" si="17"/>
        <v>3.8310972959477576</v>
      </c>
      <c r="M251" s="31">
        <f t="shared" si="18"/>
        <v>9.5378359763699407</v>
      </c>
      <c r="N251" s="31">
        <f t="shared" si="19"/>
        <v>2.5084565628229365</v>
      </c>
      <c r="O251" s="31">
        <f t="shared" si="20"/>
        <v>1.9155486479738788</v>
      </c>
      <c r="P251" s="31"/>
      <c r="Q251" s="31">
        <f t="shared" si="22"/>
        <v>1.2998365825537035</v>
      </c>
    </row>
    <row r="252" spans="1:17" x14ac:dyDescent="0.15">
      <c r="A252" s="122">
        <v>1902</v>
      </c>
      <c r="B252" s="113">
        <v>22.881250000000001</v>
      </c>
      <c r="C252" s="113">
        <v>58.183750000000003</v>
      </c>
      <c r="D252" s="113">
        <v>19.010634920634917</v>
      </c>
      <c r="E252" s="113">
        <v>13.074999999999999</v>
      </c>
      <c r="F252" s="113"/>
      <c r="G252" s="113">
        <v>12.70142857142857</v>
      </c>
      <c r="H252" s="31"/>
      <c r="I252" s="31">
        <v>438.91233049479433</v>
      </c>
      <c r="J252" s="31">
        <f t="shared" si="16"/>
        <v>1382.5738410586021</v>
      </c>
      <c r="K252" s="31"/>
      <c r="L252" s="26">
        <f t="shared" si="17"/>
        <v>4.1374372421368113</v>
      </c>
      <c r="M252" s="31">
        <f t="shared" si="18"/>
        <v>10.520911844290747</v>
      </c>
      <c r="N252" s="31">
        <f t="shared" si="19"/>
        <v>3.4375442302016492</v>
      </c>
      <c r="O252" s="31">
        <f t="shared" si="20"/>
        <v>2.3642498526496061</v>
      </c>
      <c r="P252" s="31"/>
      <c r="Q252" s="31">
        <f t="shared" si="22"/>
        <v>2.2966998568596173</v>
      </c>
    </row>
    <row r="253" spans="1:17" x14ac:dyDescent="0.15">
      <c r="A253" s="122">
        <v>1903</v>
      </c>
      <c r="B253" s="113">
        <v>24.188749999999999</v>
      </c>
      <c r="C253" s="113">
        <v>64.612291666666664</v>
      </c>
      <c r="D253" s="113">
        <v>18.637063492063493</v>
      </c>
      <c r="E253" s="113">
        <v>13.074999999999999</v>
      </c>
      <c r="F253" s="113"/>
      <c r="G253" s="113">
        <v>11.041111111111112</v>
      </c>
      <c r="H253" s="31"/>
      <c r="I253" s="31">
        <v>360.49862060301382</v>
      </c>
      <c r="J253" s="31">
        <f t="shared" si="16"/>
        <v>1135.5706548994935</v>
      </c>
      <c r="K253" s="31"/>
      <c r="L253" s="26">
        <f t="shared" si="17"/>
        <v>5.3252410793718701</v>
      </c>
      <c r="M253" s="31">
        <f t="shared" si="18"/>
        <v>14.224630450754589</v>
      </c>
      <c r="N253" s="31">
        <f t="shared" si="19"/>
        <v>4.1030171508159068</v>
      </c>
      <c r="O253" s="31">
        <f t="shared" si="20"/>
        <v>2.8785086915523621</v>
      </c>
      <c r="P253" s="31"/>
      <c r="Q253" s="31">
        <f t="shared" si="22"/>
        <v>2.4307406728664391</v>
      </c>
    </row>
    <row r="254" spans="1:17" x14ac:dyDescent="0.15">
      <c r="A254" s="122">
        <v>1904</v>
      </c>
      <c r="B254" s="113">
        <v>20.919999999999998</v>
      </c>
      <c r="C254" s="113">
        <v>57.638958333333335</v>
      </c>
      <c r="D254" s="113">
        <v>13.697619047619046</v>
      </c>
      <c r="E254" s="113">
        <v>11.767500000000002</v>
      </c>
      <c r="F254" s="113"/>
      <c r="G254" s="113">
        <v>7.9695238095238086</v>
      </c>
      <c r="H254" s="31"/>
      <c r="I254" s="31">
        <v>338.50809416855265</v>
      </c>
      <c r="J254" s="31">
        <f t="shared" si="16"/>
        <v>1066.3004966309409</v>
      </c>
      <c r="K254" s="31"/>
      <c r="L254" s="26">
        <f t="shared" si="17"/>
        <v>4.9048087443685811</v>
      </c>
      <c r="M254" s="31">
        <f t="shared" si="18"/>
        <v>13.51376992589052</v>
      </c>
      <c r="N254" s="31">
        <f t="shared" si="19"/>
        <v>3.2114819159556185</v>
      </c>
      <c r="O254" s="31">
        <f t="shared" si="20"/>
        <v>2.7589549187073277</v>
      </c>
      <c r="P254" s="31"/>
      <c r="Q254" s="31">
        <f t="shared" si="22"/>
        <v>1.868498569283269</v>
      </c>
    </row>
    <row r="255" spans="1:17" x14ac:dyDescent="0.15">
      <c r="A255" s="122">
        <v>1905</v>
      </c>
      <c r="B255" s="113">
        <v>29.418749999999996</v>
      </c>
      <c r="C255" s="113">
        <v>54.697083333333339</v>
      </c>
      <c r="D255" s="113">
        <v>19.25968253968254</v>
      </c>
      <c r="E255" s="113">
        <v>11.767500000000002</v>
      </c>
      <c r="F255" s="113"/>
      <c r="G255" s="113">
        <v>18.138968253968251</v>
      </c>
      <c r="H255" s="31"/>
      <c r="I255" s="31">
        <v>335.32559051132483</v>
      </c>
      <c r="J255" s="31">
        <f t="shared" si="16"/>
        <v>1056.2756101106731</v>
      </c>
      <c r="K255" s="31"/>
      <c r="L255" s="26">
        <f t="shared" si="17"/>
        <v>6.9628489284433996</v>
      </c>
      <c r="M255" s="31">
        <f t="shared" si="18"/>
        <v>12.945741341031805</v>
      </c>
      <c r="N255" s="31">
        <f t="shared" si="19"/>
        <v>4.5583942191149749</v>
      </c>
      <c r="O255" s="31">
        <f t="shared" si="20"/>
        <v>2.7851395713773606</v>
      </c>
      <c r="P255" s="31"/>
      <c r="Q255" s="31">
        <f t="shared" si="22"/>
        <v>4.2931428313647491</v>
      </c>
    </row>
    <row r="256" spans="1:17" x14ac:dyDescent="0.15">
      <c r="A256" s="122">
        <v>1906</v>
      </c>
      <c r="B256" s="113">
        <v>18.958749999999998</v>
      </c>
      <c r="C256" s="113">
        <v>53.934374999999996</v>
      </c>
      <c r="D256" s="113">
        <v>15.939047619047617</v>
      </c>
      <c r="E256" s="113">
        <v>11.767500000000002</v>
      </c>
      <c r="F256" s="113"/>
      <c r="G256" s="113">
        <v>9.961904761904762</v>
      </c>
      <c r="H256" s="31"/>
      <c r="I256" s="31">
        <v>355.3882291688173</v>
      </c>
      <c r="J256" s="31">
        <f t="shared" si="16"/>
        <v>1119.4729218817745</v>
      </c>
      <c r="K256" s="31"/>
      <c r="L256" s="26">
        <f t="shared" si="17"/>
        <v>4.2338563151959381</v>
      </c>
      <c r="M256" s="31">
        <f t="shared" si="18"/>
        <v>12.044591241505685</v>
      </c>
      <c r="N256" s="31">
        <f t="shared" si="19"/>
        <v>3.5594982485719542</v>
      </c>
      <c r="O256" s="31">
        <f t="shared" si="20"/>
        <v>2.6279108163285136</v>
      </c>
      <c r="P256" s="31"/>
      <c r="Q256" s="31">
        <f t="shared" si="22"/>
        <v>2.2246864053574713</v>
      </c>
    </row>
    <row r="257" spans="1:17" x14ac:dyDescent="0.15">
      <c r="A257" s="122">
        <v>1907</v>
      </c>
      <c r="B257" s="113">
        <v>18.958749999999998</v>
      </c>
      <c r="C257" s="113">
        <v>51.537291666666661</v>
      </c>
      <c r="D257" s="113">
        <v>14.942857142857143</v>
      </c>
      <c r="E257" s="113">
        <v>11.11375</v>
      </c>
      <c r="F257" s="113"/>
      <c r="G257" s="113">
        <v>7.9695238095238086</v>
      </c>
      <c r="H257" s="31"/>
      <c r="I257" s="31">
        <v>355.7536854096432</v>
      </c>
      <c r="J257" s="31">
        <f t="shared" si="16"/>
        <v>1120.624109040376</v>
      </c>
      <c r="K257" s="31"/>
      <c r="L257" s="26">
        <f t="shared" si="17"/>
        <v>4.2295069879040321</v>
      </c>
      <c r="M257" s="31">
        <f t="shared" si="18"/>
        <v>11.49745290390004</v>
      </c>
      <c r="N257" s="31">
        <f t="shared" si="19"/>
        <v>3.3336015668209118</v>
      </c>
      <c r="O257" s="31">
        <f t="shared" si="20"/>
        <v>2.4793661653230532</v>
      </c>
      <c r="P257" s="31"/>
      <c r="Q257" s="31">
        <f t="shared" si="22"/>
        <v>1.7779208356378193</v>
      </c>
    </row>
    <row r="258" spans="1:17" x14ac:dyDescent="0.15">
      <c r="A258" s="122">
        <v>1908</v>
      </c>
      <c r="B258" s="113">
        <v>20.259351624999997</v>
      </c>
      <c r="C258" s="113">
        <v>46.743124999999992</v>
      </c>
      <c r="D258" s="113">
        <v>16.202338412698413</v>
      </c>
      <c r="E258" s="113">
        <v>6.7939692926889208</v>
      </c>
      <c r="F258" s="113"/>
      <c r="G258" s="113">
        <v>7.4714285714285715</v>
      </c>
      <c r="H258" s="31"/>
      <c r="I258" s="31">
        <v>391.39514684381271</v>
      </c>
      <c r="J258" s="31">
        <f t="shared" si="16"/>
        <v>1232.89471255801</v>
      </c>
      <c r="K258" s="31"/>
      <c r="L258" s="26">
        <f t="shared" si="17"/>
        <v>4.108086322911932</v>
      </c>
      <c r="M258" s="31">
        <f t="shared" si="18"/>
        <v>9.4783286285284962</v>
      </c>
      <c r="N258" s="31">
        <f t="shared" si="19"/>
        <v>3.285426210296944</v>
      </c>
      <c r="O258" s="31">
        <f t="shared" si="20"/>
        <v>1.3776458815758876</v>
      </c>
      <c r="P258" s="31"/>
      <c r="Q258" s="31">
        <f t="shared" si="22"/>
        <v>1.5150175630015581</v>
      </c>
    </row>
    <row r="259" spans="1:17" x14ac:dyDescent="0.15">
      <c r="A259" s="122">
        <v>1909</v>
      </c>
      <c r="B259" s="113">
        <v>22.821137917518122</v>
      </c>
      <c r="C259" s="113">
        <v>53.79261947583413</v>
      </c>
      <c r="D259" s="113">
        <v>15.048085714285714</v>
      </c>
      <c r="E259" s="113">
        <v>7.1255751083684453</v>
      </c>
      <c r="F259" s="113"/>
      <c r="G259" s="113">
        <v>8.7166666666666668</v>
      </c>
      <c r="H259" s="31"/>
      <c r="I259" s="31">
        <v>399.76410115402848</v>
      </c>
      <c r="J259" s="31">
        <f t="shared" si="16"/>
        <v>1259.2569186351898</v>
      </c>
      <c r="K259" s="31"/>
      <c r="L259" s="26">
        <f t="shared" si="17"/>
        <v>4.5306755078725658</v>
      </c>
      <c r="M259" s="31">
        <f t="shared" si="18"/>
        <v>10.679436952019241</v>
      </c>
      <c r="N259" s="31">
        <f t="shared" si="19"/>
        <v>2.987493157987799</v>
      </c>
      <c r="O259" s="31">
        <f t="shared" si="20"/>
        <v>1.4146388641825569</v>
      </c>
      <c r="P259" s="31"/>
      <c r="Q259" s="31">
        <f t="shared" si="22"/>
        <v>1.7305179224494514</v>
      </c>
    </row>
    <row r="260" spans="1:17" x14ac:dyDescent="0.15">
      <c r="A260" s="122">
        <v>1910</v>
      </c>
      <c r="B260" s="113">
        <v>18.304999999999996</v>
      </c>
      <c r="C260" s="113">
        <v>45.63131123666988</v>
      </c>
      <c r="D260" s="113"/>
      <c r="E260" s="113"/>
      <c r="F260" s="113"/>
      <c r="G260" s="113"/>
      <c r="H260" s="31"/>
      <c r="I260" s="31">
        <v>381.22709714501775</v>
      </c>
      <c r="J260" s="31">
        <f t="shared" ref="J260:J263" si="23">I260*3.15</f>
        <v>1200.865356006806</v>
      </c>
      <c r="K260" s="31"/>
      <c r="L260" s="26">
        <f t="shared" ref="L260:L263" si="24">(B260*250)/J260</f>
        <v>3.8107935890641707</v>
      </c>
      <c r="M260" s="31">
        <f t="shared" ref="M260:M263" si="25">C260*250/J260</f>
        <v>9.4996726752960097</v>
      </c>
      <c r="N260" s="31"/>
      <c r="O260" s="31"/>
      <c r="P260" s="31"/>
      <c r="Q260" s="31"/>
    </row>
    <row r="261" spans="1:17" x14ac:dyDescent="0.15">
      <c r="A261" s="122">
        <v>1911</v>
      </c>
      <c r="B261" s="113">
        <v>23.535</v>
      </c>
      <c r="C261" s="113">
        <v>45.63131123666988</v>
      </c>
      <c r="D261" s="113"/>
      <c r="E261" s="113"/>
      <c r="F261" s="113"/>
      <c r="G261" s="113"/>
      <c r="H261" s="31"/>
      <c r="I261" s="31">
        <v>380.78998605216589</v>
      </c>
      <c r="J261" s="31">
        <f t="shared" si="23"/>
        <v>1199.4884560643225</v>
      </c>
      <c r="K261" s="31"/>
      <c r="L261" s="26">
        <f t="shared" si="24"/>
        <v>4.9052160279268948</v>
      </c>
      <c r="M261" s="31">
        <f t="shared" si="25"/>
        <v>9.5105774061369761</v>
      </c>
      <c r="N261" s="31"/>
      <c r="O261" s="31"/>
      <c r="P261" s="31"/>
      <c r="Q261" s="31"/>
    </row>
    <row r="262" spans="1:17" x14ac:dyDescent="0.15">
      <c r="A262" s="122">
        <v>1912</v>
      </c>
      <c r="B262" s="113">
        <v>23.315027332723659</v>
      </c>
      <c r="C262" s="113">
        <v>45.011921606599564</v>
      </c>
      <c r="D262" s="113"/>
      <c r="E262" s="113"/>
      <c r="F262" s="113"/>
      <c r="G262" s="113"/>
      <c r="H262" s="31"/>
      <c r="I262" s="31">
        <v>391.12646076475221</v>
      </c>
      <c r="J262" s="31">
        <f t="shared" si="23"/>
        <v>1232.0483514089694</v>
      </c>
      <c r="K262" s="31"/>
      <c r="L262" s="26">
        <f t="shared" si="24"/>
        <v>4.7309481210823856</v>
      </c>
      <c r="M262" s="31">
        <f t="shared" si="25"/>
        <v>9.1335542057103467</v>
      </c>
      <c r="N262" s="31"/>
      <c r="O262" s="31"/>
      <c r="P262" s="31"/>
      <c r="Q262" s="31"/>
    </row>
    <row r="263" spans="1:17" x14ac:dyDescent="0.15">
      <c r="A263" s="122">
        <v>1913</v>
      </c>
      <c r="B263" s="113">
        <v>23.095054665447314</v>
      </c>
      <c r="C263" s="113">
        <v>54.001687984352827</v>
      </c>
      <c r="D263" s="113"/>
      <c r="E263" s="113"/>
      <c r="F263" s="113"/>
      <c r="G263" s="113"/>
      <c r="H263" s="31"/>
      <c r="I263" s="31">
        <v>401.60551101684024</v>
      </c>
      <c r="J263" s="31">
        <f t="shared" si="23"/>
        <v>1265.0573597030468</v>
      </c>
      <c r="K263" s="31"/>
      <c r="L263" s="26">
        <f t="shared" si="24"/>
        <v>4.564033102591595</v>
      </c>
      <c r="M263" s="31">
        <f t="shared" si="25"/>
        <v>10.67178645500883</v>
      </c>
      <c r="N263" s="31"/>
      <c r="O263" s="31"/>
      <c r="P263" s="31"/>
      <c r="Q263" s="31"/>
    </row>
    <row r="265" spans="1:17" x14ac:dyDescent="0.15">
      <c r="A265" s="24"/>
      <c r="B265" s="31" t="s">
        <v>0</v>
      </c>
      <c r="C265" s="31" t="s">
        <v>1</v>
      </c>
      <c r="D265" s="31" t="s">
        <v>2</v>
      </c>
      <c r="E265" s="31" t="s">
        <v>3</v>
      </c>
      <c r="F265" s="31" t="s">
        <v>4</v>
      </c>
      <c r="G265" s="31" t="s">
        <v>5</v>
      </c>
      <c r="H265" s="31"/>
      <c r="I265" s="31"/>
      <c r="J265" s="31"/>
      <c r="K265" s="26"/>
      <c r="L265" s="31" t="s">
        <v>11</v>
      </c>
      <c r="M265" s="31" t="s">
        <v>12</v>
      </c>
      <c r="N265" s="31" t="s">
        <v>13</v>
      </c>
      <c r="O265" s="31" t="s">
        <v>14</v>
      </c>
      <c r="P265" s="31" t="s">
        <v>15</v>
      </c>
      <c r="Q265" s="31" t="s">
        <v>16</v>
      </c>
    </row>
    <row r="266" spans="1:17" x14ac:dyDescent="0.15">
      <c r="A266" s="122" t="s">
        <v>17</v>
      </c>
      <c r="B266" s="31">
        <f>AVERAGE(B3:B25)</f>
        <v>6.3173102111275208</v>
      </c>
      <c r="C266" s="31">
        <f t="shared" ref="C266:D266" si="26">AVERAGE(C3:C25)</f>
        <v>11.543429356353608</v>
      </c>
      <c r="D266" s="31">
        <f t="shared" si="26"/>
        <v>9.4079999999999995</v>
      </c>
      <c r="E266" s="31"/>
      <c r="F266" s="31"/>
      <c r="G266" s="31"/>
      <c r="H266" s="26"/>
      <c r="I266" s="26"/>
      <c r="J266" s="26"/>
      <c r="K266" s="26" t="s">
        <v>18</v>
      </c>
      <c r="L266" s="31">
        <f>AVERAGE(L3:L25)</f>
        <v>1.9330694941353577</v>
      </c>
      <c r="M266" s="31">
        <f t="shared" ref="M266:N266" si="27">AVERAGE(M3:M25)</f>
        <v>3.5323107318877716</v>
      </c>
      <c r="N266" s="31">
        <f t="shared" si="27"/>
        <v>3.0495814933856353</v>
      </c>
      <c r="O266" s="31"/>
      <c r="P266" s="31"/>
      <c r="Q266" s="31"/>
    </row>
    <row r="267" spans="1:17" x14ac:dyDescent="0.15">
      <c r="A267" s="24" t="s">
        <v>19</v>
      </c>
      <c r="B267" s="31">
        <f>AVERAGE(B26:B50)</f>
        <v>6.2347177569066492</v>
      </c>
      <c r="C267" s="31">
        <f t="shared" ref="C267:D267" si="28">AVERAGE(C26:C50)</f>
        <v>11.492192514267897</v>
      </c>
      <c r="D267" s="31">
        <f t="shared" si="28"/>
        <v>6.0970714285714287</v>
      </c>
      <c r="E267" s="31"/>
      <c r="F267" s="31"/>
      <c r="G267" s="31"/>
      <c r="H267" s="26"/>
      <c r="I267" s="26"/>
      <c r="J267" s="26"/>
      <c r="K267" s="26" t="s">
        <v>20</v>
      </c>
      <c r="L267" s="31">
        <f>AVERAGE(L26:L50)</f>
        <v>1.7831286689582664</v>
      </c>
      <c r="M267" s="31">
        <f t="shared" ref="M267:N267" si="29">AVERAGE(M26:M50)</f>
        <v>3.2875797781928564</v>
      </c>
      <c r="N267" s="31">
        <f t="shared" si="29"/>
        <v>1.7671927403391365</v>
      </c>
      <c r="O267" s="31"/>
      <c r="P267" s="31"/>
      <c r="Q267" s="31"/>
    </row>
    <row r="268" spans="1:17" x14ac:dyDescent="0.15">
      <c r="A268" s="24" t="s">
        <v>21</v>
      </c>
      <c r="B268" s="31">
        <f>AVERAGE(B51:B75)</f>
        <v>6.0775400757047713</v>
      </c>
      <c r="C268" s="31">
        <f t="shared" ref="C268:D268" si="30">AVERAGE(C51:C75)</f>
        <v>10.320076239290392</v>
      </c>
      <c r="D268" s="31">
        <f t="shared" si="30"/>
        <v>5.2601055610290093</v>
      </c>
      <c r="E268" s="31"/>
      <c r="F268" s="31"/>
      <c r="G268" s="31"/>
      <c r="H268" s="26"/>
      <c r="I268" s="26"/>
      <c r="J268" s="26"/>
      <c r="K268" s="26" t="s">
        <v>22</v>
      </c>
      <c r="L268" s="31">
        <f>AVERAGE(L51:L75)</f>
        <v>2.0930871663075403</v>
      </c>
      <c r="M268" s="31">
        <f t="shared" ref="M268:N268" si="31">AVERAGE(M51:M75)</f>
        <v>3.5535782733300505</v>
      </c>
      <c r="N268" s="31">
        <f t="shared" si="31"/>
        <v>1.7480484822669926</v>
      </c>
      <c r="O268" s="31"/>
      <c r="P268" s="31"/>
      <c r="Q268" s="31"/>
    </row>
    <row r="269" spans="1:17" x14ac:dyDescent="0.15">
      <c r="A269" s="24" t="s">
        <v>23</v>
      </c>
      <c r="B269" s="31">
        <f>AVERAGE(B76:B100)</f>
        <v>5.9550996790883071</v>
      </c>
      <c r="C269" s="31">
        <f t="shared" ref="C269:D269" si="32">AVERAGE(C76:C100)</f>
        <v>9.5774671454501963</v>
      </c>
      <c r="D269" s="31">
        <f t="shared" si="32"/>
        <v>5.2406533333333334</v>
      </c>
      <c r="E269" s="40">
        <f>AVERAGE(E76:E100)</f>
        <v>9.2796199999999995</v>
      </c>
      <c r="F269" s="31"/>
      <c r="G269" s="31"/>
      <c r="H269" s="26"/>
      <c r="I269" s="26"/>
      <c r="J269" s="26"/>
      <c r="K269" s="26" t="s">
        <v>24</v>
      </c>
      <c r="L269" s="31">
        <f>AVERAGE(L76:L100)</f>
        <v>2.2009938272890115</v>
      </c>
      <c r="M269" s="31">
        <f t="shared" ref="M269:O269" si="33">AVERAGE(M76:M100)</f>
        <v>3.5410512598042505</v>
      </c>
      <c r="N269" s="31">
        <f t="shared" si="33"/>
        <v>1.4740031611703284</v>
      </c>
      <c r="O269" s="40">
        <f t="shared" si="33"/>
        <v>3.9320882849957943</v>
      </c>
      <c r="P269" s="31"/>
      <c r="Q269" s="31"/>
    </row>
    <row r="270" spans="1:17" x14ac:dyDescent="0.15">
      <c r="A270" s="24" t="s">
        <v>25</v>
      </c>
      <c r="B270" s="31">
        <f>AVERAGE(B101:B125)</f>
        <v>5.7303844619194964</v>
      </c>
      <c r="C270" s="31">
        <f t="shared" ref="C270:D270" si="34">AVERAGE(C101:C125)</f>
        <v>9.2350799869271523</v>
      </c>
      <c r="D270" s="31">
        <f t="shared" si="34"/>
        <v>4.3370924137931031</v>
      </c>
      <c r="E270" s="40"/>
      <c r="F270" s="31"/>
      <c r="G270" s="31"/>
      <c r="H270" s="26"/>
      <c r="I270" s="26"/>
      <c r="J270" s="26"/>
      <c r="K270" s="26" t="s">
        <v>26</v>
      </c>
      <c r="L270" s="31">
        <f>AVERAGE(L101:L125)</f>
        <v>2.1827690205512149</v>
      </c>
      <c r="M270" s="31">
        <f t="shared" ref="M270:N270" si="35">AVERAGE(M101:M125)</f>
        <v>3.5175019114032677</v>
      </c>
      <c r="N270" s="31">
        <f t="shared" si="35"/>
        <v>1.6273845045396234</v>
      </c>
      <c r="O270" s="31"/>
      <c r="P270" s="31"/>
      <c r="Q270" s="31"/>
    </row>
    <row r="271" spans="1:17" x14ac:dyDescent="0.15">
      <c r="A271" s="24" t="s">
        <v>27</v>
      </c>
      <c r="B271" s="31">
        <f>AVERAGE(B126:B150)</f>
        <v>7.3044958749593958</v>
      </c>
      <c r="C271" s="31">
        <f>AVERAGE(C126:C150)</f>
        <v>11.981864064411152</v>
      </c>
      <c r="D271" s="40">
        <f>AVERAGE(D126:D150)</f>
        <v>21.443047619047622</v>
      </c>
      <c r="E271" s="40">
        <f>AVERAGE(E126:E150)</f>
        <v>7.5360502645502656</v>
      </c>
      <c r="F271" s="40">
        <f>AVERAGE(F126:F150)</f>
        <v>10.982857142857142</v>
      </c>
      <c r="G271" s="31"/>
      <c r="H271" s="26"/>
      <c r="I271" s="26"/>
      <c r="J271" s="122"/>
      <c r="K271" s="26" t="s">
        <v>28</v>
      </c>
      <c r="L271" s="31">
        <f>AVERAGE(L126:L150)</f>
        <v>2.3904550279566346</v>
      </c>
      <c r="M271" s="31">
        <f t="shared" ref="M271:P271" si="36">AVERAGE(M126:M150)</f>
        <v>3.8793047811371766</v>
      </c>
      <c r="N271" s="31"/>
      <c r="O271" s="40">
        <f t="shared" si="36"/>
        <v>2.0650055086265637</v>
      </c>
      <c r="P271" s="40">
        <f t="shared" si="36"/>
        <v>3.4291867131568807</v>
      </c>
      <c r="Q271" s="31"/>
    </row>
    <row r="272" spans="1:17" x14ac:dyDescent="0.15">
      <c r="A272" s="24" t="s">
        <v>29</v>
      </c>
      <c r="B272" s="31">
        <f>AVERAGE(B151:B175)</f>
        <v>13.864140105263157</v>
      </c>
      <c r="C272" s="31">
        <f t="shared" ref="C272" si="37">AVERAGE(C151:C175)</f>
        <v>24.408236867167918</v>
      </c>
      <c r="D272" s="31">
        <f>AVERAGE(D151:D175)</f>
        <v>9.7336111111111112</v>
      </c>
      <c r="E272" s="31">
        <f>AVERAGE(E151:E175)</f>
        <v>11.58490702357332</v>
      </c>
      <c r="F272" s="31"/>
      <c r="G272" s="40">
        <f>AVERAGE(G151:G175)</f>
        <v>3.6189732142857149</v>
      </c>
      <c r="H272" s="26"/>
      <c r="I272" s="26"/>
      <c r="J272" s="26"/>
      <c r="K272" s="26" t="s">
        <v>30</v>
      </c>
      <c r="L272" s="31">
        <f>AVERAGE(L151:L175)</f>
        <v>3.0375279513031552</v>
      </c>
      <c r="M272" s="31">
        <f t="shared" ref="M272:Q272" si="38">AVERAGE(M151:M175)</f>
        <v>5.1799289940756896</v>
      </c>
      <c r="N272" s="31">
        <f t="shared" si="38"/>
        <v>2.6534778224861424</v>
      </c>
      <c r="O272" s="31">
        <f t="shared" si="38"/>
        <v>2.4253926933619527</v>
      </c>
      <c r="P272" s="31"/>
      <c r="Q272" s="40">
        <f t="shared" si="38"/>
        <v>0.94526129212154753</v>
      </c>
    </row>
    <row r="273" spans="1:17" x14ac:dyDescent="0.15">
      <c r="A273" s="24" t="s">
        <v>31</v>
      </c>
      <c r="B273" s="31">
        <f>AVERAGE(B176:B200)</f>
        <v>11.681633238639327</v>
      </c>
      <c r="C273" s="31">
        <f t="shared" ref="C273" si="39">AVERAGE(C176:C200)</f>
        <v>23.925060527962444</v>
      </c>
      <c r="D273" s="31">
        <f>AVERAGE(D176:D200)</f>
        <v>12.444474678760395</v>
      </c>
      <c r="E273" s="31">
        <f t="shared" ref="E273:G273" si="40">AVERAGE(E176:E200)</f>
        <v>8.5558234126984125</v>
      </c>
      <c r="F273" s="31">
        <f t="shared" si="40"/>
        <v>12.677719292688899</v>
      </c>
      <c r="G273" s="40">
        <f t="shared" si="40"/>
        <v>1.987981111111111</v>
      </c>
      <c r="H273" s="26"/>
      <c r="I273" s="26"/>
      <c r="J273" s="26"/>
      <c r="K273" s="26" t="s">
        <v>32</v>
      </c>
      <c r="L273" s="31">
        <f>AVERAGE(L176:L200)</f>
        <v>2.6327441144446855</v>
      </c>
      <c r="M273" s="31">
        <f t="shared" ref="M273:Q273" si="41">AVERAGE(M176:M200)</f>
        <v>5.4015869101308667</v>
      </c>
      <c r="N273" s="31">
        <f t="shared" si="41"/>
        <v>2.6885620748136096</v>
      </c>
      <c r="O273" s="31">
        <f t="shared" si="41"/>
        <v>1.8499903413531424</v>
      </c>
      <c r="P273" s="31">
        <f>AVERAGE(P176:P200)</f>
        <v>2.5577038817847946</v>
      </c>
      <c r="Q273" s="40">
        <f t="shared" si="41"/>
        <v>0.53922124469378696</v>
      </c>
    </row>
    <row r="274" spans="1:17" x14ac:dyDescent="0.15">
      <c r="A274" s="24" t="s">
        <v>33</v>
      </c>
      <c r="B274" s="31">
        <f>AVERAGE(B201:B225)</f>
        <v>17.85600428123535</v>
      </c>
      <c r="C274" s="31">
        <f t="shared" ref="C274" si="42">AVERAGE(C201:C225)</f>
        <v>37.658137295147341</v>
      </c>
      <c r="D274" s="31">
        <f>AVERAGE(D201:D225)</f>
        <v>13.914567195767198</v>
      </c>
      <c r="E274" s="31">
        <f t="shared" ref="E274:G274" si="43">AVERAGE(E201:E225)</f>
        <v>12.190951704545455</v>
      </c>
      <c r="F274" s="31">
        <f t="shared" si="43"/>
        <v>31.112556818181815</v>
      </c>
      <c r="G274" s="31">
        <f t="shared" si="43"/>
        <v>7.5756700937950932</v>
      </c>
      <c r="H274" s="26"/>
      <c r="I274" s="26"/>
      <c r="J274" s="26"/>
      <c r="K274" s="26" t="s">
        <v>34</v>
      </c>
      <c r="L274" s="31">
        <f>AVERAGE(L201:L225)</f>
        <v>3.2567502385950791</v>
      </c>
      <c r="M274" s="31">
        <f t="shared" ref="M274:Q274" si="44">AVERAGE(M201:M225)</f>
        <v>6.8492799392487749</v>
      </c>
      <c r="N274" s="31">
        <f t="shared" si="44"/>
        <v>2.6225469177541378</v>
      </c>
      <c r="O274" s="31">
        <f t="shared" si="44"/>
        <v>2.1118811897107985</v>
      </c>
      <c r="P274" s="31">
        <f t="shared" si="44"/>
        <v>5.38731603538693</v>
      </c>
      <c r="Q274" s="31">
        <f t="shared" si="44"/>
        <v>1.3131882619332684</v>
      </c>
    </row>
    <row r="275" spans="1:17" x14ac:dyDescent="0.15">
      <c r="A275" s="24" t="s">
        <v>35</v>
      </c>
      <c r="B275" s="31">
        <f>AVERAGE(B226:B250)</f>
        <v>19.813843050660488</v>
      </c>
      <c r="C275" s="31">
        <f t="shared" ref="C275" si="45">AVERAGE(C226:C250)</f>
        <v>47.627281859212182</v>
      </c>
      <c r="D275" s="31">
        <f>AVERAGE(D226:D250)</f>
        <v>15.767937955537013</v>
      </c>
      <c r="E275" s="31">
        <f t="shared" ref="E275:G275" si="46">AVERAGE(E226:E250)</f>
        <v>10.696097570817937</v>
      </c>
      <c r="F275" s="31">
        <f t="shared" si="46"/>
        <v>36.208216145833333</v>
      </c>
      <c r="G275" s="31">
        <f t="shared" si="46"/>
        <v>7.9725165479939655</v>
      </c>
      <c r="H275" s="26"/>
      <c r="I275" s="26"/>
      <c r="J275" s="26"/>
      <c r="K275" s="26" t="s">
        <v>36</v>
      </c>
      <c r="L275" s="31">
        <f>AVERAGE(L226:L250)</f>
        <v>3.6680126279793579</v>
      </c>
      <c r="M275" s="31">
        <f t="shared" ref="M275:Q275" si="47">AVERAGE(M226:M250)</f>
        <v>8.8691123810505719</v>
      </c>
      <c r="N275" s="31">
        <f t="shared" si="47"/>
        <v>2.9200567700913558</v>
      </c>
      <c r="O275" s="31">
        <f t="shared" si="47"/>
        <v>1.9656974448884619</v>
      </c>
      <c r="P275" s="31">
        <f t="shared" si="47"/>
        <v>5.8430250281313896</v>
      </c>
      <c r="Q275" s="31">
        <f t="shared" si="47"/>
        <v>1.4963409830812384</v>
      </c>
    </row>
    <row r="276" spans="1:17" x14ac:dyDescent="0.15">
      <c r="A276" s="24" t="s">
        <v>37</v>
      </c>
      <c r="B276" s="31">
        <f>AVERAGE(B251:B263)</f>
        <v>22.121293964668389</v>
      </c>
      <c r="C276" s="31">
        <f t="shared" ref="C276" si="48">AVERAGE(C251:C263)</f>
        <v>52.576754605650734</v>
      </c>
      <c r="D276" s="31">
        <f>AVERAGE(D251:D263)</f>
        <v>16.270549770723104</v>
      </c>
      <c r="E276" s="31">
        <f>AVERAGE(E251:E263)</f>
        <v>10.771754933450817</v>
      </c>
      <c r="F276" s="31"/>
      <c r="G276" s="31">
        <f>AVERAGE(G251:G263)</f>
        <v>10.118712522045854</v>
      </c>
      <c r="H276" s="26"/>
      <c r="I276" s="26"/>
      <c r="J276" s="26"/>
      <c r="K276" s="26" t="s">
        <v>38</v>
      </c>
      <c r="L276" s="31">
        <f>AVERAGE(L251:L263)</f>
        <v>4.6365037896013792</v>
      </c>
      <c r="M276" s="31">
        <f t="shared" ref="M276:Q276" si="49">AVERAGE(M251:M263)</f>
        <v>11.019868462034095</v>
      </c>
      <c r="N276" s="31">
        <f t="shared" si="49"/>
        <v>3.4427681402876327</v>
      </c>
      <c r="O276" s="31">
        <f t="shared" si="49"/>
        <v>2.2891070455189495</v>
      </c>
      <c r="P276" s="31"/>
      <c r="Q276" s="31">
        <f t="shared" si="49"/>
        <v>2.1596734710415637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workbookViewId="0">
      <pane ySplit="1" topLeftCell="A59" activePane="bottomLeft" state="frozen"/>
      <selection activeCell="C17" sqref="C17"/>
      <selection pane="bottomLeft" activeCell="C17" sqref="C17"/>
    </sheetView>
  </sheetViews>
  <sheetFormatPr baseColWidth="10" defaultColWidth="8.83203125" defaultRowHeight="15" x14ac:dyDescent="0.2"/>
  <cols>
    <col min="1" max="16384" width="8.83203125" style="5"/>
  </cols>
  <sheetData>
    <row r="1" spans="1:18" x14ac:dyDescent="0.2">
      <c r="A1" s="10" t="s">
        <v>171</v>
      </c>
      <c r="B1" s="10" t="s">
        <v>173</v>
      </c>
      <c r="C1" s="12" t="s">
        <v>174</v>
      </c>
      <c r="D1" s="10" t="s">
        <v>175</v>
      </c>
      <c r="E1" s="10" t="s">
        <v>176</v>
      </c>
      <c r="F1" s="10" t="s">
        <v>87</v>
      </c>
      <c r="G1" s="10" t="s">
        <v>177</v>
      </c>
      <c r="H1" s="10" t="s">
        <v>178</v>
      </c>
      <c r="I1" s="10" t="s">
        <v>179</v>
      </c>
      <c r="J1" s="10" t="s">
        <v>88</v>
      </c>
      <c r="K1" s="10" t="s">
        <v>783</v>
      </c>
      <c r="L1" s="10" t="s">
        <v>784</v>
      </c>
      <c r="M1" s="10" t="s">
        <v>926</v>
      </c>
      <c r="N1" s="10" t="s">
        <v>973</v>
      </c>
      <c r="O1" s="10" t="s">
        <v>974</v>
      </c>
      <c r="P1" s="10" t="s">
        <v>183</v>
      </c>
      <c r="Q1" s="10" t="s">
        <v>184</v>
      </c>
      <c r="R1" s="10" t="s">
        <v>185</v>
      </c>
    </row>
    <row r="2" spans="1:18" x14ac:dyDescent="0.2">
      <c r="A2" s="5">
        <v>1797</v>
      </c>
      <c r="B2" s="5" t="s">
        <v>187</v>
      </c>
      <c r="C2" s="5">
        <v>4</v>
      </c>
      <c r="D2" s="5" t="s">
        <v>239</v>
      </c>
      <c r="E2" s="5" t="s">
        <v>822</v>
      </c>
      <c r="F2" s="5">
        <v>0</v>
      </c>
      <c r="G2" s="5">
        <v>1</v>
      </c>
      <c r="H2" s="5">
        <v>0</v>
      </c>
      <c r="I2" s="5">
        <f>((F2+(G2/8)+(H2/48))/C2)</f>
        <v>3.125E-2</v>
      </c>
      <c r="P2" s="5" t="s">
        <v>145</v>
      </c>
      <c r="Q2" s="5">
        <v>189</v>
      </c>
    </row>
    <row r="3" spans="1:18" x14ac:dyDescent="0.2">
      <c r="A3" s="5">
        <v>1798</v>
      </c>
      <c r="B3" s="5" t="s">
        <v>187</v>
      </c>
      <c r="C3" s="5">
        <v>4</v>
      </c>
      <c r="D3" s="5" t="s">
        <v>239</v>
      </c>
      <c r="E3" s="5" t="s">
        <v>822</v>
      </c>
      <c r="F3" s="5">
        <v>0</v>
      </c>
      <c r="G3" s="5">
        <v>2</v>
      </c>
      <c r="H3" s="5">
        <v>0</v>
      </c>
      <c r="I3" s="5">
        <f t="shared" ref="I3:I6" si="0">((F3+(G3/8)+(H3/48))/C3)</f>
        <v>6.25E-2</v>
      </c>
      <c r="P3" s="5" t="s">
        <v>145</v>
      </c>
      <c r="Q3" s="5">
        <v>189</v>
      </c>
    </row>
    <row r="4" spans="1:18" x14ac:dyDescent="0.2">
      <c r="A4" s="5">
        <v>1783</v>
      </c>
      <c r="B4" s="5" t="s">
        <v>187</v>
      </c>
      <c r="C4" s="5">
        <v>1</v>
      </c>
      <c r="D4" s="5" t="s">
        <v>239</v>
      </c>
      <c r="E4" s="5" t="s">
        <v>240</v>
      </c>
      <c r="H4" s="5">
        <v>5</v>
      </c>
      <c r="I4" s="5">
        <f t="shared" si="0"/>
        <v>0.10416666666666667</v>
      </c>
      <c r="P4" s="5" t="s">
        <v>145</v>
      </c>
      <c r="Q4" s="5">
        <v>110</v>
      </c>
    </row>
    <row r="5" spans="1:18" x14ac:dyDescent="0.2">
      <c r="A5" s="5">
        <v>1801</v>
      </c>
      <c r="B5" s="5" t="s">
        <v>187</v>
      </c>
      <c r="C5" s="5">
        <v>1</v>
      </c>
      <c r="D5" s="5" t="s">
        <v>239</v>
      </c>
      <c r="E5" s="5" t="s">
        <v>240</v>
      </c>
      <c r="G5" s="5">
        <v>2</v>
      </c>
      <c r="H5" s="5">
        <v>3</v>
      </c>
      <c r="I5" s="5">
        <f t="shared" si="0"/>
        <v>0.3125</v>
      </c>
      <c r="P5" s="5" t="s">
        <v>145</v>
      </c>
      <c r="Q5" s="5">
        <v>110</v>
      </c>
    </row>
    <row r="6" spans="1:18" x14ac:dyDescent="0.2">
      <c r="A6" s="5">
        <v>1803</v>
      </c>
      <c r="B6" s="5" t="s">
        <v>187</v>
      </c>
      <c r="C6" s="5">
        <v>1</v>
      </c>
      <c r="D6" s="5" t="s">
        <v>239</v>
      </c>
      <c r="E6" s="5" t="s">
        <v>240</v>
      </c>
      <c r="G6" s="5">
        <v>4</v>
      </c>
      <c r="I6" s="5">
        <f t="shared" si="0"/>
        <v>0.5</v>
      </c>
      <c r="P6" s="5" t="s">
        <v>145</v>
      </c>
      <c r="Q6" s="5">
        <v>110</v>
      </c>
    </row>
    <row r="7" spans="1:18" x14ac:dyDescent="0.2">
      <c r="A7" s="5">
        <v>1822</v>
      </c>
      <c r="B7" s="5" t="s">
        <v>187</v>
      </c>
      <c r="C7" s="5">
        <v>1</v>
      </c>
      <c r="D7" s="5" t="s">
        <v>239</v>
      </c>
      <c r="E7" s="5" t="s">
        <v>240</v>
      </c>
      <c r="L7" s="5">
        <v>13</v>
      </c>
      <c r="M7" s="124">
        <f>(J7+K7/20+L7/240)/C7</f>
        <v>5.4166666666666669E-2</v>
      </c>
      <c r="N7" s="124">
        <f>M7*104.6</f>
        <v>5.6658333333333335</v>
      </c>
      <c r="O7" s="124">
        <f>N7*2.2046</f>
        <v>12.490896166666667</v>
      </c>
      <c r="P7" s="5" t="s">
        <v>145</v>
      </c>
      <c r="Q7" s="5">
        <v>155</v>
      </c>
    </row>
    <row r="8" spans="1:18" x14ac:dyDescent="0.2">
      <c r="A8" s="5">
        <v>1823</v>
      </c>
      <c r="B8" s="5" t="s">
        <v>187</v>
      </c>
      <c r="C8" s="5">
        <v>1</v>
      </c>
      <c r="D8" s="5" t="s">
        <v>239</v>
      </c>
      <c r="E8" s="5" t="s">
        <v>240</v>
      </c>
      <c r="L8" s="5">
        <v>12.2</v>
      </c>
      <c r="M8" s="124">
        <f t="shared" ref="M8:M22" si="1">(J8+K8/20+L8/240)/C8</f>
        <v>5.0833333333333328E-2</v>
      </c>
      <c r="N8" s="124">
        <f t="shared" ref="N8:N22" si="2">M8*104.6</f>
        <v>5.3171666666666662</v>
      </c>
      <c r="O8" s="124">
        <f t="shared" ref="O8:O22" si="3">N8*2.2046</f>
        <v>11.722225633333332</v>
      </c>
      <c r="P8" s="5" t="s">
        <v>145</v>
      </c>
      <c r="Q8" s="5">
        <v>155</v>
      </c>
    </row>
    <row r="9" spans="1:18" x14ac:dyDescent="0.2">
      <c r="A9" s="5">
        <v>1824</v>
      </c>
      <c r="B9" s="5" t="s">
        <v>187</v>
      </c>
      <c r="C9" s="5">
        <v>1</v>
      </c>
      <c r="D9" s="5" t="s">
        <v>239</v>
      </c>
      <c r="E9" s="5" t="s">
        <v>240</v>
      </c>
      <c r="L9" s="5">
        <v>8.3000000000000007</v>
      </c>
      <c r="M9" s="124">
        <f t="shared" si="1"/>
        <v>3.4583333333333334E-2</v>
      </c>
      <c r="N9" s="124">
        <f t="shared" si="2"/>
        <v>3.6174166666666667</v>
      </c>
      <c r="O9" s="124">
        <f>N9*2.2046</f>
        <v>7.9749567833333339</v>
      </c>
      <c r="P9" s="5" t="s">
        <v>145</v>
      </c>
      <c r="Q9" s="5">
        <v>155</v>
      </c>
    </row>
    <row r="10" spans="1:18" x14ac:dyDescent="0.2">
      <c r="A10" s="5">
        <v>1825</v>
      </c>
      <c r="B10" s="5" t="s">
        <v>187</v>
      </c>
      <c r="C10" s="5">
        <v>1</v>
      </c>
      <c r="D10" s="5" t="s">
        <v>239</v>
      </c>
      <c r="E10" s="5" t="s">
        <v>240</v>
      </c>
      <c r="L10" s="5">
        <v>6.1</v>
      </c>
      <c r="M10" s="124">
        <f t="shared" si="1"/>
        <v>2.5416666666666664E-2</v>
      </c>
      <c r="N10" s="124">
        <f t="shared" si="2"/>
        <v>2.6585833333333331</v>
      </c>
      <c r="O10" s="124">
        <f t="shared" si="3"/>
        <v>5.8611128166666662</v>
      </c>
      <c r="P10" s="5" t="s">
        <v>145</v>
      </c>
      <c r="Q10" s="5">
        <v>155</v>
      </c>
    </row>
    <row r="11" spans="1:18" x14ac:dyDescent="0.2">
      <c r="A11" s="5">
        <v>1826</v>
      </c>
      <c r="B11" s="5" t="s">
        <v>187</v>
      </c>
      <c r="C11" s="5">
        <v>1</v>
      </c>
      <c r="D11" s="5" t="s">
        <v>239</v>
      </c>
      <c r="E11" s="5" t="s">
        <v>240</v>
      </c>
      <c r="L11" s="5">
        <v>7</v>
      </c>
      <c r="M11" s="124">
        <f t="shared" si="1"/>
        <v>2.9166666666666667E-2</v>
      </c>
      <c r="N11" s="124">
        <f t="shared" si="2"/>
        <v>3.0508333333333333</v>
      </c>
      <c r="O11" s="124">
        <f t="shared" si="3"/>
        <v>6.7258671666666672</v>
      </c>
      <c r="P11" s="5" t="s">
        <v>145</v>
      </c>
      <c r="Q11" s="5">
        <v>155</v>
      </c>
    </row>
    <row r="12" spans="1:18" x14ac:dyDescent="0.2">
      <c r="A12" s="5">
        <v>1827</v>
      </c>
      <c r="B12" s="5" t="s">
        <v>187</v>
      </c>
      <c r="C12" s="5">
        <v>1</v>
      </c>
      <c r="D12" s="5" t="s">
        <v>239</v>
      </c>
      <c r="E12" s="5" t="s">
        <v>240</v>
      </c>
      <c r="L12" s="5">
        <v>7</v>
      </c>
      <c r="M12" s="124">
        <f t="shared" si="1"/>
        <v>2.9166666666666667E-2</v>
      </c>
      <c r="N12" s="124">
        <f t="shared" si="2"/>
        <v>3.0508333333333333</v>
      </c>
      <c r="O12" s="124">
        <f t="shared" si="3"/>
        <v>6.7258671666666672</v>
      </c>
      <c r="P12" s="5" t="s">
        <v>145</v>
      </c>
      <c r="Q12" s="5">
        <v>155</v>
      </c>
    </row>
    <row r="13" spans="1:18" x14ac:dyDescent="0.2">
      <c r="A13" s="5">
        <v>1828</v>
      </c>
      <c r="B13" s="5" t="s">
        <v>187</v>
      </c>
      <c r="C13" s="5">
        <v>1</v>
      </c>
      <c r="D13" s="5" t="s">
        <v>239</v>
      </c>
      <c r="E13" s="5" t="s">
        <v>240</v>
      </c>
      <c r="L13" s="5">
        <v>9</v>
      </c>
      <c r="M13" s="124">
        <f t="shared" si="1"/>
        <v>3.7499999999999999E-2</v>
      </c>
      <c r="N13" s="124">
        <f t="shared" si="2"/>
        <v>3.9224999999999994</v>
      </c>
      <c r="O13" s="124">
        <f t="shared" si="3"/>
        <v>8.6475434999999994</v>
      </c>
      <c r="P13" s="5" t="s">
        <v>145</v>
      </c>
      <c r="Q13" s="5">
        <v>155</v>
      </c>
    </row>
    <row r="14" spans="1:18" x14ac:dyDescent="0.2">
      <c r="A14" s="5">
        <v>1829</v>
      </c>
      <c r="B14" s="5" t="s">
        <v>187</v>
      </c>
      <c r="C14" s="5">
        <v>1</v>
      </c>
      <c r="D14" s="5" t="s">
        <v>239</v>
      </c>
      <c r="E14" s="5" t="s">
        <v>240</v>
      </c>
      <c r="L14" s="5">
        <v>11.3</v>
      </c>
      <c r="M14" s="124">
        <f t="shared" si="1"/>
        <v>4.7083333333333338E-2</v>
      </c>
      <c r="N14" s="124">
        <f t="shared" si="2"/>
        <v>4.9249166666666673</v>
      </c>
      <c r="O14" s="124">
        <f t="shared" si="3"/>
        <v>10.857471283333336</v>
      </c>
      <c r="P14" s="5" t="s">
        <v>145</v>
      </c>
      <c r="Q14" s="5">
        <v>155</v>
      </c>
    </row>
    <row r="15" spans="1:18" x14ac:dyDescent="0.2">
      <c r="A15" s="5">
        <v>1830</v>
      </c>
      <c r="B15" s="5" t="s">
        <v>187</v>
      </c>
      <c r="C15" s="5">
        <v>1</v>
      </c>
      <c r="D15" s="5" t="s">
        <v>239</v>
      </c>
      <c r="E15" s="5" t="s">
        <v>240</v>
      </c>
      <c r="L15" s="5">
        <v>13.5</v>
      </c>
      <c r="M15" s="124">
        <f t="shared" si="1"/>
        <v>5.6250000000000001E-2</v>
      </c>
      <c r="N15" s="124">
        <f t="shared" si="2"/>
        <v>5.88375</v>
      </c>
      <c r="O15" s="124">
        <f t="shared" si="3"/>
        <v>12.97131525</v>
      </c>
      <c r="P15" s="5" t="s">
        <v>145</v>
      </c>
      <c r="Q15" s="5">
        <v>155</v>
      </c>
    </row>
    <row r="16" spans="1:18" x14ac:dyDescent="0.2">
      <c r="A16" s="5">
        <v>1831</v>
      </c>
      <c r="B16" s="5" t="s">
        <v>187</v>
      </c>
      <c r="C16" s="5">
        <v>1</v>
      </c>
      <c r="D16" s="5" t="s">
        <v>239</v>
      </c>
      <c r="E16" s="5" t="s">
        <v>240</v>
      </c>
      <c r="L16" s="5">
        <v>6.5</v>
      </c>
      <c r="M16" s="124">
        <f t="shared" si="1"/>
        <v>2.7083333333333334E-2</v>
      </c>
      <c r="N16" s="124">
        <f t="shared" si="2"/>
        <v>2.8329166666666667</v>
      </c>
      <c r="O16" s="124">
        <f t="shared" si="3"/>
        <v>6.2454480833333337</v>
      </c>
      <c r="P16" s="5" t="s">
        <v>145</v>
      </c>
      <c r="Q16" s="5">
        <v>155</v>
      </c>
    </row>
    <row r="17" spans="1:17" x14ac:dyDescent="0.2">
      <c r="A17" s="5">
        <v>1832</v>
      </c>
      <c r="B17" s="5" t="s">
        <v>187</v>
      </c>
      <c r="C17" s="5">
        <v>1</v>
      </c>
      <c r="D17" s="5" t="s">
        <v>239</v>
      </c>
      <c r="E17" s="5" t="s">
        <v>240</v>
      </c>
      <c r="L17" s="5">
        <v>4</v>
      </c>
      <c r="M17" s="124">
        <f t="shared" si="1"/>
        <v>1.6666666666666666E-2</v>
      </c>
      <c r="N17" s="124">
        <f t="shared" si="2"/>
        <v>1.7433333333333332</v>
      </c>
      <c r="O17" s="124">
        <f t="shared" si="3"/>
        <v>3.8433526666666666</v>
      </c>
      <c r="P17" s="5" t="s">
        <v>145</v>
      </c>
      <c r="Q17" s="5">
        <v>155</v>
      </c>
    </row>
    <row r="18" spans="1:17" x14ac:dyDescent="0.2">
      <c r="A18" s="5">
        <v>1833</v>
      </c>
      <c r="B18" s="5" t="s">
        <v>187</v>
      </c>
      <c r="C18" s="5">
        <v>1</v>
      </c>
      <c r="D18" s="5" t="s">
        <v>239</v>
      </c>
      <c r="E18" s="5" t="s">
        <v>240</v>
      </c>
      <c r="L18" s="5">
        <v>4.2</v>
      </c>
      <c r="M18" s="124">
        <f t="shared" si="1"/>
        <v>1.7500000000000002E-2</v>
      </c>
      <c r="N18" s="124">
        <f t="shared" si="2"/>
        <v>1.8305</v>
      </c>
      <c r="O18" s="124">
        <f t="shared" si="3"/>
        <v>4.0355202999999999</v>
      </c>
      <c r="P18" s="5" t="s">
        <v>145</v>
      </c>
      <c r="Q18" s="5">
        <v>155</v>
      </c>
    </row>
    <row r="19" spans="1:17" x14ac:dyDescent="0.2">
      <c r="A19" s="5">
        <v>1834</v>
      </c>
      <c r="B19" s="5" t="s">
        <v>187</v>
      </c>
      <c r="C19" s="5">
        <v>1</v>
      </c>
      <c r="D19" s="5" t="s">
        <v>239</v>
      </c>
      <c r="E19" s="5" t="s">
        <v>240</v>
      </c>
      <c r="L19" s="5">
        <v>7.8</v>
      </c>
      <c r="M19" s="124">
        <f t="shared" si="1"/>
        <v>3.2500000000000001E-2</v>
      </c>
      <c r="N19" s="124">
        <f t="shared" si="2"/>
        <v>3.3994999999999997</v>
      </c>
      <c r="O19" s="124">
        <f t="shared" si="3"/>
        <v>7.4945376999999995</v>
      </c>
      <c r="P19" s="5" t="s">
        <v>145</v>
      </c>
      <c r="Q19" s="5">
        <v>155</v>
      </c>
    </row>
    <row r="20" spans="1:17" x14ac:dyDescent="0.2">
      <c r="A20" s="5">
        <v>1835</v>
      </c>
      <c r="B20" s="5" t="s">
        <v>187</v>
      </c>
      <c r="C20" s="5">
        <v>1</v>
      </c>
      <c r="D20" s="5" t="s">
        <v>239</v>
      </c>
      <c r="E20" s="5" t="s">
        <v>240</v>
      </c>
      <c r="L20" s="5">
        <v>7.9</v>
      </c>
      <c r="M20" s="124">
        <f t="shared" si="1"/>
        <v>3.291666666666667E-2</v>
      </c>
      <c r="N20" s="124">
        <f t="shared" si="2"/>
        <v>3.4430833333333335</v>
      </c>
      <c r="O20" s="124">
        <f t="shared" si="3"/>
        <v>7.5906215166666673</v>
      </c>
      <c r="P20" s="5" t="s">
        <v>145</v>
      </c>
      <c r="Q20" s="5">
        <v>155</v>
      </c>
    </row>
    <row r="21" spans="1:17" x14ac:dyDescent="0.2">
      <c r="A21" s="5">
        <v>1836</v>
      </c>
      <c r="B21" s="5" t="s">
        <v>187</v>
      </c>
      <c r="C21" s="5">
        <v>1</v>
      </c>
      <c r="D21" s="5" t="s">
        <v>239</v>
      </c>
      <c r="E21" s="5" t="s">
        <v>240</v>
      </c>
      <c r="L21" s="5">
        <v>9.6</v>
      </c>
      <c r="M21" s="124">
        <f t="shared" si="1"/>
        <v>0.04</v>
      </c>
      <c r="N21" s="124">
        <f t="shared" si="2"/>
        <v>4.1840000000000002</v>
      </c>
      <c r="O21" s="124">
        <f t="shared" si="3"/>
        <v>9.2240464000000006</v>
      </c>
      <c r="P21" s="5" t="s">
        <v>145</v>
      </c>
      <c r="Q21" s="5">
        <v>155</v>
      </c>
    </row>
    <row r="22" spans="1:17" x14ac:dyDescent="0.2">
      <c r="A22" s="5">
        <v>1837</v>
      </c>
      <c r="B22" s="5" t="s">
        <v>187</v>
      </c>
      <c r="C22" s="5">
        <v>1</v>
      </c>
      <c r="D22" s="5" t="s">
        <v>239</v>
      </c>
      <c r="E22" s="5" t="s">
        <v>240</v>
      </c>
      <c r="L22" s="5">
        <v>9.8000000000000007</v>
      </c>
      <c r="M22" s="124">
        <f t="shared" si="1"/>
        <v>4.083333333333334E-2</v>
      </c>
      <c r="N22" s="124">
        <f t="shared" si="2"/>
        <v>4.2711666666666668</v>
      </c>
      <c r="O22" s="124">
        <f t="shared" si="3"/>
        <v>9.4162140333333344</v>
      </c>
      <c r="P22" s="5" t="s">
        <v>145</v>
      </c>
      <c r="Q22" s="5">
        <v>155</v>
      </c>
    </row>
    <row r="23" spans="1:17" x14ac:dyDescent="0.2">
      <c r="A23" s="5">
        <v>1797</v>
      </c>
      <c r="B23" s="5" t="s">
        <v>187</v>
      </c>
      <c r="C23" s="5">
        <v>1</v>
      </c>
      <c r="D23" s="5" t="s">
        <v>239</v>
      </c>
      <c r="E23" s="5" t="s">
        <v>975</v>
      </c>
      <c r="F23" s="5">
        <v>0</v>
      </c>
      <c r="G23" s="5">
        <v>2</v>
      </c>
      <c r="H23" s="5">
        <v>0</v>
      </c>
      <c r="I23" s="5">
        <f t="shared" ref="I23:I26" si="4">((F23+(G23/8)+(H23/48))/C23)</f>
        <v>0.25</v>
      </c>
      <c r="P23" s="5" t="s">
        <v>145</v>
      </c>
      <c r="Q23" s="5">
        <v>189</v>
      </c>
    </row>
    <row r="24" spans="1:17" x14ac:dyDescent="0.2">
      <c r="A24" s="5">
        <v>1798</v>
      </c>
      <c r="B24" s="5" t="s">
        <v>187</v>
      </c>
      <c r="C24" s="5">
        <v>1</v>
      </c>
      <c r="D24" s="5" t="s">
        <v>239</v>
      </c>
      <c r="E24" s="5" t="s">
        <v>975</v>
      </c>
      <c r="F24" s="5">
        <v>0</v>
      </c>
      <c r="G24" s="5">
        <v>6</v>
      </c>
      <c r="H24" s="5">
        <v>0</v>
      </c>
      <c r="I24" s="5">
        <f t="shared" si="4"/>
        <v>0.75</v>
      </c>
      <c r="P24" s="5" t="s">
        <v>145</v>
      </c>
      <c r="Q24" s="5">
        <v>189</v>
      </c>
    </row>
    <row r="25" spans="1:17" x14ac:dyDescent="0.2">
      <c r="A25" s="5">
        <v>1797</v>
      </c>
      <c r="B25" s="5" t="s">
        <v>187</v>
      </c>
      <c r="C25" s="5">
        <v>1</v>
      </c>
      <c r="D25" s="5" t="s">
        <v>239</v>
      </c>
      <c r="E25" s="5" t="s">
        <v>976</v>
      </c>
      <c r="F25" s="5">
        <v>0</v>
      </c>
      <c r="G25" s="5">
        <v>1</v>
      </c>
      <c r="H25" s="5">
        <v>0</v>
      </c>
      <c r="I25" s="5">
        <f t="shared" si="4"/>
        <v>0.125</v>
      </c>
      <c r="P25" s="5" t="s">
        <v>145</v>
      </c>
      <c r="Q25" s="5">
        <v>189</v>
      </c>
    </row>
    <row r="26" spans="1:17" x14ac:dyDescent="0.2">
      <c r="A26" s="5">
        <v>1798</v>
      </c>
      <c r="B26" s="5" t="s">
        <v>187</v>
      </c>
      <c r="C26" s="5">
        <v>1</v>
      </c>
      <c r="D26" s="5" t="s">
        <v>239</v>
      </c>
      <c r="E26" s="5" t="s">
        <v>976</v>
      </c>
      <c r="F26" s="5">
        <v>0</v>
      </c>
      <c r="G26" s="5">
        <v>3</v>
      </c>
      <c r="H26" s="5">
        <v>0</v>
      </c>
      <c r="I26" s="5">
        <f t="shared" si="4"/>
        <v>0.375</v>
      </c>
      <c r="P26" s="5" t="s">
        <v>145</v>
      </c>
      <c r="Q26" s="5">
        <v>189</v>
      </c>
    </row>
    <row r="27" spans="1:17" x14ac:dyDescent="0.2">
      <c r="A27" s="5">
        <v>1793</v>
      </c>
      <c r="B27" s="5" t="s">
        <v>187</v>
      </c>
      <c r="C27" s="5">
        <v>50</v>
      </c>
      <c r="D27" s="5" t="s">
        <v>239</v>
      </c>
      <c r="E27" s="5" t="s">
        <v>798</v>
      </c>
      <c r="J27" s="5">
        <v>12</v>
      </c>
      <c r="K27" s="5">
        <v>14</v>
      </c>
      <c r="L27" s="5">
        <v>0</v>
      </c>
      <c r="M27" s="124">
        <f>(J27+K27/20+L27/240)/C27</f>
        <v>0.254</v>
      </c>
      <c r="N27" s="124">
        <f>M27*104.6</f>
        <v>26.5684</v>
      </c>
      <c r="O27" s="124">
        <f>N27*2.2046</f>
        <v>58.572694640000002</v>
      </c>
      <c r="P27" s="5" t="s">
        <v>977</v>
      </c>
    </row>
    <row r="28" spans="1:17" x14ac:dyDescent="0.2">
      <c r="A28" s="5">
        <v>1797</v>
      </c>
      <c r="B28" s="5" t="s">
        <v>187</v>
      </c>
      <c r="C28" s="5">
        <v>100</v>
      </c>
      <c r="D28" s="5" t="s">
        <v>239</v>
      </c>
      <c r="E28" s="5" t="s">
        <v>798</v>
      </c>
      <c r="F28" s="5">
        <v>14</v>
      </c>
      <c r="G28" s="5">
        <v>0</v>
      </c>
      <c r="H28" s="5">
        <v>0</v>
      </c>
      <c r="I28" s="5">
        <f>((F28+(G28/8)+(H28/48))/C28)</f>
        <v>0.14000000000000001</v>
      </c>
      <c r="P28" s="5" t="s">
        <v>145</v>
      </c>
      <c r="Q28" s="5">
        <v>189</v>
      </c>
    </row>
    <row r="29" spans="1:17" x14ac:dyDescent="0.2">
      <c r="A29" s="5">
        <v>1798</v>
      </c>
      <c r="B29" s="5" t="s">
        <v>187</v>
      </c>
      <c r="C29" s="5">
        <v>100</v>
      </c>
      <c r="D29" s="5" t="s">
        <v>239</v>
      </c>
      <c r="E29" s="5" t="s">
        <v>798</v>
      </c>
      <c r="F29" s="5">
        <v>25</v>
      </c>
      <c r="G29" s="5">
        <v>0</v>
      </c>
      <c r="H29" s="5">
        <v>0</v>
      </c>
      <c r="I29" s="5">
        <f t="shared" ref="I29" si="5">((F29+(G29/8)+(H29/48))/C29)</f>
        <v>0.25</v>
      </c>
      <c r="P29" s="5" t="s">
        <v>145</v>
      </c>
      <c r="Q29" s="5">
        <v>189</v>
      </c>
    </row>
    <row r="30" spans="1:17" x14ac:dyDescent="0.2">
      <c r="A30" s="5">
        <v>1822</v>
      </c>
      <c r="B30" s="5" t="s">
        <v>187</v>
      </c>
      <c r="C30" s="5">
        <v>1</v>
      </c>
      <c r="D30" s="5" t="s">
        <v>239</v>
      </c>
      <c r="E30" s="5" t="s">
        <v>798</v>
      </c>
      <c r="L30" s="5">
        <v>12</v>
      </c>
      <c r="M30" s="124">
        <f t="shared" ref="M30:M42" si="6">(J30+K30/20+L30/240)/C30</f>
        <v>0.05</v>
      </c>
      <c r="N30" s="124">
        <f t="shared" ref="N30:N42" si="7">M30*104.6</f>
        <v>5.23</v>
      </c>
      <c r="O30" s="124">
        <f t="shared" ref="O30:O42" si="8">N30*2.2046</f>
        <v>11.530058000000002</v>
      </c>
      <c r="P30" s="5" t="s">
        <v>145</v>
      </c>
      <c r="Q30" s="5">
        <v>155</v>
      </c>
    </row>
    <row r="31" spans="1:17" x14ac:dyDescent="0.2">
      <c r="A31" s="5">
        <v>1823</v>
      </c>
      <c r="B31" s="5" t="s">
        <v>187</v>
      </c>
      <c r="C31" s="5">
        <v>1</v>
      </c>
      <c r="D31" s="5" t="s">
        <v>239</v>
      </c>
      <c r="E31" s="5" t="s">
        <v>798</v>
      </c>
      <c r="L31" s="5">
        <v>5</v>
      </c>
      <c r="M31" s="124">
        <f t="shared" si="6"/>
        <v>2.0833333333333332E-2</v>
      </c>
      <c r="N31" s="124">
        <f t="shared" si="7"/>
        <v>2.1791666666666663</v>
      </c>
      <c r="O31" s="124">
        <f t="shared" si="8"/>
        <v>4.8041908333333323</v>
      </c>
      <c r="P31" s="5" t="s">
        <v>145</v>
      </c>
      <c r="Q31" s="5">
        <v>155</v>
      </c>
    </row>
    <row r="32" spans="1:17" x14ac:dyDescent="0.2">
      <c r="A32" s="5">
        <v>1825</v>
      </c>
      <c r="B32" s="5" t="s">
        <v>187</v>
      </c>
      <c r="C32" s="5">
        <v>1</v>
      </c>
      <c r="D32" s="5" t="s">
        <v>239</v>
      </c>
      <c r="E32" s="5" t="s">
        <v>798</v>
      </c>
      <c r="L32" s="5">
        <v>10.7</v>
      </c>
      <c r="M32" s="124">
        <f t="shared" si="6"/>
        <v>4.4583333333333329E-2</v>
      </c>
      <c r="N32" s="124">
        <f t="shared" si="7"/>
        <v>4.6634166666666657</v>
      </c>
      <c r="O32" s="124">
        <f t="shared" si="8"/>
        <v>10.280968383333331</v>
      </c>
      <c r="P32" s="5" t="s">
        <v>145</v>
      </c>
      <c r="Q32" s="5">
        <v>155</v>
      </c>
    </row>
    <row r="33" spans="1:17" x14ac:dyDescent="0.2">
      <c r="A33" s="5">
        <v>1828</v>
      </c>
      <c r="B33" s="5" t="s">
        <v>187</v>
      </c>
      <c r="C33" s="5">
        <v>1</v>
      </c>
      <c r="D33" s="5" t="s">
        <v>239</v>
      </c>
      <c r="E33" s="5" t="s">
        <v>798</v>
      </c>
      <c r="L33" s="5">
        <v>7.6</v>
      </c>
      <c r="M33" s="124">
        <f t="shared" si="6"/>
        <v>3.1666666666666662E-2</v>
      </c>
      <c r="N33" s="124">
        <f t="shared" si="7"/>
        <v>3.3123333333333327</v>
      </c>
      <c r="O33" s="124">
        <f t="shared" si="8"/>
        <v>7.3023700666666658</v>
      </c>
      <c r="P33" s="5" t="s">
        <v>145</v>
      </c>
      <c r="Q33" s="5">
        <v>155</v>
      </c>
    </row>
    <row r="34" spans="1:17" x14ac:dyDescent="0.2">
      <c r="A34" s="5">
        <v>1829</v>
      </c>
      <c r="B34" s="5" t="s">
        <v>187</v>
      </c>
      <c r="C34" s="5">
        <v>1</v>
      </c>
      <c r="D34" s="5" t="s">
        <v>239</v>
      </c>
      <c r="E34" s="5" t="s">
        <v>798</v>
      </c>
      <c r="L34" s="5">
        <v>7.9</v>
      </c>
      <c r="M34" s="124">
        <f t="shared" si="6"/>
        <v>3.291666666666667E-2</v>
      </c>
      <c r="N34" s="124">
        <f t="shared" si="7"/>
        <v>3.4430833333333335</v>
      </c>
      <c r="O34" s="124">
        <f t="shared" si="8"/>
        <v>7.5906215166666673</v>
      </c>
      <c r="P34" s="5" t="s">
        <v>145</v>
      </c>
      <c r="Q34" s="5">
        <v>155</v>
      </c>
    </row>
    <row r="35" spans="1:17" x14ac:dyDescent="0.2">
      <c r="A35" s="5">
        <v>1830</v>
      </c>
      <c r="B35" s="5" t="s">
        <v>187</v>
      </c>
      <c r="C35" s="5">
        <v>1</v>
      </c>
      <c r="D35" s="5" t="s">
        <v>239</v>
      </c>
      <c r="E35" s="5" t="s">
        <v>798</v>
      </c>
      <c r="L35" s="5">
        <v>8.6999999999999993</v>
      </c>
      <c r="M35" s="124">
        <f t="shared" si="6"/>
        <v>3.6249999999999998E-2</v>
      </c>
      <c r="N35" s="124">
        <f t="shared" si="7"/>
        <v>3.7917499999999995</v>
      </c>
      <c r="O35" s="124">
        <f t="shared" si="8"/>
        <v>8.3592920499999988</v>
      </c>
      <c r="P35" s="5" t="s">
        <v>145</v>
      </c>
      <c r="Q35" s="5">
        <v>155</v>
      </c>
    </row>
    <row r="36" spans="1:17" x14ac:dyDescent="0.2">
      <c r="A36" s="5">
        <v>1831</v>
      </c>
      <c r="B36" s="5" t="s">
        <v>187</v>
      </c>
      <c r="C36" s="5">
        <v>1</v>
      </c>
      <c r="D36" s="5" t="s">
        <v>239</v>
      </c>
      <c r="E36" s="5" t="s">
        <v>798</v>
      </c>
      <c r="L36" s="5">
        <v>6.8</v>
      </c>
      <c r="M36" s="124">
        <f t="shared" si="6"/>
        <v>2.8333333333333332E-2</v>
      </c>
      <c r="N36" s="124">
        <f t="shared" si="7"/>
        <v>2.9636666666666662</v>
      </c>
      <c r="O36" s="124">
        <f t="shared" si="8"/>
        <v>6.5336995333333325</v>
      </c>
      <c r="P36" s="5" t="s">
        <v>145</v>
      </c>
      <c r="Q36" s="5">
        <v>155</v>
      </c>
    </row>
    <row r="37" spans="1:17" x14ac:dyDescent="0.2">
      <c r="A37" s="5">
        <v>1832</v>
      </c>
      <c r="B37" s="5" t="s">
        <v>187</v>
      </c>
      <c r="C37" s="5">
        <v>1</v>
      </c>
      <c r="D37" s="5" t="s">
        <v>239</v>
      </c>
      <c r="E37" s="5" t="s">
        <v>798</v>
      </c>
      <c r="L37" s="5">
        <v>6.7</v>
      </c>
      <c r="M37" s="124">
        <f t="shared" si="6"/>
        <v>2.7916666666666666E-2</v>
      </c>
      <c r="N37" s="124">
        <f t="shared" si="7"/>
        <v>2.9200833333333329</v>
      </c>
      <c r="O37" s="124">
        <f t="shared" si="8"/>
        <v>6.4376157166666657</v>
      </c>
      <c r="P37" s="5" t="s">
        <v>145</v>
      </c>
      <c r="Q37" s="5">
        <v>155</v>
      </c>
    </row>
    <row r="38" spans="1:17" x14ac:dyDescent="0.2">
      <c r="A38" s="5">
        <v>1833</v>
      </c>
      <c r="B38" s="5" t="s">
        <v>187</v>
      </c>
      <c r="C38" s="5">
        <v>1</v>
      </c>
      <c r="D38" s="5" t="s">
        <v>239</v>
      </c>
      <c r="E38" s="5" t="s">
        <v>798</v>
      </c>
      <c r="L38" s="5">
        <v>6.4</v>
      </c>
      <c r="M38" s="124">
        <f t="shared" si="6"/>
        <v>2.6666666666666668E-2</v>
      </c>
      <c r="N38" s="124">
        <f t="shared" si="7"/>
        <v>2.7893333333333334</v>
      </c>
      <c r="O38" s="124">
        <f t="shared" si="8"/>
        <v>6.1493642666666668</v>
      </c>
      <c r="P38" s="5" t="s">
        <v>145</v>
      </c>
      <c r="Q38" s="5">
        <v>155</v>
      </c>
    </row>
    <row r="39" spans="1:17" x14ac:dyDescent="0.2">
      <c r="A39" s="5">
        <v>1834</v>
      </c>
      <c r="B39" s="5" t="s">
        <v>187</v>
      </c>
      <c r="C39" s="5">
        <v>1</v>
      </c>
      <c r="D39" s="5" t="s">
        <v>239</v>
      </c>
      <c r="E39" s="5" t="s">
        <v>798</v>
      </c>
      <c r="L39" s="5">
        <v>6.4</v>
      </c>
      <c r="M39" s="124">
        <f t="shared" si="6"/>
        <v>2.6666666666666668E-2</v>
      </c>
      <c r="N39" s="124">
        <f t="shared" si="7"/>
        <v>2.7893333333333334</v>
      </c>
      <c r="O39" s="124">
        <f t="shared" si="8"/>
        <v>6.1493642666666668</v>
      </c>
      <c r="P39" s="5" t="s">
        <v>145</v>
      </c>
      <c r="Q39" s="5">
        <v>155</v>
      </c>
    </row>
    <row r="40" spans="1:17" x14ac:dyDescent="0.2">
      <c r="A40" s="5">
        <v>1835</v>
      </c>
      <c r="B40" s="5" t="s">
        <v>187</v>
      </c>
      <c r="C40" s="5">
        <v>1</v>
      </c>
      <c r="D40" s="5" t="s">
        <v>239</v>
      </c>
      <c r="E40" s="5" t="s">
        <v>798</v>
      </c>
      <c r="L40" s="5">
        <v>7.7</v>
      </c>
      <c r="M40" s="124">
        <f t="shared" si="6"/>
        <v>3.2083333333333332E-2</v>
      </c>
      <c r="N40" s="124">
        <f t="shared" si="7"/>
        <v>3.3559166666666664</v>
      </c>
      <c r="O40" s="124">
        <f t="shared" si="8"/>
        <v>7.3984538833333335</v>
      </c>
      <c r="P40" s="5" t="s">
        <v>145</v>
      </c>
      <c r="Q40" s="5">
        <v>155</v>
      </c>
    </row>
    <row r="41" spans="1:17" x14ac:dyDescent="0.2">
      <c r="A41" s="5">
        <v>1836</v>
      </c>
      <c r="B41" s="5" t="s">
        <v>187</v>
      </c>
      <c r="C41" s="5">
        <v>1</v>
      </c>
      <c r="D41" s="5" t="s">
        <v>239</v>
      </c>
      <c r="E41" s="5" t="s">
        <v>798</v>
      </c>
      <c r="L41" s="5">
        <v>8.6</v>
      </c>
      <c r="M41" s="124">
        <f t="shared" si="6"/>
        <v>3.5833333333333335E-2</v>
      </c>
      <c r="N41" s="124">
        <f t="shared" si="7"/>
        <v>3.7481666666666666</v>
      </c>
      <c r="O41" s="124">
        <f t="shared" si="8"/>
        <v>8.2632082333333337</v>
      </c>
      <c r="P41" s="5" t="s">
        <v>145</v>
      </c>
      <c r="Q41" s="5">
        <v>155</v>
      </c>
    </row>
    <row r="42" spans="1:17" x14ac:dyDescent="0.2">
      <c r="A42" s="5">
        <v>1837</v>
      </c>
      <c r="B42" s="5" t="s">
        <v>187</v>
      </c>
      <c r="C42" s="5">
        <v>1</v>
      </c>
      <c r="D42" s="5" t="s">
        <v>239</v>
      </c>
      <c r="E42" s="5" t="s">
        <v>798</v>
      </c>
      <c r="L42" s="5">
        <v>7.4</v>
      </c>
      <c r="M42" s="124">
        <f t="shared" si="6"/>
        <v>3.0833333333333334E-2</v>
      </c>
      <c r="N42" s="124">
        <f t="shared" si="7"/>
        <v>3.2251666666666665</v>
      </c>
      <c r="O42" s="124">
        <f t="shared" si="8"/>
        <v>7.1102024333333338</v>
      </c>
      <c r="P42" s="5" t="s">
        <v>145</v>
      </c>
      <c r="Q42" s="5">
        <v>155</v>
      </c>
    </row>
    <row r="43" spans="1:17" x14ac:dyDescent="0.2">
      <c r="A43" s="5">
        <v>1783</v>
      </c>
      <c r="B43" s="5" t="s">
        <v>187</v>
      </c>
      <c r="C43" s="5">
        <v>1</v>
      </c>
      <c r="D43" s="5" t="s">
        <v>239</v>
      </c>
      <c r="E43" s="5" t="s">
        <v>837</v>
      </c>
      <c r="H43" s="5">
        <v>0.5</v>
      </c>
      <c r="I43" s="5">
        <f t="shared" ref="I43:I48" si="9">((F43+(G43/8)+(H43/48))/C43)</f>
        <v>1.0416666666666666E-2</v>
      </c>
      <c r="P43" s="5" t="s">
        <v>145</v>
      </c>
      <c r="Q43" s="5">
        <v>110</v>
      </c>
    </row>
    <row r="44" spans="1:17" x14ac:dyDescent="0.2">
      <c r="A44" s="5">
        <v>1801</v>
      </c>
      <c r="B44" s="5" t="s">
        <v>187</v>
      </c>
      <c r="C44" s="5">
        <v>1</v>
      </c>
      <c r="D44" s="5" t="s">
        <v>239</v>
      </c>
      <c r="E44" s="5" t="s">
        <v>837</v>
      </c>
      <c r="H44" s="5">
        <v>2</v>
      </c>
      <c r="I44" s="5">
        <f t="shared" si="9"/>
        <v>4.1666666666666664E-2</v>
      </c>
      <c r="P44" s="5" t="s">
        <v>145</v>
      </c>
      <c r="Q44" s="5">
        <v>110</v>
      </c>
    </row>
    <row r="45" spans="1:17" x14ac:dyDescent="0.2">
      <c r="A45" s="5">
        <v>1803</v>
      </c>
      <c r="B45" s="5" t="s">
        <v>187</v>
      </c>
      <c r="C45" s="5">
        <v>1</v>
      </c>
      <c r="D45" s="5" t="s">
        <v>239</v>
      </c>
      <c r="E45" s="5" t="s">
        <v>837</v>
      </c>
      <c r="H45" s="5">
        <v>3</v>
      </c>
      <c r="I45" s="5">
        <f t="shared" si="9"/>
        <v>6.25E-2</v>
      </c>
      <c r="P45" s="5" t="s">
        <v>145</v>
      </c>
      <c r="Q45" s="5">
        <v>110</v>
      </c>
    </row>
    <row r="46" spans="1:17" x14ac:dyDescent="0.2">
      <c r="A46" s="5">
        <v>1797</v>
      </c>
      <c r="B46" s="5" t="s">
        <v>187</v>
      </c>
      <c r="C46" s="5">
        <v>5</v>
      </c>
      <c r="D46" s="5" t="s">
        <v>239</v>
      </c>
      <c r="E46" s="5" t="s">
        <v>978</v>
      </c>
      <c r="F46" s="5">
        <v>0</v>
      </c>
      <c r="G46" s="5">
        <v>1</v>
      </c>
      <c r="H46" s="5">
        <v>0</v>
      </c>
      <c r="I46" s="5">
        <f t="shared" si="9"/>
        <v>2.5000000000000001E-2</v>
      </c>
      <c r="P46" s="5" t="s">
        <v>145</v>
      </c>
      <c r="Q46" s="5">
        <v>189</v>
      </c>
    </row>
    <row r="47" spans="1:17" x14ac:dyDescent="0.2">
      <c r="A47" s="5">
        <v>1798</v>
      </c>
      <c r="B47" s="5" t="s">
        <v>187</v>
      </c>
      <c r="C47" s="5">
        <v>5</v>
      </c>
      <c r="D47" s="5" t="s">
        <v>239</v>
      </c>
      <c r="E47" s="5" t="s">
        <v>978</v>
      </c>
      <c r="F47" s="5">
        <v>0</v>
      </c>
      <c r="G47" s="5">
        <v>2</v>
      </c>
      <c r="H47" s="5">
        <v>0</v>
      </c>
      <c r="I47" s="5">
        <f t="shared" si="9"/>
        <v>0.05</v>
      </c>
      <c r="P47" s="5" t="s">
        <v>145</v>
      </c>
      <c r="Q47" s="5">
        <v>189</v>
      </c>
    </row>
    <row r="48" spans="1:17" x14ac:dyDescent="0.2">
      <c r="A48" s="5">
        <v>1783</v>
      </c>
      <c r="B48" s="5" t="s">
        <v>187</v>
      </c>
      <c r="C48" s="5">
        <v>1</v>
      </c>
      <c r="D48" s="5" t="s">
        <v>239</v>
      </c>
      <c r="E48" s="5" t="s">
        <v>814</v>
      </c>
      <c r="H48" s="5">
        <v>5</v>
      </c>
      <c r="I48" s="5">
        <f t="shared" si="9"/>
        <v>0.10416666666666667</v>
      </c>
      <c r="P48" s="5" t="s">
        <v>145</v>
      </c>
      <c r="Q48" s="5">
        <v>110</v>
      </c>
    </row>
    <row r="49" spans="1:17" x14ac:dyDescent="0.2">
      <c r="A49" s="5">
        <v>1793</v>
      </c>
      <c r="B49" s="5" t="s">
        <v>187</v>
      </c>
      <c r="C49" s="5">
        <v>100</v>
      </c>
      <c r="D49" s="5" t="s">
        <v>239</v>
      </c>
      <c r="E49" s="5" t="s">
        <v>814</v>
      </c>
      <c r="J49" s="5">
        <v>2</v>
      </c>
      <c r="K49" s="5">
        <v>18</v>
      </c>
      <c r="L49" s="5">
        <v>4</v>
      </c>
      <c r="M49" s="124">
        <f>(J49+K49/20+L49/240)/C49</f>
        <v>2.9166666666666664E-2</v>
      </c>
      <c r="N49" s="124">
        <f>M49*104.6</f>
        <v>3.0508333333333328</v>
      </c>
      <c r="O49" s="124">
        <f>N49*2.2046</f>
        <v>6.7258671666666663</v>
      </c>
      <c r="P49" s="5" t="s">
        <v>977</v>
      </c>
    </row>
    <row r="50" spans="1:17" x14ac:dyDescent="0.2">
      <c r="A50" s="5">
        <v>1797</v>
      </c>
      <c r="B50" s="5" t="s">
        <v>187</v>
      </c>
      <c r="C50" s="5">
        <v>1</v>
      </c>
      <c r="D50" s="5" t="s">
        <v>239</v>
      </c>
      <c r="E50" s="5" t="s">
        <v>814</v>
      </c>
      <c r="F50" s="5">
        <v>0</v>
      </c>
      <c r="G50" s="5">
        <v>1</v>
      </c>
      <c r="H50" s="5">
        <v>2</v>
      </c>
      <c r="I50" s="5">
        <f t="shared" ref="I50:I53" si="10">((F50+(G50/8)+(H50/48))/C50)</f>
        <v>0.16666666666666666</v>
      </c>
      <c r="P50" s="5" t="s">
        <v>145</v>
      </c>
      <c r="Q50" s="5">
        <v>189</v>
      </c>
    </row>
    <row r="51" spans="1:17" x14ac:dyDescent="0.2">
      <c r="A51" s="5">
        <v>1798</v>
      </c>
      <c r="B51" s="5" t="s">
        <v>187</v>
      </c>
      <c r="C51" s="5">
        <v>1</v>
      </c>
      <c r="D51" s="5" t="s">
        <v>239</v>
      </c>
      <c r="E51" s="5" t="s">
        <v>814</v>
      </c>
      <c r="F51" s="5">
        <v>0</v>
      </c>
      <c r="G51" s="5">
        <v>2</v>
      </c>
      <c r="H51" s="5">
        <v>0</v>
      </c>
      <c r="I51" s="5">
        <f t="shared" si="10"/>
        <v>0.25</v>
      </c>
      <c r="P51" s="5" t="s">
        <v>145</v>
      </c>
      <c r="Q51" s="5">
        <v>189</v>
      </c>
    </row>
    <row r="52" spans="1:17" x14ac:dyDescent="0.2">
      <c r="A52" s="5">
        <v>1801</v>
      </c>
      <c r="B52" s="5" t="s">
        <v>187</v>
      </c>
      <c r="C52" s="5">
        <v>1</v>
      </c>
      <c r="D52" s="5" t="s">
        <v>239</v>
      </c>
      <c r="E52" s="5" t="s">
        <v>814</v>
      </c>
      <c r="G52" s="5">
        <v>3</v>
      </c>
      <c r="I52" s="5">
        <f t="shared" si="10"/>
        <v>0.375</v>
      </c>
      <c r="P52" s="5" t="s">
        <v>145</v>
      </c>
      <c r="Q52" s="5">
        <v>110</v>
      </c>
    </row>
    <row r="53" spans="1:17" x14ac:dyDescent="0.2">
      <c r="A53" s="5">
        <v>1803</v>
      </c>
      <c r="B53" s="5" t="s">
        <v>187</v>
      </c>
      <c r="C53" s="5">
        <v>1</v>
      </c>
      <c r="D53" s="5" t="s">
        <v>239</v>
      </c>
      <c r="E53" s="5" t="s">
        <v>814</v>
      </c>
      <c r="G53" s="5">
        <v>4</v>
      </c>
      <c r="I53" s="5">
        <f t="shared" si="10"/>
        <v>0.5</v>
      </c>
      <c r="P53" s="5" t="s">
        <v>145</v>
      </c>
      <c r="Q53" s="5">
        <v>110</v>
      </c>
    </row>
    <row r="54" spans="1:17" x14ac:dyDescent="0.2">
      <c r="A54" s="5">
        <v>1822</v>
      </c>
      <c r="B54" s="5" t="s">
        <v>187</v>
      </c>
      <c r="C54" s="5">
        <v>1</v>
      </c>
      <c r="D54" s="5" t="s">
        <v>239</v>
      </c>
      <c r="E54" s="5" t="s">
        <v>814</v>
      </c>
      <c r="L54" s="5">
        <v>3.8</v>
      </c>
      <c r="M54" s="124">
        <f t="shared" ref="M54:M76" si="11">(J54+K54/20+L54/240)/C54</f>
        <v>1.5833333333333331E-2</v>
      </c>
      <c r="N54" s="124">
        <f t="shared" ref="N54:N78" si="12">M54*104.6</f>
        <v>1.6561666666666663</v>
      </c>
      <c r="O54" s="124">
        <f t="shared" ref="O54:O76" si="13">N54*2.2046</f>
        <v>3.6511850333333329</v>
      </c>
      <c r="P54" s="5" t="s">
        <v>145</v>
      </c>
      <c r="Q54" s="5">
        <v>89</v>
      </c>
    </row>
    <row r="55" spans="1:17" x14ac:dyDescent="0.2">
      <c r="A55" s="5">
        <v>1822</v>
      </c>
      <c r="B55" s="5" t="s">
        <v>187</v>
      </c>
      <c r="C55" s="5">
        <v>1</v>
      </c>
      <c r="D55" s="5" t="s">
        <v>239</v>
      </c>
      <c r="E55" s="5" t="s">
        <v>814</v>
      </c>
      <c r="L55" s="5">
        <v>3.8</v>
      </c>
      <c r="M55" s="124">
        <f t="shared" si="11"/>
        <v>1.5833333333333331E-2</v>
      </c>
      <c r="N55" s="124">
        <f t="shared" si="12"/>
        <v>1.6561666666666663</v>
      </c>
      <c r="O55" s="124">
        <f t="shared" si="13"/>
        <v>3.6511850333333329</v>
      </c>
      <c r="P55" s="5" t="s">
        <v>145</v>
      </c>
      <c r="Q55" s="5">
        <v>155</v>
      </c>
    </row>
    <row r="56" spans="1:17" x14ac:dyDescent="0.2">
      <c r="A56" s="5">
        <v>1823</v>
      </c>
      <c r="B56" s="5" t="s">
        <v>187</v>
      </c>
      <c r="C56" s="5">
        <v>1</v>
      </c>
      <c r="D56" s="5" t="s">
        <v>239</v>
      </c>
      <c r="E56" s="5" t="s">
        <v>814</v>
      </c>
      <c r="L56" s="5">
        <v>11.5</v>
      </c>
      <c r="M56" s="124">
        <f t="shared" si="11"/>
        <v>4.791666666666667E-2</v>
      </c>
      <c r="N56" s="124">
        <f t="shared" si="12"/>
        <v>5.012083333333333</v>
      </c>
      <c r="O56" s="124">
        <f t="shared" si="13"/>
        <v>11.049638916666666</v>
      </c>
      <c r="P56" s="5" t="s">
        <v>145</v>
      </c>
      <c r="Q56" s="5">
        <v>89</v>
      </c>
    </row>
    <row r="57" spans="1:17" x14ac:dyDescent="0.2">
      <c r="A57" s="5">
        <v>1823</v>
      </c>
      <c r="B57" s="5" t="s">
        <v>187</v>
      </c>
      <c r="C57" s="5">
        <v>1</v>
      </c>
      <c r="D57" s="5" t="s">
        <v>239</v>
      </c>
      <c r="E57" s="5" t="s">
        <v>814</v>
      </c>
      <c r="L57" s="5">
        <v>11.5</v>
      </c>
      <c r="M57" s="124">
        <f t="shared" si="11"/>
        <v>4.791666666666667E-2</v>
      </c>
      <c r="N57" s="124">
        <f t="shared" si="12"/>
        <v>5.012083333333333</v>
      </c>
      <c r="O57" s="124">
        <f t="shared" si="13"/>
        <v>11.049638916666666</v>
      </c>
      <c r="P57" s="5" t="s">
        <v>145</v>
      </c>
      <c r="Q57" s="5">
        <v>155</v>
      </c>
    </row>
    <row r="58" spans="1:17" x14ac:dyDescent="0.2">
      <c r="A58" s="5">
        <v>1825</v>
      </c>
      <c r="B58" s="5" t="s">
        <v>187</v>
      </c>
      <c r="C58" s="5">
        <v>1</v>
      </c>
      <c r="D58" s="5" t="s">
        <v>239</v>
      </c>
      <c r="E58" s="5" t="s">
        <v>814</v>
      </c>
      <c r="L58" s="5">
        <v>4.9000000000000004</v>
      </c>
      <c r="M58" s="124">
        <f t="shared" si="11"/>
        <v>2.041666666666667E-2</v>
      </c>
      <c r="N58" s="124">
        <f t="shared" si="12"/>
        <v>2.1355833333333334</v>
      </c>
      <c r="O58" s="124">
        <f t="shared" si="13"/>
        <v>4.7081070166666672</v>
      </c>
      <c r="P58" s="5" t="s">
        <v>145</v>
      </c>
      <c r="Q58" s="5">
        <v>89</v>
      </c>
    </row>
    <row r="59" spans="1:17" x14ac:dyDescent="0.2">
      <c r="A59" s="5">
        <v>1825</v>
      </c>
      <c r="B59" s="5" t="s">
        <v>187</v>
      </c>
      <c r="C59" s="5">
        <v>1</v>
      </c>
      <c r="D59" s="5" t="s">
        <v>239</v>
      </c>
      <c r="E59" s="5" t="s">
        <v>814</v>
      </c>
      <c r="L59" s="5">
        <v>4.9000000000000004</v>
      </c>
      <c r="M59" s="124">
        <f t="shared" si="11"/>
        <v>2.041666666666667E-2</v>
      </c>
      <c r="N59" s="124">
        <f t="shared" si="12"/>
        <v>2.1355833333333334</v>
      </c>
      <c r="O59" s="124">
        <f t="shared" si="13"/>
        <v>4.7081070166666672</v>
      </c>
      <c r="P59" s="5" t="s">
        <v>145</v>
      </c>
      <c r="Q59" s="5">
        <v>155</v>
      </c>
    </row>
    <row r="60" spans="1:17" x14ac:dyDescent="0.2">
      <c r="A60" s="5">
        <v>1826</v>
      </c>
      <c r="B60" s="5" t="s">
        <v>187</v>
      </c>
      <c r="C60" s="5">
        <v>1</v>
      </c>
      <c r="D60" s="5" t="s">
        <v>239</v>
      </c>
      <c r="E60" s="5" t="s">
        <v>814</v>
      </c>
      <c r="L60" s="5">
        <v>3.75</v>
      </c>
      <c r="M60" s="124">
        <f t="shared" si="11"/>
        <v>1.5625E-2</v>
      </c>
      <c r="N60" s="124">
        <f t="shared" si="12"/>
        <v>1.6343749999999999</v>
      </c>
      <c r="O60" s="124">
        <f t="shared" si="13"/>
        <v>3.6031431249999999</v>
      </c>
      <c r="P60" s="5" t="s">
        <v>145</v>
      </c>
      <c r="Q60" s="5">
        <v>88</v>
      </c>
    </row>
    <row r="61" spans="1:17" x14ac:dyDescent="0.2">
      <c r="A61" s="5">
        <v>1827</v>
      </c>
      <c r="B61" s="5" t="s">
        <v>187</v>
      </c>
      <c r="C61" s="5">
        <v>1</v>
      </c>
      <c r="D61" s="5" t="s">
        <v>239</v>
      </c>
      <c r="E61" s="5" t="s">
        <v>814</v>
      </c>
      <c r="L61" s="5">
        <v>1.1000000000000001</v>
      </c>
      <c r="M61" s="124">
        <f t="shared" si="11"/>
        <v>4.5833333333333334E-3</v>
      </c>
      <c r="N61" s="124">
        <f t="shared" si="12"/>
        <v>0.47941666666666666</v>
      </c>
      <c r="O61" s="124">
        <f t="shared" si="13"/>
        <v>1.0569219833333334</v>
      </c>
      <c r="P61" s="5" t="s">
        <v>145</v>
      </c>
      <c r="Q61" s="5">
        <v>89</v>
      </c>
    </row>
    <row r="62" spans="1:17" x14ac:dyDescent="0.2">
      <c r="A62" s="5">
        <v>1827</v>
      </c>
      <c r="B62" s="5" t="s">
        <v>187</v>
      </c>
      <c r="C62" s="5">
        <v>1</v>
      </c>
      <c r="D62" s="5" t="s">
        <v>239</v>
      </c>
      <c r="E62" s="5" t="s">
        <v>814</v>
      </c>
      <c r="L62" s="5">
        <v>1.1000000000000001</v>
      </c>
      <c r="M62" s="124">
        <f t="shared" si="11"/>
        <v>4.5833333333333334E-3</v>
      </c>
      <c r="N62" s="124">
        <f t="shared" si="12"/>
        <v>0.47941666666666666</v>
      </c>
      <c r="O62" s="124">
        <f t="shared" si="13"/>
        <v>1.0569219833333334</v>
      </c>
      <c r="P62" s="5" t="s">
        <v>145</v>
      </c>
      <c r="Q62" s="5">
        <v>155</v>
      </c>
    </row>
    <row r="63" spans="1:17" x14ac:dyDescent="0.2">
      <c r="A63" s="5">
        <v>1828</v>
      </c>
      <c r="B63" s="5" t="s">
        <v>187</v>
      </c>
      <c r="C63" s="5">
        <v>1</v>
      </c>
      <c r="D63" s="5" t="s">
        <v>239</v>
      </c>
      <c r="E63" s="5" t="s">
        <v>814</v>
      </c>
      <c r="L63" s="5">
        <v>8.3000000000000007</v>
      </c>
      <c r="M63" s="124">
        <f t="shared" si="11"/>
        <v>3.4583333333333334E-2</v>
      </c>
      <c r="N63" s="124">
        <f t="shared" si="12"/>
        <v>3.6174166666666667</v>
      </c>
      <c r="O63" s="124">
        <f t="shared" si="13"/>
        <v>7.9749567833333339</v>
      </c>
      <c r="P63" s="5" t="s">
        <v>145</v>
      </c>
      <c r="Q63" s="5">
        <v>89</v>
      </c>
    </row>
    <row r="64" spans="1:17" x14ac:dyDescent="0.2">
      <c r="A64" s="5">
        <v>1828</v>
      </c>
      <c r="B64" s="5" t="s">
        <v>187</v>
      </c>
      <c r="C64" s="5">
        <v>1</v>
      </c>
      <c r="D64" s="5" t="s">
        <v>239</v>
      </c>
      <c r="E64" s="5" t="s">
        <v>814</v>
      </c>
      <c r="L64" s="5">
        <v>8.3000000000000007</v>
      </c>
      <c r="M64" s="124">
        <f t="shared" si="11"/>
        <v>3.4583333333333334E-2</v>
      </c>
      <c r="N64" s="124">
        <f t="shared" si="12"/>
        <v>3.6174166666666667</v>
      </c>
      <c r="O64" s="124">
        <f t="shared" si="13"/>
        <v>7.9749567833333339</v>
      </c>
      <c r="P64" s="5" t="s">
        <v>145</v>
      </c>
      <c r="Q64" s="5">
        <v>155</v>
      </c>
    </row>
    <row r="65" spans="1:19" x14ac:dyDescent="0.2">
      <c r="A65" s="5">
        <v>1829</v>
      </c>
      <c r="B65" s="5" t="s">
        <v>187</v>
      </c>
      <c r="C65" s="5">
        <v>1</v>
      </c>
      <c r="D65" s="5" t="s">
        <v>239</v>
      </c>
      <c r="E65" s="5" t="s">
        <v>814</v>
      </c>
      <c r="L65" s="5">
        <v>4.7</v>
      </c>
      <c r="M65" s="124">
        <f t="shared" si="11"/>
        <v>1.9583333333333335E-2</v>
      </c>
      <c r="N65" s="124">
        <f t="shared" si="12"/>
        <v>2.0484166666666668</v>
      </c>
      <c r="O65" s="124">
        <f t="shared" si="13"/>
        <v>4.5159393833333334</v>
      </c>
      <c r="P65" s="5" t="s">
        <v>145</v>
      </c>
      <c r="Q65" s="5">
        <v>89</v>
      </c>
    </row>
    <row r="66" spans="1:19" x14ac:dyDescent="0.2">
      <c r="A66" s="5">
        <v>1829</v>
      </c>
      <c r="B66" s="5" t="s">
        <v>187</v>
      </c>
      <c r="C66" s="5">
        <v>1</v>
      </c>
      <c r="D66" s="5" t="s">
        <v>239</v>
      </c>
      <c r="E66" s="5" t="s">
        <v>814</v>
      </c>
      <c r="L66" s="5">
        <v>4.7</v>
      </c>
      <c r="M66" s="124">
        <f t="shared" si="11"/>
        <v>1.9583333333333335E-2</v>
      </c>
      <c r="N66" s="124">
        <f t="shared" si="12"/>
        <v>2.0484166666666668</v>
      </c>
      <c r="O66" s="124">
        <f t="shared" si="13"/>
        <v>4.5159393833333334</v>
      </c>
      <c r="P66" s="5" t="s">
        <v>145</v>
      </c>
      <c r="Q66" s="5">
        <v>155</v>
      </c>
    </row>
    <row r="67" spans="1:19" x14ac:dyDescent="0.2">
      <c r="A67" s="5">
        <v>1830</v>
      </c>
      <c r="B67" s="5" t="s">
        <v>187</v>
      </c>
      <c r="C67" s="5">
        <v>1</v>
      </c>
      <c r="D67" s="5" t="s">
        <v>239</v>
      </c>
      <c r="E67" s="5" t="s">
        <v>814</v>
      </c>
      <c r="L67" s="5">
        <v>4.38</v>
      </c>
      <c r="M67" s="124">
        <f t="shared" si="11"/>
        <v>1.8249999999999999E-2</v>
      </c>
      <c r="N67" s="124">
        <f t="shared" si="12"/>
        <v>1.9089499999999997</v>
      </c>
      <c r="O67" s="124">
        <f t="shared" si="13"/>
        <v>4.2084711699999993</v>
      </c>
      <c r="P67" s="5" t="s">
        <v>145</v>
      </c>
      <c r="Q67" s="5">
        <v>89</v>
      </c>
      <c r="S67" s="5">
        <f>AVERAGE(M67:M68)</f>
        <v>1.9125E-2</v>
      </c>
    </row>
    <row r="68" spans="1:19" x14ac:dyDescent="0.2">
      <c r="A68" s="5">
        <v>1830</v>
      </c>
      <c r="B68" s="5" t="s">
        <v>187</v>
      </c>
      <c r="C68" s="5">
        <v>1</v>
      </c>
      <c r="D68" s="5" t="s">
        <v>239</v>
      </c>
      <c r="E68" s="5" t="s">
        <v>814</v>
      </c>
      <c r="L68" s="5">
        <v>4.8</v>
      </c>
      <c r="M68" s="124">
        <f t="shared" si="11"/>
        <v>0.02</v>
      </c>
      <c r="N68" s="124">
        <f t="shared" si="12"/>
        <v>2.0920000000000001</v>
      </c>
      <c r="O68" s="124">
        <f t="shared" si="13"/>
        <v>4.6120232000000003</v>
      </c>
      <c r="P68" s="5" t="s">
        <v>145</v>
      </c>
      <c r="Q68" s="5">
        <v>155</v>
      </c>
    </row>
    <row r="69" spans="1:19" x14ac:dyDescent="0.2">
      <c r="A69" s="5">
        <v>1831</v>
      </c>
      <c r="B69" s="5" t="s">
        <v>187</v>
      </c>
      <c r="C69" s="5">
        <v>1</v>
      </c>
      <c r="D69" s="5" t="s">
        <v>239</v>
      </c>
      <c r="E69" s="5" t="s">
        <v>814</v>
      </c>
      <c r="L69" s="5">
        <v>4.8</v>
      </c>
      <c r="M69" s="124">
        <f t="shared" si="11"/>
        <v>0.02</v>
      </c>
      <c r="N69" s="124">
        <f t="shared" si="12"/>
        <v>2.0920000000000001</v>
      </c>
      <c r="O69" s="124">
        <f t="shared" si="13"/>
        <v>4.6120232000000003</v>
      </c>
      <c r="P69" s="5" t="s">
        <v>145</v>
      </c>
      <c r="Q69" s="5">
        <v>89</v>
      </c>
    </row>
    <row r="70" spans="1:19" x14ac:dyDescent="0.2">
      <c r="A70" s="5">
        <v>1831</v>
      </c>
      <c r="B70" s="5" t="s">
        <v>187</v>
      </c>
      <c r="C70" s="5">
        <v>1</v>
      </c>
      <c r="D70" s="5" t="s">
        <v>239</v>
      </c>
      <c r="E70" s="5" t="s">
        <v>814</v>
      </c>
      <c r="L70" s="5">
        <v>4.8</v>
      </c>
      <c r="M70" s="124">
        <f t="shared" si="11"/>
        <v>0.02</v>
      </c>
      <c r="N70" s="124">
        <f t="shared" si="12"/>
        <v>2.0920000000000001</v>
      </c>
      <c r="O70" s="124">
        <f t="shared" si="13"/>
        <v>4.6120232000000003</v>
      </c>
      <c r="P70" s="5" t="s">
        <v>145</v>
      </c>
      <c r="Q70" s="5">
        <v>155</v>
      </c>
    </row>
    <row r="71" spans="1:19" x14ac:dyDescent="0.2">
      <c r="A71" s="5">
        <v>1832</v>
      </c>
      <c r="B71" s="5" t="s">
        <v>187</v>
      </c>
      <c r="C71" s="5">
        <v>1</v>
      </c>
      <c r="D71" s="5" t="s">
        <v>239</v>
      </c>
      <c r="E71" s="5" t="s">
        <v>814</v>
      </c>
      <c r="L71" s="5">
        <v>4.0999999999999996</v>
      </c>
      <c r="M71" s="124">
        <f t="shared" si="11"/>
        <v>1.7083333333333332E-2</v>
      </c>
      <c r="N71" s="124">
        <f t="shared" si="12"/>
        <v>1.7869166666666665</v>
      </c>
      <c r="O71" s="124">
        <f t="shared" si="13"/>
        <v>3.9394364833333331</v>
      </c>
      <c r="P71" s="5" t="s">
        <v>145</v>
      </c>
      <c r="Q71" s="5">
        <v>89</v>
      </c>
    </row>
    <row r="72" spans="1:19" x14ac:dyDescent="0.2">
      <c r="A72" s="5">
        <v>1832</v>
      </c>
      <c r="B72" s="5" t="s">
        <v>187</v>
      </c>
      <c r="C72" s="5">
        <v>1</v>
      </c>
      <c r="D72" s="5" t="s">
        <v>239</v>
      </c>
      <c r="E72" s="5" t="s">
        <v>814</v>
      </c>
      <c r="L72" s="5">
        <v>4.0999999999999996</v>
      </c>
      <c r="M72" s="124">
        <f t="shared" si="11"/>
        <v>1.7083333333333332E-2</v>
      </c>
      <c r="N72" s="124">
        <f>M72*104.6</f>
        <v>1.7869166666666665</v>
      </c>
      <c r="O72" s="124">
        <f t="shared" si="13"/>
        <v>3.9394364833333331</v>
      </c>
      <c r="P72" s="5" t="s">
        <v>145</v>
      </c>
      <c r="Q72" s="5">
        <v>155</v>
      </c>
    </row>
    <row r="73" spans="1:19" x14ac:dyDescent="0.2">
      <c r="A73" s="5">
        <v>1833</v>
      </c>
      <c r="B73" s="5" t="s">
        <v>187</v>
      </c>
      <c r="C73" s="5">
        <v>1</v>
      </c>
      <c r="D73" s="5" t="s">
        <v>239</v>
      </c>
      <c r="E73" s="5" t="s">
        <v>814</v>
      </c>
      <c r="L73" s="5">
        <v>3.8</v>
      </c>
      <c r="M73" s="124">
        <f t="shared" si="11"/>
        <v>1.5833333333333331E-2</v>
      </c>
      <c r="N73" s="124">
        <f t="shared" si="12"/>
        <v>1.6561666666666663</v>
      </c>
      <c r="O73" s="124">
        <f t="shared" si="13"/>
        <v>3.6511850333333329</v>
      </c>
      <c r="P73" s="5" t="s">
        <v>145</v>
      </c>
      <c r="Q73" s="5">
        <v>89</v>
      </c>
    </row>
    <row r="74" spans="1:19" x14ac:dyDescent="0.2">
      <c r="A74" s="5">
        <v>1833</v>
      </c>
      <c r="B74" s="5" t="s">
        <v>187</v>
      </c>
      <c r="C74" s="5">
        <v>1</v>
      </c>
      <c r="D74" s="5" t="s">
        <v>239</v>
      </c>
      <c r="E74" s="5" t="s">
        <v>814</v>
      </c>
      <c r="L74" s="5">
        <v>3.8</v>
      </c>
      <c r="M74" s="124">
        <f t="shared" si="11"/>
        <v>1.5833333333333331E-2</v>
      </c>
      <c r="N74" s="124">
        <f t="shared" si="12"/>
        <v>1.6561666666666663</v>
      </c>
      <c r="O74" s="124">
        <f t="shared" si="13"/>
        <v>3.6511850333333329</v>
      </c>
      <c r="P74" s="5" t="s">
        <v>145</v>
      </c>
      <c r="Q74" s="5">
        <v>155</v>
      </c>
    </row>
    <row r="75" spans="1:19" x14ac:dyDescent="0.2">
      <c r="A75" s="5">
        <v>1834</v>
      </c>
      <c r="B75" s="5" t="s">
        <v>187</v>
      </c>
      <c r="C75" s="5">
        <v>1</v>
      </c>
      <c r="D75" s="5" t="s">
        <v>239</v>
      </c>
      <c r="E75" s="5" t="s">
        <v>814</v>
      </c>
      <c r="L75" s="5">
        <v>5</v>
      </c>
      <c r="M75" s="124">
        <f t="shared" si="11"/>
        <v>2.0833333333333332E-2</v>
      </c>
      <c r="N75" s="124">
        <f t="shared" si="12"/>
        <v>2.1791666666666663</v>
      </c>
      <c r="O75" s="124">
        <f t="shared" si="13"/>
        <v>4.8041908333333323</v>
      </c>
      <c r="P75" s="5" t="s">
        <v>145</v>
      </c>
      <c r="Q75" s="5">
        <v>89</v>
      </c>
    </row>
    <row r="76" spans="1:19" x14ac:dyDescent="0.2">
      <c r="A76" s="5">
        <v>1834</v>
      </c>
      <c r="B76" s="5" t="s">
        <v>187</v>
      </c>
      <c r="C76" s="5">
        <v>1</v>
      </c>
      <c r="D76" s="5" t="s">
        <v>239</v>
      </c>
      <c r="E76" s="5" t="s">
        <v>814</v>
      </c>
      <c r="L76" s="5">
        <v>5</v>
      </c>
      <c r="M76" s="124">
        <f t="shared" si="11"/>
        <v>2.0833333333333332E-2</v>
      </c>
      <c r="N76" s="124">
        <f t="shared" si="12"/>
        <v>2.1791666666666663</v>
      </c>
      <c r="O76" s="124">
        <f t="shared" si="13"/>
        <v>4.8041908333333323</v>
      </c>
      <c r="P76" s="5" t="s">
        <v>145</v>
      </c>
      <c r="Q76" s="5">
        <v>155</v>
      </c>
    </row>
    <row r="77" spans="1:19" x14ac:dyDescent="0.2">
      <c r="A77" s="5">
        <v>1801</v>
      </c>
      <c r="B77" s="5" t="s">
        <v>187</v>
      </c>
      <c r="C77" s="5">
        <v>1</v>
      </c>
      <c r="D77" s="5" t="s">
        <v>239</v>
      </c>
      <c r="E77" s="5" t="s">
        <v>842</v>
      </c>
      <c r="G77" s="5">
        <v>3</v>
      </c>
      <c r="H77" s="5">
        <v>1</v>
      </c>
      <c r="I77" s="5">
        <f>((F77+(G77/8)+(H77/48))/C77)</f>
        <v>0.39583333333333331</v>
      </c>
      <c r="N77" s="124"/>
      <c r="P77" s="5" t="s">
        <v>145</v>
      </c>
      <c r="Q77" s="5">
        <v>110</v>
      </c>
    </row>
    <row r="78" spans="1:19" x14ac:dyDescent="0.2">
      <c r="A78" s="5">
        <v>1826</v>
      </c>
      <c r="B78" s="5" t="s">
        <v>187</v>
      </c>
      <c r="C78" s="5">
        <v>1</v>
      </c>
      <c r="D78" s="5" t="s">
        <v>239</v>
      </c>
      <c r="E78" s="5" t="s">
        <v>842</v>
      </c>
      <c r="K78" s="5">
        <v>3</v>
      </c>
      <c r="M78" s="124">
        <f>(J78+K78/20+L78/240)/C78</f>
        <v>0.15</v>
      </c>
      <c r="N78" s="124">
        <f t="shared" si="12"/>
        <v>15.689999999999998</v>
      </c>
      <c r="O78" s="124">
        <f>N78*2.2046</f>
        <v>34.590173999999998</v>
      </c>
      <c r="P78" s="5" t="s">
        <v>145</v>
      </c>
      <c r="Q78" s="5">
        <v>89</v>
      </c>
    </row>
    <row r="79" spans="1:19" x14ac:dyDescent="0.2">
      <c r="A79" s="5">
        <v>1813</v>
      </c>
      <c r="B79" s="5" t="s">
        <v>187</v>
      </c>
      <c r="C79" s="5">
        <v>1</v>
      </c>
      <c r="D79" s="5" t="s">
        <v>979</v>
      </c>
      <c r="E79" s="5" t="s">
        <v>234</v>
      </c>
      <c r="F79" s="5">
        <v>104</v>
      </c>
      <c r="I79" s="5">
        <f t="shared" ref="I79:I92" si="14">((F79+(G79/8)+(H79/48))/C79)</f>
        <v>104</v>
      </c>
      <c r="P79" s="5" t="s">
        <v>145</v>
      </c>
      <c r="Q79" s="5">
        <v>33</v>
      </c>
      <c r="R79" s="5">
        <f>I79/10</f>
        <v>10.4</v>
      </c>
    </row>
    <row r="80" spans="1:19" x14ac:dyDescent="0.2">
      <c r="A80" s="5">
        <v>1814</v>
      </c>
      <c r="B80" s="5" t="s">
        <v>187</v>
      </c>
      <c r="C80" s="5">
        <v>1</v>
      </c>
      <c r="D80" s="5" t="s">
        <v>979</v>
      </c>
      <c r="E80" s="5" t="s">
        <v>234</v>
      </c>
      <c r="F80" s="5">
        <v>132</v>
      </c>
      <c r="I80" s="5">
        <f t="shared" si="14"/>
        <v>132</v>
      </c>
      <c r="P80" s="5" t="s">
        <v>145</v>
      </c>
      <c r="Q80" s="5">
        <v>33</v>
      </c>
      <c r="R80" s="5">
        <f t="shared" ref="R80:R92" si="15">I80/10</f>
        <v>13.2</v>
      </c>
    </row>
    <row r="81" spans="1:18" x14ac:dyDescent="0.2">
      <c r="A81" s="5">
        <v>1815</v>
      </c>
      <c r="B81" s="5" t="s">
        <v>187</v>
      </c>
      <c r="C81" s="5">
        <v>1</v>
      </c>
      <c r="D81" s="5" t="s">
        <v>979</v>
      </c>
      <c r="E81" s="5" t="s">
        <v>234</v>
      </c>
      <c r="F81" s="5">
        <v>93</v>
      </c>
      <c r="I81" s="5">
        <f t="shared" si="14"/>
        <v>93</v>
      </c>
      <c r="P81" s="5" t="s">
        <v>145</v>
      </c>
      <c r="Q81" s="5">
        <v>33</v>
      </c>
      <c r="R81" s="5">
        <f t="shared" si="15"/>
        <v>9.3000000000000007</v>
      </c>
    </row>
    <row r="82" spans="1:18" x14ac:dyDescent="0.2">
      <c r="A82" s="5">
        <v>1816</v>
      </c>
      <c r="B82" s="5" t="s">
        <v>187</v>
      </c>
      <c r="C82" s="5">
        <v>1</v>
      </c>
      <c r="D82" s="5" t="s">
        <v>979</v>
      </c>
      <c r="E82" s="5" t="s">
        <v>234</v>
      </c>
      <c r="F82" s="5">
        <v>68</v>
      </c>
      <c r="I82" s="5">
        <f t="shared" si="14"/>
        <v>68</v>
      </c>
      <c r="P82" s="5" t="s">
        <v>145</v>
      </c>
      <c r="Q82" s="5">
        <v>33</v>
      </c>
      <c r="R82" s="5">
        <f t="shared" si="15"/>
        <v>6.8</v>
      </c>
    </row>
    <row r="83" spans="1:18" x14ac:dyDescent="0.2">
      <c r="A83" s="5">
        <v>1817</v>
      </c>
      <c r="B83" s="5" t="s">
        <v>187</v>
      </c>
      <c r="C83" s="5">
        <v>1</v>
      </c>
      <c r="D83" s="5" t="s">
        <v>979</v>
      </c>
      <c r="E83" s="5" t="s">
        <v>234</v>
      </c>
      <c r="F83" s="5">
        <v>93</v>
      </c>
      <c r="I83" s="5">
        <f t="shared" si="14"/>
        <v>93</v>
      </c>
      <c r="P83" s="5" t="s">
        <v>145</v>
      </c>
      <c r="Q83" s="5">
        <v>33</v>
      </c>
      <c r="R83" s="5">
        <f t="shared" si="15"/>
        <v>9.3000000000000007</v>
      </c>
    </row>
    <row r="84" spans="1:18" x14ac:dyDescent="0.2">
      <c r="A84" s="5">
        <v>1818</v>
      </c>
      <c r="B84" s="5" t="s">
        <v>187</v>
      </c>
      <c r="C84" s="5">
        <v>1</v>
      </c>
      <c r="D84" s="5" t="s">
        <v>979</v>
      </c>
      <c r="E84" s="5" t="s">
        <v>234</v>
      </c>
      <c r="F84" s="5">
        <v>174</v>
      </c>
      <c r="I84" s="5">
        <f t="shared" si="14"/>
        <v>174</v>
      </c>
      <c r="P84" s="5" t="s">
        <v>145</v>
      </c>
      <c r="Q84" s="5">
        <v>33</v>
      </c>
      <c r="R84" s="5">
        <f t="shared" si="15"/>
        <v>17.399999999999999</v>
      </c>
    </row>
    <row r="85" spans="1:18" x14ac:dyDescent="0.2">
      <c r="A85" s="5">
        <v>1819</v>
      </c>
      <c r="B85" s="5" t="s">
        <v>187</v>
      </c>
      <c r="C85" s="5">
        <v>1</v>
      </c>
      <c r="D85" s="5" t="s">
        <v>979</v>
      </c>
      <c r="E85" s="5" t="s">
        <v>234</v>
      </c>
      <c r="F85" s="5">
        <v>171</v>
      </c>
      <c r="I85" s="5">
        <f t="shared" si="14"/>
        <v>171</v>
      </c>
      <c r="P85" s="5" t="s">
        <v>145</v>
      </c>
      <c r="Q85" s="5">
        <v>33</v>
      </c>
      <c r="R85" s="5">
        <f t="shared" si="15"/>
        <v>17.100000000000001</v>
      </c>
    </row>
    <row r="86" spans="1:18" x14ac:dyDescent="0.2">
      <c r="A86" s="5">
        <v>1820</v>
      </c>
      <c r="B86" s="5" t="s">
        <v>187</v>
      </c>
      <c r="C86" s="5">
        <v>1</v>
      </c>
      <c r="D86" s="5" t="s">
        <v>979</v>
      </c>
      <c r="E86" s="5" t="s">
        <v>234</v>
      </c>
      <c r="F86" s="5">
        <v>93</v>
      </c>
      <c r="I86" s="5">
        <f t="shared" si="14"/>
        <v>93</v>
      </c>
      <c r="P86" s="5" t="s">
        <v>145</v>
      </c>
      <c r="Q86" s="5">
        <v>33</v>
      </c>
      <c r="R86" s="5">
        <f t="shared" si="15"/>
        <v>9.3000000000000007</v>
      </c>
    </row>
    <row r="87" spans="1:18" x14ac:dyDescent="0.2">
      <c r="A87" s="5">
        <v>1821</v>
      </c>
      <c r="B87" s="5" t="s">
        <v>187</v>
      </c>
      <c r="C87" s="5">
        <v>1</v>
      </c>
      <c r="D87" s="5" t="s">
        <v>979</v>
      </c>
      <c r="E87" s="5" t="s">
        <v>234</v>
      </c>
      <c r="F87" s="5">
        <v>213</v>
      </c>
      <c r="I87" s="5">
        <f t="shared" si="14"/>
        <v>213</v>
      </c>
      <c r="P87" s="5" t="s">
        <v>145</v>
      </c>
      <c r="Q87" s="5">
        <v>33</v>
      </c>
      <c r="R87" s="5">
        <f t="shared" si="15"/>
        <v>21.3</v>
      </c>
    </row>
    <row r="88" spans="1:18" x14ac:dyDescent="0.2">
      <c r="A88" s="5">
        <v>1822</v>
      </c>
      <c r="B88" s="5" t="s">
        <v>187</v>
      </c>
      <c r="C88" s="5">
        <v>1</v>
      </c>
      <c r="D88" s="5" t="s">
        <v>979</v>
      </c>
      <c r="E88" s="5" t="s">
        <v>234</v>
      </c>
      <c r="F88" s="5">
        <v>264</v>
      </c>
      <c r="I88" s="5">
        <f t="shared" si="14"/>
        <v>264</v>
      </c>
      <c r="P88" s="5" t="s">
        <v>145</v>
      </c>
      <c r="Q88" s="5">
        <v>33</v>
      </c>
      <c r="R88" s="5">
        <f t="shared" si="15"/>
        <v>26.4</v>
      </c>
    </row>
    <row r="89" spans="1:18" x14ac:dyDescent="0.2">
      <c r="A89" s="5">
        <v>1823</v>
      </c>
      <c r="B89" s="5" t="s">
        <v>187</v>
      </c>
      <c r="C89" s="5">
        <v>1</v>
      </c>
      <c r="D89" s="5" t="s">
        <v>979</v>
      </c>
      <c r="E89" s="5" t="s">
        <v>234</v>
      </c>
      <c r="F89" s="5">
        <v>104</v>
      </c>
      <c r="I89" s="5">
        <f t="shared" si="14"/>
        <v>104</v>
      </c>
      <c r="P89" s="5" t="s">
        <v>145</v>
      </c>
      <c r="Q89" s="5">
        <v>33</v>
      </c>
      <c r="R89" s="5">
        <f t="shared" si="15"/>
        <v>10.4</v>
      </c>
    </row>
    <row r="90" spans="1:18" x14ac:dyDescent="0.2">
      <c r="A90" s="5">
        <v>1824</v>
      </c>
      <c r="B90" s="5" t="s">
        <v>187</v>
      </c>
      <c r="C90" s="5">
        <v>1</v>
      </c>
      <c r="D90" s="5" t="s">
        <v>979</v>
      </c>
      <c r="E90" s="5" t="s">
        <v>234</v>
      </c>
      <c r="F90" s="5">
        <v>133</v>
      </c>
      <c r="I90" s="5">
        <f t="shared" si="14"/>
        <v>133</v>
      </c>
      <c r="P90" s="5" t="s">
        <v>145</v>
      </c>
      <c r="Q90" s="5">
        <v>33</v>
      </c>
      <c r="R90" s="5">
        <f t="shared" si="15"/>
        <v>13.3</v>
      </c>
    </row>
    <row r="91" spans="1:18" x14ac:dyDescent="0.2">
      <c r="A91" s="5">
        <v>1825</v>
      </c>
      <c r="B91" s="5" t="s">
        <v>187</v>
      </c>
      <c r="C91" s="5">
        <v>1</v>
      </c>
      <c r="D91" s="5" t="s">
        <v>979</v>
      </c>
      <c r="E91" s="5" t="s">
        <v>234</v>
      </c>
      <c r="F91" s="5">
        <v>111</v>
      </c>
      <c r="I91" s="5">
        <f t="shared" si="14"/>
        <v>111</v>
      </c>
      <c r="P91" s="5" t="s">
        <v>145</v>
      </c>
      <c r="Q91" s="5">
        <v>33</v>
      </c>
      <c r="R91" s="5">
        <f t="shared" si="15"/>
        <v>11.1</v>
      </c>
    </row>
    <row r="92" spans="1:18" x14ac:dyDescent="0.2">
      <c r="A92" s="5">
        <v>1826</v>
      </c>
      <c r="B92" s="5" t="s">
        <v>187</v>
      </c>
      <c r="C92" s="5">
        <v>1</v>
      </c>
      <c r="D92" s="5" t="s">
        <v>979</v>
      </c>
      <c r="E92" s="5" t="s">
        <v>234</v>
      </c>
      <c r="F92" s="5">
        <v>224</v>
      </c>
      <c r="I92" s="5">
        <f t="shared" si="14"/>
        <v>224</v>
      </c>
      <c r="P92" s="5" t="s">
        <v>145</v>
      </c>
      <c r="Q92" s="5">
        <v>33</v>
      </c>
      <c r="R92" s="5">
        <f t="shared" si="15"/>
        <v>22.4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pane xSplit="1" ySplit="3" topLeftCell="B4" activePane="bottomRight" state="frozen"/>
      <selection pane="topRight" activeCell="B1" sqref="B1"/>
      <selection pane="bottomLeft" activeCell="A4" sqref="A4"/>
      <selection pane="bottomRight" activeCell="K15" sqref="K15"/>
    </sheetView>
  </sheetViews>
  <sheetFormatPr baseColWidth="10" defaultColWidth="8.83203125" defaultRowHeight="15" x14ac:dyDescent="0.2"/>
  <cols>
    <col min="1" max="5" width="8.83203125" style="5"/>
    <col min="6" max="6" width="8.83203125" style="4"/>
    <col min="7" max="16384" width="8.83203125" style="5"/>
  </cols>
  <sheetData>
    <row r="1" spans="1:7" ht="16" x14ac:dyDescent="0.2">
      <c r="A1" s="127" t="s">
        <v>1032</v>
      </c>
    </row>
    <row r="3" spans="1:7" x14ac:dyDescent="0.2">
      <c r="B3" s="5" t="s">
        <v>87</v>
      </c>
      <c r="C3" s="10" t="s">
        <v>88</v>
      </c>
      <c r="D3" s="10" t="s">
        <v>783</v>
      </c>
      <c r="E3" s="10" t="s">
        <v>784</v>
      </c>
      <c r="F3" s="44" t="s">
        <v>926</v>
      </c>
    </row>
    <row r="4" spans="1:7" x14ac:dyDescent="0.2">
      <c r="A4" s="5">
        <v>1795</v>
      </c>
      <c r="B4" s="5">
        <v>1</v>
      </c>
      <c r="C4" s="5">
        <v>0</v>
      </c>
      <c r="D4" s="5">
        <v>4</v>
      </c>
      <c r="E4" s="4">
        <v>0</v>
      </c>
      <c r="F4" s="126">
        <f>(C4+D4/20+E4/240)/B4</f>
        <v>0.2</v>
      </c>
      <c r="G4" s="5" t="s">
        <v>980</v>
      </c>
    </row>
    <row r="5" spans="1:7" x14ac:dyDescent="0.2">
      <c r="A5" s="5">
        <v>1805</v>
      </c>
      <c r="B5" s="5">
        <v>1</v>
      </c>
      <c r="C5" s="5">
        <v>0</v>
      </c>
      <c r="D5" s="5">
        <v>3</v>
      </c>
      <c r="E5" s="4">
        <v>4</v>
      </c>
      <c r="F5" s="126">
        <f t="shared" ref="F5:F25" si="0">(C5+D5/20+E5/240)/B5</f>
        <v>0.16666666666666666</v>
      </c>
      <c r="G5" s="5" t="s">
        <v>980</v>
      </c>
    </row>
    <row r="6" spans="1:7" x14ac:dyDescent="0.2">
      <c r="A6" s="5">
        <v>1806</v>
      </c>
      <c r="B6" s="5">
        <v>1</v>
      </c>
      <c r="C6" s="5">
        <v>0</v>
      </c>
      <c r="D6" s="5">
        <v>4</v>
      </c>
      <c r="E6" s="4">
        <v>0</v>
      </c>
      <c r="F6" s="126">
        <f t="shared" si="0"/>
        <v>0.2</v>
      </c>
      <c r="G6" s="5" t="s">
        <v>981</v>
      </c>
    </row>
    <row r="7" spans="1:7" x14ac:dyDescent="0.2">
      <c r="A7" s="5">
        <v>1807</v>
      </c>
      <c r="B7" s="5">
        <v>1</v>
      </c>
      <c r="C7" s="5">
        <v>0</v>
      </c>
      <c r="D7" s="5">
        <v>3</v>
      </c>
      <c r="E7" s="4">
        <v>9</v>
      </c>
      <c r="F7" s="126">
        <f t="shared" si="0"/>
        <v>0.1875</v>
      </c>
      <c r="G7" s="5" t="s">
        <v>981</v>
      </c>
    </row>
    <row r="8" spans="1:7" x14ac:dyDescent="0.2">
      <c r="A8" s="5">
        <v>1808</v>
      </c>
      <c r="B8" s="5">
        <v>1</v>
      </c>
      <c r="C8" s="5">
        <v>0</v>
      </c>
      <c r="D8" s="5">
        <v>3</v>
      </c>
      <c r="E8" s="4">
        <v>3.5</v>
      </c>
      <c r="F8" s="126">
        <f t="shared" si="0"/>
        <v>0.16458333333333333</v>
      </c>
      <c r="G8" s="5" t="s">
        <v>981</v>
      </c>
    </row>
    <row r="9" spans="1:7" x14ac:dyDescent="0.2">
      <c r="A9" s="5">
        <v>1809</v>
      </c>
      <c r="B9" s="5">
        <v>1</v>
      </c>
      <c r="C9" s="5">
        <v>0</v>
      </c>
      <c r="D9" s="5">
        <v>3</v>
      </c>
      <c r="E9" s="4">
        <v>4</v>
      </c>
      <c r="F9" s="126">
        <f t="shared" si="0"/>
        <v>0.16666666666666666</v>
      </c>
      <c r="G9" s="5" t="s">
        <v>981</v>
      </c>
    </row>
    <row r="10" spans="1:7" x14ac:dyDescent="0.2">
      <c r="A10" s="5">
        <v>1810</v>
      </c>
      <c r="B10" s="5">
        <v>1</v>
      </c>
      <c r="C10" s="5">
        <v>0</v>
      </c>
      <c r="D10" s="5">
        <v>3</v>
      </c>
      <c r="E10" s="4">
        <v>2.25</v>
      </c>
      <c r="F10" s="126">
        <f t="shared" si="0"/>
        <v>0.15937499999999999</v>
      </c>
      <c r="G10" s="5" t="s">
        <v>981</v>
      </c>
    </row>
    <row r="11" spans="1:7" x14ac:dyDescent="0.2">
      <c r="A11" s="5">
        <v>1811</v>
      </c>
      <c r="B11" s="5">
        <v>1</v>
      </c>
      <c r="C11" s="5">
        <v>0</v>
      </c>
      <c r="D11" s="5">
        <v>2</v>
      </c>
      <c r="E11" s="4">
        <v>9.5</v>
      </c>
      <c r="F11" s="126">
        <f t="shared" si="0"/>
        <v>0.13958333333333334</v>
      </c>
      <c r="G11" s="5" t="s">
        <v>981</v>
      </c>
    </row>
    <row r="12" spans="1:7" x14ac:dyDescent="0.2">
      <c r="A12" s="5">
        <v>1812</v>
      </c>
      <c r="B12" s="5">
        <v>1</v>
      </c>
      <c r="C12" s="5">
        <v>0</v>
      </c>
      <c r="D12" s="5">
        <v>2</v>
      </c>
      <c r="E12" s="4">
        <v>8.75</v>
      </c>
      <c r="F12" s="126">
        <f t="shared" si="0"/>
        <v>0.13645833333333335</v>
      </c>
      <c r="G12" s="5" t="s">
        <v>981</v>
      </c>
    </row>
    <row r="13" spans="1:7" x14ac:dyDescent="0.2">
      <c r="A13" s="5">
        <v>1813</v>
      </c>
      <c r="B13" s="5">
        <v>1</v>
      </c>
      <c r="C13" s="5">
        <v>0</v>
      </c>
      <c r="D13" s="5">
        <v>2</v>
      </c>
      <c r="E13" s="4">
        <v>6.25</v>
      </c>
      <c r="F13" s="126">
        <f t="shared" si="0"/>
        <v>0.12604166666666666</v>
      </c>
      <c r="G13" s="5" t="s">
        <v>981</v>
      </c>
    </row>
    <row r="14" spans="1:7" x14ac:dyDescent="0.2">
      <c r="A14" s="5">
        <v>1814</v>
      </c>
      <c r="B14" s="5">
        <v>1</v>
      </c>
      <c r="C14" s="5">
        <v>0</v>
      </c>
      <c r="D14" s="5">
        <v>2</v>
      </c>
      <c r="E14" s="4">
        <v>3.25</v>
      </c>
      <c r="F14" s="126">
        <f t="shared" si="0"/>
        <v>0.11354166666666668</v>
      </c>
      <c r="G14" s="5" t="s">
        <v>981</v>
      </c>
    </row>
    <row r="15" spans="1:7" x14ac:dyDescent="0.2">
      <c r="A15" s="5">
        <v>1815</v>
      </c>
      <c r="B15" s="5">
        <v>1</v>
      </c>
      <c r="C15" s="5">
        <v>0</v>
      </c>
      <c r="D15" s="5">
        <v>2</v>
      </c>
      <c r="E15" s="4">
        <v>3</v>
      </c>
      <c r="F15" s="126">
        <f t="shared" si="0"/>
        <v>0.1125</v>
      </c>
      <c r="G15" s="5" t="s">
        <v>981</v>
      </c>
    </row>
    <row r="16" spans="1:7" x14ac:dyDescent="0.2">
      <c r="A16" s="5">
        <v>1816</v>
      </c>
      <c r="B16" s="5">
        <v>1</v>
      </c>
      <c r="C16" s="5">
        <v>0</v>
      </c>
      <c r="D16" s="5">
        <v>2</v>
      </c>
      <c r="E16" s="4">
        <v>1</v>
      </c>
      <c r="F16" s="126">
        <f t="shared" si="0"/>
        <v>0.10416666666666667</v>
      </c>
      <c r="G16" s="5" t="s">
        <v>980</v>
      </c>
    </row>
    <row r="17" spans="1:7" x14ac:dyDescent="0.2">
      <c r="A17" s="5">
        <f>A16+1</f>
        <v>1817</v>
      </c>
      <c r="B17" s="5">
        <v>1</v>
      </c>
      <c r="C17" s="5">
        <v>0</v>
      </c>
      <c r="D17" s="5">
        <v>1</v>
      </c>
      <c r="E17" s="4">
        <v>9.25</v>
      </c>
      <c r="F17" s="126">
        <f t="shared" si="0"/>
        <v>8.8541666666666671E-2</v>
      </c>
      <c r="G17" s="5" t="s">
        <v>980</v>
      </c>
    </row>
    <row r="18" spans="1:7" x14ac:dyDescent="0.2">
      <c r="A18" s="5">
        <f t="shared" ref="A18:A25" si="1">A17+1</f>
        <v>1818</v>
      </c>
      <c r="B18" s="5">
        <v>1</v>
      </c>
      <c r="C18" s="5">
        <v>0</v>
      </c>
      <c r="D18" s="5">
        <v>1</v>
      </c>
      <c r="E18" s="4">
        <v>9</v>
      </c>
      <c r="F18" s="126">
        <f t="shared" si="0"/>
        <v>8.7499999999999994E-2</v>
      </c>
      <c r="G18" s="5" t="s">
        <v>980</v>
      </c>
    </row>
    <row r="19" spans="1:7" x14ac:dyDescent="0.2">
      <c r="A19" s="5">
        <f t="shared" si="1"/>
        <v>1819</v>
      </c>
      <c r="B19" s="5">
        <v>1</v>
      </c>
      <c r="C19" s="5">
        <v>0</v>
      </c>
      <c r="D19" s="5">
        <v>1</v>
      </c>
      <c r="E19" s="4">
        <v>10.25</v>
      </c>
      <c r="F19" s="126">
        <f t="shared" si="0"/>
        <v>9.2708333333333337E-2</v>
      </c>
      <c r="G19" s="5" t="s">
        <v>980</v>
      </c>
    </row>
    <row r="20" spans="1:7" x14ac:dyDescent="0.2">
      <c r="A20" s="5">
        <f t="shared" si="1"/>
        <v>1820</v>
      </c>
      <c r="B20" s="5">
        <v>1</v>
      </c>
      <c r="C20" s="5">
        <v>0</v>
      </c>
      <c r="D20" s="5">
        <v>1</v>
      </c>
      <c r="E20" s="4">
        <v>9</v>
      </c>
      <c r="F20" s="126">
        <f t="shared" si="0"/>
        <v>8.7499999999999994E-2</v>
      </c>
      <c r="G20" s="5" t="s">
        <v>980</v>
      </c>
    </row>
    <row r="21" spans="1:7" x14ac:dyDescent="0.2">
      <c r="A21" s="5">
        <f t="shared" si="1"/>
        <v>1821</v>
      </c>
      <c r="B21" s="5">
        <v>1</v>
      </c>
      <c r="C21" s="5">
        <v>0</v>
      </c>
      <c r="D21" s="5">
        <v>1</v>
      </c>
      <c r="E21" s="4">
        <v>8</v>
      </c>
      <c r="F21" s="126">
        <f t="shared" si="0"/>
        <v>8.3333333333333343E-2</v>
      </c>
      <c r="G21" s="5" t="s">
        <v>980</v>
      </c>
    </row>
    <row r="22" spans="1:7" x14ac:dyDescent="0.2">
      <c r="A22" s="5">
        <f t="shared" si="1"/>
        <v>1822</v>
      </c>
      <c r="B22" s="5">
        <v>1</v>
      </c>
      <c r="C22" s="5">
        <v>0</v>
      </c>
      <c r="D22" s="5">
        <v>1</v>
      </c>
      <c r="E22" s="4">
        <v>5.25</v>
      </c>
      <c r="F22" s="126">
        <f t="shared" si="0"/>
        <v>7.1874999999999994E-2</v>
      </c>
      <c r="G22" s="5" t="s">
        <v>980</v>
      </c>
    </row>
    <row r="23" spans="1:7" x14ac:dyDescent="0.2">
      <c r="A23" s="5">
        <f t="shared" si="1"/>
        <v>1823</v>
      </c>
      <c r="B23" s="5">
        <v>1</v>
      </c>
      <c r="C23" s="5">
        <v>0</v>
      </c>
      <c r="D23" s="5">
        <v>1</v>
      </c>
      <c r="E23" s="4">
        <v>6.75</v>
      </c>
      <c r="F23" s="126">
        <f t="shared" si="0"/>
        <v>7.8125E-2</v>
      </c>
      <c r="G23" s="5" t="s">
        <v>980</v>
      </c>
    </row>
    <row r="24" spans="1:7" x14ac:dyDescent="0.2">
      <c r="A24" s="5">
        <f t="shared" si="1"/>
        <v>1824</v>
      </c>
      <c r="B24" s="5">
        <v>1</v>
      </c>
      <c r="C24" s="5">
        <v>0</v>
      </c>
      <c r="D24" s="5">
        <v>1</v>
      </c>
      <c r="E24" s="4">
        <v>5.5</v>
      </c>
      <c r="F24" s="126">
        <f t="shared" si="0"/>
        <v>7.2916666666666671E-2</v>
      </c>
      <c r="G24" s="5" t="s">
        <v>980</v>
      </c>
    </row>
    <row r="25" spans="1:7" x14ac:dyDescent="0.2">
      <c r="A25" s="5">
        <f t="shared" si="1"/>
        <v>1825</v>
      </c>
      <c r="B25" s="5">
        <v>1</v>
      </c>
      <c r="C25" s="5">
        <v>0</v>
      </c>
      <c r="D25" s="5">
        <v>1</v>
      </c>
      <c r="E25" s="4">
        <v>6</v>
      </c>
      <c r="F25" s="126">
        <f t="shared" si="0"/>
        <v>7.5000000000000011E-2</v>
      </c>
      <c r="G25" s="5" t="s">
        <v>980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opLeftCell="A22" workbookViewId="0">
      <selection activeCell="M58" activeCellId="1" sqref="I58:I60 M58:M60"/>
    </sheetView>
  </sheetViews>
  <sheetFormatPr baseColWidth="10" defaultColWidth="8.83203125" defaultRowHeight="13" x14ac:dyDescent="0.15"/>
  <cols>
    <col min="5" max="5" width="38.5" customWidth="1"/>
  </cols>
  <sheetData>
    <row r="1" spans="1:17" ht="14" x14ac:dyDescent="0.2">
      <c r="A1" s="34" t="s">
        <v>171</v>
      </c>
      <c r="B1" s="35" t="s">
        <v>173</v>
      </c>
      <c r="C1" s="34" t="s">
        <v>174</v>
      </c>
      <c r="D1" s="34" t="s">
        <v>175</v>
      </c>
      <c r="E1" s="35" t="s">
        <v>176</v>
      </c>
      <c r="F1" s="34" t="s">
        <v>85</v>
      </c>
      <c r="G1" s="34" t="s">
        <v>180</v>
      </c>
      <c r="H1" s="34" t="s">
        <v>181</v>
      </c>
      <c r="I1" s="34" t="s">
        <v>266</v>
      </c>
      <c r="J1" s="34" t="s">
        <v>982</v>
      </c>
      <c r="K1" s="34" t="s">
        <v>983</v>
      </c>
      <c r="L1" s="34" t="s">
        <v>984</v>
      </c>
      <c r="M1" s="34" t="s">
        <v>985</v>
      </c>
      <c r="N1" s="34" t="s">
        <v>183</v>
      </c>
      <c r="O1" s="34" t="s">
        <v>986</v>
      </c>
      <c r="P1" s="34" t="s">
        <v>184</v>
      </c>
      <c r="Q1" s="36" t="s">
        <v>185</v>
      </c>
    </row>
    <row r="2" spans="1:17" ht="14" x14ac:dyDescent="0.2">
      <c r="A2" s="37">
        <v>1754</v>
      </c>
      <c r="B2" s="37" t="s">
        <v>268</v>
      </c>
      <c r="C2" s="37">
        <v>181</v>
      </c>
      <c r="D2" s="37" t="s">
        <v>204</v>
      </c>
      <c r="E2" s="37" t="s">
        <v>987</v>
      </c>
      <c r="F2" s="37">
        <v>486</v>
      </c>
      <c r="G2" s="37">
        <v>9</v>
      </c>
      <c r="H2" s="37">
        <v>0</v>
      </c>
      <c r="I2" s="37">
        <f t="shared" ref="I2:I60" si="0">(F2+G2/20+H2/320)/C2</f>
        <v>2.6875690607734808</v>
      </c>
      <c r="J2" s="37">
        <v>1369</v>
      </c>
      <c r="K2" s="37">
        <v>16</v>
      </c>
      <c r="L2" s="37">
        <v>0</v>
      </c>
      <c r="M2" s="37">
        <f t="shared" ref="M2:M60" si="1">(J2+K2/20+L2/320)/C2</f>
        <v>7.5679558011049721</v>
      </c>
      <c r="N2" s="37">
        <v>4199</v>
      </c>
      <c r="O2" s="37" t="s">
        <v>988</v>
      </c>
      <c r="P2" s="37">
        <v>849</v>
      </c>
      <c r="Q2" s="37"/>
    </row>
    <row r="3" spans="1:17" ht="14" x14ac:dyDescent="0.2">
      <c r="A3" s="37">
        <v>1758</v>
      </c>
      <c r="B3" s="37" t="s">
        <v>268</v>
      </c>
      <c r="C3" s="37">
        <v>1314</v>
      </c>
      <c r="D3" s="37" t="s">
        <v>204</v>
      </c>
      <c r="E3" s="37" t="s">
        <v>989</v>
      </c>
      <c r="F3" s="37">
        <v>7329</v>
      </c>
      <c r="G3" s="37">
        <v>0</v>
      </c>
      <c r="H3" s="37">
        <v>0</v>
      </c>
      <c r="I3" s="37">
        <f t="shared" si="0"/>
        <v>5.5776255707762559</v>
      </c>
      <c r="J3" s="37">
        <v>12196</v>
      </c>
      <c r="K3" s="37">
        <v>0</v>
      </c>
      <c r="L3" s="37">
        <v>0</v>
      </c>
      <c r="M3" s="37">
        <f t="shared" si="1"/>
        <v>9.28158295281583</v>
      </c>
      <c r="N3" s="37">
        <v>4218</v>
      </c>
      <c r="O3" s="37">
        <v>1339</v>
      </c>
      <c r="P3" s="37">
        <v>1007</v>
      </c>
      <c r="Q3" s="37"/>
    </row>
    <row r="4" spans="1:17" ht="14" x14ac:dyDescent="0.2">
      <c r="A4" s="37">
        <v>1759</v>
      </c>
      <c r="B4" s="37" t="s">
        <v>268</v>
      </c>
      <c r="C4" s="37">
        <v>1166</v>
      </c>
      <c r="D4" s="37" t="s">
        <v>204</v>
      </c>
      <c r="E4" s="37" t="s">
        <v>989</v>
      </c>
      <c r="F4" s="37">
        <v>6369</v>
      </c>
      <c r="G4" s="37">
        <v>5</v>
      </c>
      <c r="H4" s="37">
        <v>8</v>
      </c>
      <c r="I4" s="37">
        <f t="shared" si="0"/>
        <v>5.4624999999999995</v>
      </c>
      <c r="J4" s="37">
        <v>10062</v>
      </c>
      <c r="K4" s="37">
        <v>18</v>
      </c>
      <c r="L4" s="37">
        <v>0</v>
      </c>
      <c r="M4" s="37">
        <f t="shared" si="1"/>
        <v>8.6302744425385924</v>
      </c>
      <c r="N4" s="37">
        <v>4221</v>
      </c>
      <c r="O4" s="37">
        <v>1340</v>
      </c>
      <c r="P4" s="37">
        <v>165</v>
      </c>
      <c r="Q4" s="37"/>
    </row>
    <row r="5" spans="1:17" ht="14" x14ac:dyDescent="0.2">
      <c r="A5" s="37">
        <v>1754</v>
      </c>
      <c r="B5" s="37" t="s">
        <v>268</v>
      </c>
      <c r="C5" s="37">
        <v>80</v>
      </c>
      <c r="D5" s="37" t="s">
        <v>204</v>
      </c>
      <c r="E5" s="37" t="s">
        <v>990</v>
      </c>
      <c r="F5" s="37">
        <v>441</v>
      </c>
      <c r="G5" s="37">
        <v>7</v>
      </c>
      <c r="H5" s="37">
        <v>8</v>
      </c>
      <c r="I5" s="37">
        <f t="shared" si="0"/>
        <v>5.5171875000000004</v>
      </c>
      <c r="J5" s="37">
        <v>769</v>
      </c>
      <c r="K5" s="37">
        <v>16</v>
      </c>
      <c r="L5" s="37">
        <v>0</v>
      </c>
      <c r="M5" s="37">
        <f t="shared" si="1"/>
        <v>9.6224999999999987</v>
      </c>
      <c r="N5" s="37">
        <v>4199</v>
      </c>
      <c r="O5" s="37" t="s">
        <v>988</v>
      </c>
      <c r="P5" s="37">
        <v>849</v>
      </c>
      <c r="Q5" s="37"/>
    </row>
    <row r="6" spans="1:17" ht="14" x14ac:dyDescent="0.2">
      <c r="A6" s="37">
        <v>1758</v>
      </c>
      <c r="B6" s="37" t="s">
        <v>268</v>
      </c>
      <c r="C6" s="37">
        <v>21</v>
      </c>
      <c r="D6" s="37" t="s">
        <v>204</v>
      </c>
      <c r="E6" s="37" t="s">
        <v>990</v>
      </c>
      <c r="F6" s="37">
        <v>129</v>
      </c>
      <c r="G6" s="37">
        <v>11</v>
      </c>
      <c r="H6" s="37">
        <v>0</v>
      </c>
      <c r="I6" s="37">
        <f t="shared" si="0"/>
        <v>6.1690476190476193</v>
      </c>
      <c r="J6" s="37">
        <v>174</v>
      </c>
      <c r="K6" s="37">
        <v>0</v>
      </c>
      <c r="L6" s="37">
        <v>0</v>
      </c>
      <c r="M6" s="37">
        <f t="shared" si="1"/>
        <v>8.2857142857142865</v>
      </c>
      <c r="N6" s="37">
        <v>4218</v>
      </c>
      <c r="O6" s="37">
        <v>1339</v>
      </c>
      <c r="P6" s="37">
        <v>1007</v>
      </c>
      <c r="Q6" s="37"/>
    </row>
    <row r="7" spans="1:17" ht="14" x14ac:dyDescent="0.2">
      <c r="A7" s="37">
        <v>1759</v>
      </c>
      <c r="B7" s="37" t="s">
        <v>268</v>
      </c>
      <c r="C7" s="37">
        <v>46</v>
      </c>
      <c r="D7" s="37" t="s">
        <v>204</v>
      </c>
      <c r="E7" s="37" t="s">
        <v>990</v>
      </c>
      <c r="F7" s="37">
        <v>283</v>
      </c>
      <c r="G7" s="37">
        <v>6</v>
      </c>
      <c r="H7" s="37">
        <v>8</v>
      </c>
      <c r="I7" s="37">
        <f t="shared" si="0"/>
        <v>6.1592391304347824</v>
      </c>
      <c r="J7" s="37">
        <v>410</v>
      </c>
      <c r="K7" s="37">
        <v>14</v>
      </c>
      <c r="L7" s="37">
        <v>0</v>
      </c>
      <c r="M7" s="37">
        <f t="shared" si="1"/>
        <v>8.9282608695652179</v>
      </c>
      <c r="N7" s="37">
        <v>4221</v>
      </c>
      <c r="O7" s="37">
        <v>1340</v>
      </c>
      <c r="P7" s="37">
        <v>165</v>
      </c>
      <c r="Q7" s="37"/>
    </row>
    <row r="8" spans="1:17" ht="14" x14ac:dyDescent="0.2">
      <c r="A8" s="37">
        <v>1753</v>
      </c>
      <c r="B8" s="37" t="s">
        <v>268</v>
      </c>
      <c r="C8" s="37">
        <v>219</v>
      </c>
      <c r="D8" s="37" t="s">
        <v>204</v>
      </c>
      <c r="E8" s="37" t="s">
        <v>991</v>
      </c>
      <c r="F8" s="37">
        <v>582</v>
      </c>
      <c r="G8" s="37">
        <v>19</v>
      </c>
      <c r="H8" s="37">
        <v>8</v>
      </c>
      <c r="I8" s="37">
        <f t="shared" si="0"/>
        <v>2.661986301369863</v>
      </c>
      <c r="J8" s="37">
        <v>1799</v>
      </c>
      <c r="K8" s="37">
        <v>14</v>
      </c>
      <c r="L8" s="37">
        <v>0</v>
      </c>
      <c r="M8" s="37">
        <f t="shared" si="1"/>
        <v>8.2178082191780817</v>
      </c>
      <c r="N8" s="37">
        <v>4197</v>
      </c>
      <c r="O8" s="37">
        <v>2274</v>
      </c>
      <c r="P8" s="37">
        <v>1440</v>
      </c>
      <c r="Q8" s="37"/>
    </row>
    <row r="9" spans="1:17" ht="14" x14ac:dyDescent="0.2">
      <c r="A9" s="37">
        <v>1753</v>
      </c>
      <c r="B9" s="37" t="s">
        <v>268</v>
      </c>
      <c r="C9" s="37">
        <v>57</v>
      </c>
      <c r="D9" s="37" t="s">
        <v>204</v>
      </c>
      <c r="E9" s="37" t="s">
        <v>992</v>
      </c>
      <c r="F9" s="37">
        <v>114</v>
      </c>
      <c r="G9" s="37">
        <v>12</v>
      </c>
      <c r="H9" s="37">
        <v>8</v>
      </c>
      <c r="I9" s="37">
        <f t="shared" si="0"/>
        <v>2.0109649122807016</v>
      </c>
      <c r="J9" s="37">
        <v>243</v>
      </c>
      <c r="K9" s="37">
        <v>18</v>
      </c>
      <c r="L9" s="37">
        <v>0</v>
      </c>
      <c r="M9" s="37">
        <f t="shared" si="1"/>
        <v>4.2789473684210524</v>
      </c>
      <c r="N9" s="37">
        <v>4197</v>
      </c>
      <c r="O9" s="37">
        <v>2274</v>
      </c>
      <c r="P9" s="37">
        <v>1440</v>
      </c>
      <c r="Q9" s="37"/>
    </row>
    <row r="10" spans="1:17" ht="14" x14ac:dyDescent="0.2">
      <c r="A10" s="37">
        <v>1753</v>
      </c>
      <c r="B10" s="37" t="s">
        <v>268</v>
      </c>
      <c r="C10" s="37">
        <v>150</v>
      </c>
      <c r="D10" s="37" t="s">
        <v>204</v>
      </c>
      <c r="E10" s="37" t="s">
        <v>993</v>
      </c>
      <c r="F10" s="37">
        <v>589</v>
      </c>
      <c r="G10" s="37">
        <v>3</v>
      </c>
      <c r="H10" s="37">
        <v>0</v>
      </c>
      <c r="I10" s="37">
        <f t="shared" si="0"/>
        <v>3.9276666666666666</v>
      </c>
      <c r="J10" s="37">
        <v>1269</v>
      </c>
      <c r="K10" s="37">
        <v>6</v>
      </c>
      <c r="L10" s="37">
        <v>0</v>
      </c>
      <c r="M10" s="37">
        <f t="shared" si="1"/>
        <v>8.4619999999999997</v>
      </c>
      <c r="N10" s="37">
        <v>4197</v>
      </c>
      <c r="O10" s="37">
        <v>2274</v>
      </c>
      <c r="P10" s="37">
        <v>1440</v>
      </c>
      <c r="Q10" s="37"/>
    </row>
    <row r="11" spans="1:17" ht="14" x14ac:dyDescent="0.2">
      <c r="A11" s="37">
        <v>1757</v>
      </c>
      <c r="B11" s="37" t="s">
        <v>268</v>
      </c>
      <c r="C11" s="37">
        <v>112</v>
      </c>
      <c r="D11" s="37" t="s">
        <v>204</v>
      </c>
      <c r="E11" s="37" t="s">
        <v>994</v>
      </c>
      <c r="F11" s="37">
        <v>448</v>
      </c>
      <c r="G11" s="37">
        <v>14</v>
      </c>
      <c r="H11" s="37">
        <v>0</v>
      </c>
      <c r="I11" s="37">
        <f t="shared" si="0"/>
        <v>4.0062499999999996</v>
      </c>
      <c r="J11" s="37">
        <v>680</v>
      </c>
      <c r="K11" s="37">
        <v>14</v>
      </c>
      <c r="L11" s="37">
        <v>0</v>
      </c>
      <c r="M11" s="37">
        <f t="shared" si="1"/>
        <v>6.0776785714285717</v>
      </c>
      <c r="N11" s="37">
        <v>4211</v>
      </c>
      <c r="O11" s="37">
        <v>1361</v>
      </c>
      <c r="P11" s="37">
        <v>240</v>
      </c>
      <c r="Q11" s="37"/>
    </row>
    <row r="12" spans="1:17" ht="14" x14ac:dyDescent="0.2">
      <c r="A12" s="37">
        <v>1757</v>
      </c>
      <c r="B12" s="37" t="s">
        <v>268</v>
      </c>
      <c r="C12" s="37">
        <v>600</v>
      </c>
      <c r="D12" s="37" t="s">
        <v>204</v>
      </c>
      <c r="E12" s="37" t="s">
        <v>995</v>
      </c>
      <c r="F12" s="37">
        <v>1871</v>
      </c>
      <c r="G12" s="37">
        <v>13</v>
      </c>
      <c r="H12" s="37">
        <v>0</v>
      </c>
      <c r="I12" s="37">
        <f t="shared" si="0"/>
        <v>3.1194166666666669</v>
      </c>
      <c r="J12" s="37">
        <v>2869</v>
      </c>
      <c r="K12" s="37">
        <v>10</v>
      </c>
      <c r="L12" s="37">
        <v>0</v>
      </c>
      <c r="M12" s="37">
        <f t="shared" si="1"/>
        <v>4.7824999999999998</v>
      </c>
      <c r="N12" s="37">
        <v>4211</v>
      </c>
      <c r="O12" s="37">
        <v>1361</v>
      </c>
      <c r="P12" s="37">
        <v>240</v>
      </c>
      <c r="Q12" s="37"/>
    </row>
    <row r="13" spans="1:17" ht="14" x14ac:dyDescent="0.2">
      <c r="A13" s="37">
        <v>1756</v>
      </c>
      <c r="B13" s="37" t="s">
        <v>268</v>
      </c>
      <c r="C13" s="37">
        <v>302</v>
      </c>
      <c r="D13" s="37" t="s">
        <v>204</v>
      </c>
      <c r="E13" s="37" t="s">
        <v>996</v>
      </c>
      <c r="F13" s="37">
        <v>1802</v>
      </c>
      <c r="G13" s="37">
        <v>11</v>
      </c>
      <c r="H13" s="37">
        <v>0</v>
      </c>
      <c r="I13" s="37">
        <f t="shared" si="0"/>
        <v>5.9687086092715234</v>
      </c>
      <c r="J13" s="37">
        <v>3301</v>
      </c>
      <c r="K13" s="37">
        <v>4</v>
      </c>
      <c r="L13" s="37">
        <v>0</v>
      </c>
      <c r="M13" s="37">
        <f t="shared" si="1"/>
        <v>10.931125827814569</v>
      </c>
      <c r="N13" s="37">
        <v>4207</v>
      </c>
      <c r="O13" s="37">
        <v>1333</v>
      </c>
      <c r="P13" s="37">
        <v>143</v>
      </c>
      <c r="Q13" s="37"/>
    </row>
    <row r="14" spans="1:17" ht="14" x14ac:dyDescent="0.2">
      <c r="A14" s="37">
        <v>1757</v>
      </c>
      <c r="B14" s="37" t="s">
        <v>268</v>
      </c>
      <c r="C14" s="37">
        <v>674</v>
      </c>
      <c r="D14" s="37" t="s">
        <v>204</v>
      </c>
      <c r="E14" s="37" t="s">
        <v>997</v>
      </c>
      <c r="F14" s="37">
        <v>3919</v>
      </c>
      <c r="G14" s="37">
        <v>14</v>
      </c>
      <c r="H14" s="37">
        <v>8</v>
      </c>
      <c r="I14" s="37">
        <f t="shared" si="0"/>
        <v>5.8156157270029674</v>
      </c>
      <c r="J14" s="37">
        <v>6387</v>
      </c>
      <c r="K14" s="37">
        <v>6</v>
      </c>
      <c r="L14" s="37">
        <v>0</v>
      </c>
      <c r="M14" s="37">
        <f t="shared" si="1"/>
        <v>9.4767062314540063</v>
      </c>
      <c r="N14" s="37">
        <v>4211</v>
      </c>
      <c r="O14" s="37">
        <v>1361</v>
      </c>
      <c r="P14" s="37">
        <v>240</v>
      </c>
      <c r="Q14" s="37"/>
    </row>
    <row r="15" spans="1:17" ht="14" x14ac:dyDescent="0.2">
      <c r="A15" s="37">
        <v>1757</v>
      </c>
      <c r="B15" s="37" t="s">
        <v>268</v>
      </c>
      <c r="C15" s="37">
        <v>428</v>
      </c>
      <c r="D15" s="37" t="s">
        <v>204</v>
      </c>
      <c r="E15" s="37" t="s">
        <v>998</v>
      </c>
      <c r="F15" s="37">
        <v>2673</v>
      </c>
      <c r="G15" s="37">
        <v>0</v>
      </c>
      <c r="H15" s="37">
        <v>0</v>
      </c>
      <c r="I15" s="37">
        <f t="shared" si="0"/>
        <v>6.2453271028037385</v>
      </c>
      <c r="J15" s="37">
        <v>4017</v>
      </c>
      <c r="K15" s="37">
        <v>0</v>
      </c>
      <c r="L15" s="37">
        <v>0</v>
      </c>
      <c r="M15" s="37">
        <f t="shared" si="1"/>
        <v>9.3855140186915893</v>
      </c>
      <c r="N15" s="37">
        <v>4211</v>
      </c>
      <c r="O15" s="37">
        <v>1361</v>
      </c>
      <c r="P15" s="37">
        <v>240</v>
      </c>
      <c r="Q15" s="37"/>
    </row>
    <row r="16" spans="1:17" ht="14" x14ac:dyDescent="0.2">
      <c r="A16" s="37">
        <v>1758</v>
      </c>
      <c r="B16" s="37" t="s">
        <v>268</v>
      </c>
      <c r="C16" s="37">
        <v>500</v>
      </c>
      <c r="D16" s="37" t="s">
        <v>204</v>
      </c>
      <c r="E16" s="37" t="s">
        <v>999</v>
      </c>
      <c r="F16" s="37">
        <v>1401</v>
      </c>
      <c r="G16" s="37">
        <v>15</v>
      </c>
      <c r="H16" s="37">
        <v>8</v>
      </c>
      <c r="I16" s="37">
        <f t="shared" si="0"/>
        <v>2.80355</v>
      </c>
      <c r="J16" s="37">
        <v>2158</v>
      </c>
      <c r="K16" s="37">
        <v>10</v>
      </c>
      <c r="L16" s="37">
        <v>0</v>
      </c>
      <c r="M16" s="37">
        <f t="shared" si="1"/>
        <v>4.3170000000000002</v>
      </c>
      <c r="N16" s="37">
        <v>4218</v>
      </c>
      <c r="O16" s="37">
        <v>1339</v>
      </c>
      <c r="P16" s="37">
        <v>1007</v>
      </c>
      <c r="Q16" s="37"/>
    </row>
    <row r="17" spans="1:17" ht="14" x14ac:dyDescent="0.2">
      <c r="A17" s="37">
        <v>1759</v>
      </c>
      <c r="B17" s="37" t="s">
        <v>268</v>
      </c>
      <c r="C17" s="37">
        <v>500</v>
      </c>
      <c r="D17" s="37" t="s">
        <v>204</v>
      </c>
      <c r="E17" s="37" t="s">
        <v>999</v>
      </c>
      <c r="F17" s="37">
        <v>1404</v>
      </c>
      <c r="G17" s="37">
        <v>9</v>
      </c>
      <c r="H17" s="37">
        <v>8</v>
      </c>
      <c r="I17" s="37">
        <f t="shared" si="0"/>
        <v>2.8089500000000003</v>
      </c>
      <c r="J17" s="37">
        <v>2114</v>
      </c>
      <c r="K17" s="37">
        <v>8</v>
      </c>
      <c r="L17" s="37">
        <v>0</v>
      </c>
      <c r="M17" s="37">
        <f t="shared" si="1"/>
        <v>4.2288000000000006</v>
      </c>
      <c r="N17" s="37">
        <v>4221</v>
      </c>
      <c r="O17" s="37">
        <v>1340</v>
      </c>
      <c r="P17" s="37">
        <v>165</v>
      </c>
      <c r="Q17" s="37"/>
    </row>
    <row r="18" spans="1:17" ht="14" x14ac:dyDescent="0.2">
      <c r="A18" s="37">
        <v>1760</v>
      </c>
      <c r="B18" s="37" t="s">
        <v>268</v>
      </c>
      <c r="C18" s="37">
        <v>100</v>
      </c>
      <c r="D18" s="37" t="s">
        <v>204</v>
      </c>
      <c r="E18" s="37" t="s">
        <v>999</v>
      </c>
      <c r="F18" s="37">
        <v>288</v>
      </c>
      <c r="G18" s="37">
        <v>5</v>
      </c>
      <c r="H18" s="37">
        <v>8</v>
      </c>
      <c r="I18" s="37">
        <f t="shared" si="0"/>
        <v>2.8827499999999997</v>
      </c>
      <c r="J18" s="37">
        <v>408</v>
      </c>
      <c r="K18" s="37">
        <v>16</v>
      </c>
      <c r="L18" s="37">
        <v>0</v>
      </c>
      <c r="M18" s="37">
        <f t="shared" si="1"/>
        <v>4.0880000000000001</v>
      </c>
      <c r="N18" s="37">
        <v>4224</v>
      </c>
      <c r="O18" s="37">
        <v>1343</v>
      </c>
      <c r="P18" s="37">
        <v>308</v>
      </c>
      <c r="Q18" s="37"/>
    </row>
    <row r="19" spans="1:17" ht="14" x14ac:dyDescent="0.2">
      <c r="A19" s="37">
        <v>1762</v>
      </c>
      <c r="B19" s="37" t="s">
        <v>268</v>
      </c>
      <c r="C19" s="37">
        <v>100</v>
      </c>
      <c r="D19" s="37" t="s">
        <v>204</v>
      </c>
      <c r="E19" s="37" t="s">
        <v>999</v>
      </c>
      <c r="F19" s="37">
        <v>246</v>
      </c>
      <c r="G19" s="37">
        <v>17</v>
      </c>
      <c r="H19" s="37">
        <v>0</v>
      </c>
      <c r="I19" s="37">
        <f t="shared" si="0"/>
        <v>2.4685000000000001</v>
      </c>
      <c r="J19" s="37">
        <v>515</v>
      </c>
      <c r="K19" s="37">
        <v>2</v>
      </c>
      <c r="L19" s="37">
        <v>0</v>
      </c>
      <c r="M19" s="37">
        <f t="shared" si="1"/>
        <v>5.1509999999999998</v>
      </c>
      <c r="N19" s="37">
        <v>4233</v>
      </c>
      <c r="O19" s="37">
        <v>1348</v>
      </c>
      <c r="P19" s="37">
        <v>220</v>
      </c>
      <c r="Q19" s="37"/>
    </row>
    <row r="20" spans="1:17" ht="14" x14ac:dyDescent="0.2">
      <c r="A20" s="37">
        <v>1763</v>
      </c>
      <c r="B20" s="37" t="s">
        <v>268</v>
      </c>
      <c r="C20" s="37">
        <v>200</v>
      </c>
      <c r="D20" s="37" t="s">
        <v>204</v>
      </c>
      <c r="E20" s="37" t="s">
        <v>999</v>
      </c>
      <c r="F20" s="37">
        <v>576</v>
      </c>
      <c r="G20" s="37">
        <v>11</v>
      </c>
      <c r="H20" s="37">
        <v>0</v>
      </c>
      <c r="I20" s="37">
        <f t="shared" si="0"/>
        <v>2.8827499999999997</v>
      </c>
      <c r="J20" s="37">
        <v>1277</v>
      </c>
      <c r="K20" s="37">
        <v>14</v>
      </c>
      <c r="L20" s="37">
        <v>0</v>
      </c>
      <c r="M20" s="37">
        <f t="shared" si="1"/>
        <v>6.3885000000000005</v>
      </c>
      <c r="N20" s="37">
        <v>4238</v>
      </c>
      <c r="O20" s="37">
        <v>1351</v>
      </c>
      <c r="P20" s="37">
        <v>424</v>
      </c>
      <c r="Q20" s="37"/>
    </row>
    <row r="21" spans="1:17" ht="14" x14ac:dyDescent="0.2">
      <c r="A21" s="37">
        <v>1764</v>
      </c>
      <c r="B21" s="37" t="s">
        <v>268</v>
      </c>
      <c r="C21" s="37">
        <v>1608</v>
      </c>
      <c r="D21" s="37" t="s">
        <v>204</v>
      </c>
      <c r="E21" s="37" t="s">
        <v>999</v>
      </c>
      <c r="F21" s="37">
        <v>4447</v>
      </c>
      <c r="G21" s="37">
        <v>2</v>
      </c>
      <c r="H21" s="37">
        <v>8</v>
      </c>
      <c r="I21" s="37">
        <f t="shared" si="0"/>
        <v>2.765625</v>
      </c>
      <c r="J21" s="37">
        <v>7164</v>
      </c>
      <c r="K21" s="37">
        <v>12</v>
      </c>
      <c r="L21" s="37">
        <v>0</v>
      </c>
      <c r="M21" s="37">
        <f t="shared" si="1"/>
        <v>4.455597014925373</v>
      </c>
      <c r="N21" s="37">
        <v>4241</v>
      </c>
      <c r="O21" s="37">
        <v>1353</v>
      </c>
      <c r="P21" s="37">
        <v>194</v>
      </c>
      <c r="Q21" s="37"/>
    </row>
    <row r="22" spans="1:17" ht="14" x14ac:dyDescent="0.2">
      <c r="A22" s="37">
        <v>1767</v>
      </c>
      <c r="B22" s="37" t="s">
        <v>268</v>
      </c>
      <c r="C22" s="37">
        <v>400</v>
      </c>
      <c r="D22" s="37" t="s">
        <v>204</v>
      </c>
      <c r="E22" s="37" t="s">
        <v>999</v>
      </c>
      <c r="F22" s="37">
        <v>1136</v>
      </c>
      <c r="G22" s="37">
        <v>12</v>
      </c>
      <c r="H22" s="37">
        <v>0</v>
      </c>
      <c r="I22" s="37">
        <f t="shared" si="0"/>
        <v>2.8414999999999999</v>
      </c>
      <c r="J22" s="37">
        <v>1634</v>
      </c>
      <c r="K22" s="37">
        <v>0</v>
      </c>
      <c r="L22" s="37">
        <v>0</v>
      </c>
      <c r="M22" s="37">
        <f t="shared" si="1"/>
        <v>4.085</v>
      </c>
      <c r="N22" s="37">
        <v>4253</v>
      </c>
      <c r="O22" s="37">
        <v>1365</v>
      </c>
      <c r="P22" s="37">
        <v>266</v>
      </c>
      <c r="Q22" s="37"/>
    </row>
    <row r="23" spans="1:17" ht="14" x14ac:dyDescent="0.2">
      <c r="A23" s="37">
        <v>1768</v>
      </c>
      <c r="B23" s="37" t="s">
        <v>268</v>
      </c>
      <c r="C23" s="37">
        <v>400</v>
      </c>
      <c r="D23" s="37" t="s">
        <v>204</v>
      </c>
      <c r="E23" s="37" t="s">
        <v>999</v>
      </c>
      <c r="F23" s="37">
        <v>1136</v>
      </c>
      <c r="G23" s="37">
        <v>13</v>
      </c>
      <c r="H23" s="37">
        <v>8</v>
      </c>
      <c r="I23" s="37">
        <f t="shared" si="0"/>
        <v>2.8416875000000004</v>
      </c>
      <c r="J23" s="37">
        <v>1769</v>
      </c>
      <c r="K23" s="37">
        <v>13</v>
      </c>
      <c r="L23" s="37">
        <v>0</v>
      </c>
      <c r="M23" s="37">
        <f t="shared" si="1"/>
        <v>4.4241250000000001</v>
      </c>
      <c r="N23" s="37">
        <v>4257</v>
      </c>
      <c r="O23" s="37">
        <v>1367</v>
      </c>
      <c r="P23" s="37">
        <v>245</v>
      </c>
      <c r="Q23" s="37"/>
    </row>
    <row r="24" spans="1:17" ht="14" x14ac:dyDescent="0.2">
      <c r="A24" s="37">
        <v>1770</v>
      </c>
      <c r="B24" s="37" t="s">
        <v>268</v>
      </c>
      <c r="C24" s="37">
        <v>600</v>
      </c>
      <c r="D24" s="37" t="s">
        <v>204</v>
      </c>
      <c r="E24" s="37" t="s">
        <v>999</v>
      </c>
      <c r="F24" s="37">
        <v>2073</v>
      </c>
      <c r="G24" s="37">
        <v>12</v>
      </c>
      <c r="H24" s="37">
        <v>4</v>
      </c>
      <c r="I24" s="37">
        <f t="shared" si="0"/>
        <v>3.4560208333333331</v>
      </c>
      <c r="J24" s="37">
        <v>2636</v>
      </c>
      <c r="K24" s="37">
        <v>19</v>
      </c>
      <c r="L24" s="37">
        <v>8</v>
      </c>
      <c r="M24" s="37">
        <f t="shared" si="1"/>
        <v>4.3949583333333333</v>
      </c>
      <c r="N24" s="37">
        <v>4265</v>
      </c>
      <c r="O24" s="37">
        <v>1370</v>
      </c>
      <c r="P24" s="37">
        <v>302</v>
      </c>
      <c r="Q24" s="37"/>
    </row>
    <row r="25" spans="1:17" ht="14" x14ac:dyDescent="0.2">
      <c r="A25" s="37">
        <v>1768</v>
      </c>
      <c r="B25" s="37" t="s">
        <v>268</v>
      </c>
      <c r="C25" s="37">
        <v>1476</v>
      </c>
      <c r="D25" s="37" t="s">
        <v>204</v>
      </c>
      <c r="E25" s="37" t="s">
        <v>1000</v>
      </c>
      <c r="F25" s="37">
        <v>7366</v>
      </c>
      <c r="G25" s="37">
        <v>3</v>
      </c>
      <c r="H25" s="37">
        <v>0</v>
      </c>
      <c r="I25" s="37">
        <f t="shared" si="0"/>
        <v>4.990616531165311</v>
      </c>
      <c r="J25" s="37">
        <v>11917</v>
      </c>
      <c r="K25" s="37">
        <v>16</v>
      </c>
      <c r="L25" s="37">
        <v>0</v>
      </c>
      <c r="M25" s="37">
        <f t="shared" si="1"/>
        <v>8.0743902439024389</v>
      </c>
      <c r="N25" s="37">
        <v>4257</v>
      </c>
      <c r="O25" s="37">
        <v>1367</v>
      </c>
      <c r="P25" s="37">
        <v>245</v>
      </c>
      <c r="Q25" s="37"/>
    </row>
    <row r="26" spans="1:17" ht="14" x14ac:dyDescent="0.2">
      <c r="A26" s="37">
        <v>1764</v>
      </c>
      <c r="B26" s="37" t="s">
        <v>268</v>
      </c>
      <c r="C26" s="37">
        <v>554</v>
      </c>
      <c r="D26" s="37" t="s">
        <v>204</v>
      </c>
      <c r="E26" s="37" t="s">
        <v>1001</v>
      </c>
      <c r="F26" s="37">
        <v>2890</v>
      </c>
      <c r="G26" s="37">
        <v>14</v>
      </c>
      <c r="H26" s="37">
        <v>0</v>
      </c>
      <c r="I26" s="37">
        <f t="shared" si="0"/>
        <v>5.2178700361010826</v>
      </c>
      <c r="J26" s="37">
        <v>4758</v>
      </c>
      <c r="K26" s="37">
        <v>18</v>
      </c>
      <c r="L26" s="37">
        <v>0</v>
      </c>
      <c r="M26" s="37">
        <f t="shared" si="1"/>
        <v>8.5900722021660645</v>
      </c>
      <c r="N26" s="37">
        <v>4241</v>
      </c>
      <c r="O26" s="37">
        <v>1353</v>
      </c>
      <c r="P26" s="37">
        <v>194</v>
      </c>
      <c r="Q26" s="37"/>
    </row>
    <row r="27" spans="1:17" ht="14" x14ac:dyDescent="0.2">
      <c r="A27" s="37">
        <v>1765</v>
      </c>
      <c r="B27" s="37" t="s">
        <v>268</v>
      </c>
      <c r="C27" s="37">
        <v>1386</v>
      </c>
      <c r="D27" s="37" t="s">
        <v>204</v>
      </c>
      <c r="E27" s="37" t="s">
        <v>1001</v>
      </c>
      <c r="F27" s="37">
        <v>7259</v>
      </c>
      <c r="G27" s="37">
        <v>3</v>
      </c>
      <c r="H27" s="37">
        <v>8</v>
      </c>
      <c r="I27" s="37">
        <f t="shared" si="0"/>
        <v>5.2374999999999998</v>
      </c>
      <c r="J27" s="37">
        <v>13154</v>
      </c>
      <c r="K27" s="37">
        <v>14</v>
      </c>
      <c r="L27" s="37">
        <v>0</v>
      </c>
      <c r="M27" s="37">
        <f t="shared" si="1"/>
        <v>9.4911255411255411</v>
      </c>
      <c r="N27" s="37">
        <v>4245</v>
      </c>
      <c r="O27" s="37">
        <v>1356</v>
      </c>
      <c r="P27" s="37">
        <v>276</v>
      </c>
      <c r="Q27" s="37"/>
    </row>
    <row r="28" spans="1:17" ht="14" x14ac:dyDescent="0.2">
      <c r="A28" s="37">
        <v>1767</v>
      </c>
      <c r="B28" s="37" t="s">
        <v>268</v>
      </c>
      <c r="C28" s="37">
        <v>1554</v>
      </c>
      <c r="D28" s="37" t="s">
        <v>204</v>
      </c>
      <c r="E28" s="37" t="s">
        <v>1001</v>
      </c>
      <c r="F28" s="37">
        <v>7760</v>
      </c>
      <c r="G28" s="37">
        <v>6</v>
      </c>
      <c r="H28" s="37">
        <v>0</v>
      </c>
      <c r="I28" s="37">
        <f t="shared" si="0"/>
        <v>4.993758043758044</v>
      </c>
      <c r="J28" s="37">
        <v>12295</v>
      </c>
      <c r="K28" s="37">
        <v>10</v>
      </c>
      <c r="L28" s="37">
        <v>0</v>
      </c>
      <c r="M28" s="37">
        <f t="shared" si="1"/>
        <v>7.9121621621621623</v>
      </c>
      <c r="N28" s="37">
        <v>4253</v>
      </c>
      <c r="O28" s="37">
        <v>1365</v>
      </c>
      <c r="P28" s="37">
        <v>266</v>
      </c>
      <c r="Q28" s="37"/>
    </row>
    <row r="29" spans="1:17" ht="14" x14ac:dyDescent="0.2">
      <c r="A29" s="37">
        <v>1771</v>
      </c>
      <c r="B29" s="37" t="s">
        <v>268</v>
      </c>
      <c r="C29" s="37">
        <v>1844</v>
      </c>
      <c r="D29" s="37" t="s">
        <v>204</v>
      </c>
      <c r="E29" s="37" t="s">
        <v>1001</v>
      </c>
      <c r="F29" s="37">
        <v>11617</v>
      </c>
      <c r="G29" s="37">
        <v>5</v>
      </c>
      <c r="H29" s="37">
        <v>3</v>
      </c>
      <c r="I29" s="37">
        <f t="shared" si="0"/>
        <v>6.3000321990238612</v>
      </c>
      <c r="J29" s="37">
        <v>15086</v>
      </c>
      <c r="K29" s="37">
        <v>4</v>
      </c>
      <c r="L29" s="37">
        <v>8</v>
      </c>
      <c r="M29" s="37">
        <f t="shared" si="1"/>
        <v>8.1812500000000004</v>
      </c>
      <c r="N29" s="37">
        <v>4268</v>
      </c>
      <c r="O29" s="37">
        <v>1372</v>
      </c>
      <c r="P29" s="37">
        <v>161</v>
      </c>
      <c r="Q29" s="37"/>
    </row>
    <row r="30" spans="1:17" ht="14" x14ac:dyDescent="0.2">
      <c r="A30" s="37">
        <v>1773</v>
      </c>
      <c r="B30" s="37" t="s">
        <v>268</v>
      </c>
      <c r="C30" s="37">
        <v>16</v>
      </c>
      <c r="D30" s="37" t="s">
        <v>204</v>
      </c>
      <c r="E30" s="37" t="s">
        <v>1001</v>
      </c>
      <c r="F30" s="37">
        <v>101</v>
      </c>
      <c r="G30" s="37">
        <v>0</v>
      </c>
      <c r="H30" s="37">
        <v>7</v>
      </c>
      <c r="I30" s="37">
        <f t="shared" si="0"/>
        <v>6.3138671874999996</v>
      </c>
      <c r="J30" s="37">
        <v>99</v>
      </c>
      <c r="K30" s="37">
        <v>5</v>
      </c>
      <c r="L30" s="37">
        <v>8</v>
      </c>
      <c r="M30" s="37">
        <f t="shared" si="1"/>
        <v>6.2046875000000004</v>
      </c>
      <c r="N30" s="37">
        <v>4277</v>
      </c>
      <c r="O30" s="37">
        <v>1376</v>
      </c>
      <c r="P30" s="37">
        <v>246</v>
      </c>
      <c r="Q30" s="37"/>
    </row>
    <row r="31" spans="1:17" ht="14" x14ac:dyDescent="0.2">
      <c r="A31" s="37">
        <v>1774</v>
      </c>
      <c r="B31" s="37" t="s">
        <v>268</v>
      </c>
      <c r="C31" s="37">
        <v>2284</v>
      </c>
      <c r="D31" s="37" t="s">
        <v>204</v>
      </c>
      <c r="E31" s="37" t="s">
        <v>1001</v>
      </c>
      <c r="F31" s="37">
        <v>13795</v>
      </c>
      <c r="G31" s="37">
        <v>15</v>
      </c>
      <c r="H31" s="37">
        <v>14</v>
      </c>
      <c r="I31" s="37">
        <f t="shared" si="0"/>
        <v>6.0401899080560426</v>
      </c>
      <c r="J31" s="37">
        <v>18774</v>
      </c>
      <c r="K31" s="37">
        <v>5</v>
      </c>
      <c r="L31" s="37">
        <v>0</v>
      </c>
      <c r="M31" s="37">
        <f t="shared" si="1"/>
        <v>8.2198992994746067</v>
      </c>
      <c r="N31" s="37">
        <v>4280</v>
      </c>
      <c r="O31" s="37">
        <v>1378</v>
      </c>
      <c r="P31" s="37">
        <v>229</v>
      </c>
      <c r="Q31" s="37"/>
    </row>
    <row r="32" spans="1:17" ht="14" x14ac:dyDescent="0.2">
      <c r="A32" s="37">
        <v>1766</v>
      </c>
      <c r="B32" s="37" t="s">
        <v>268</v>
      </c>
      <c r="C32" s="37">
        <v>20</v>
      </c>
      <c r="D32" s="37" t="s">
        <v>204</v>
      </c>
      <c r="E32" s="37" t="s">
        <v>1002</v>
      </c>
      <c r="F32" s="37">
        <v>71</v>
      </c>
      <c r="G32" s="37">
        <v>1</v>
      </c>
      <c r="H32" s="37">
        <v>0</v>
      </c>
      <c r="I32" s="37">
        <f t="shared" si="0"/>
        <v>3.5524999999999998</v>
      </c>
      <c r="J32" s="37">
        <v>108</v>
      </c>
      <c r="K32" s="37">
        <v>0</v>
      </c>
      <c r="L32" s="37">
        <v>0</v>
      </c>
      <c r="M32" s="37">
        <f t="shared" si="1"/>
        <v>5.4</v>
      </c>
      <c r="N32" s="37">
        <v>4249</v>
      </c>
      <c r="O32" s="37">
        <v>5173</v>
      </c>
      <c r="P32" s="37">
        <v>177</v>
      </c>
      <c r="Q32" s="37"/>
    </row>
    <row r="33" spans="1:17" ht="14" x14ac:dyDescent="0.2">
      <c r="A33" s="37">
        <v>1758</v>
      </c>
      <c r="B33" s="37" t="s">
        <v>268</v>
      </c>
      <c r="C33" s="37">
        <v>4</v>
      </c>
      <c r="D33" s="37" t="s">
        <v>204</v>
      </c>
      <c r="E33" s="37" t="s">
        <v>1003</v>
      </c>
      <c r="F33" s="37">
        <v>7</v>
      </c>
      <c r="G33" s="37">
        <v>18</v>
      </c>
      <c r="H33" s="37">
        <v>0</v>
      </c>
      <c r="I33" s="37">
        <f t="shared" si="0"/>
        <v>1.9750000000000001</v>
      </c>
      <c r="J33" s="37">
        <v>12</v>
      </c>
      <c r="K33" s="37">
        <v>0</v>
      </c>
      <c r="L33" s="37">
        <v>0</v>
      </c>
      <c r="M33" s="37">
        <f t="shared" si="1"/>
        <v>3</v>
      </c>
      <c r="N33" s="37">
        <v>4218</v>
      </c>
      <c r="O33" s="37">
        <v>1339</v>
      </c>
      <c r="P33" s="37">
        <v>1007</v>
      </c>
      <c r="Q33" s="37"/>
    </row>
    <row r="34" spans="1:17" ht="14" x14ac:dyDescent="0.2">
      <c r="A34" s="37">
        <v>1754</v>
      </c>
      <c r="B34" s="37" t="s">
        <v>268</v>
      </c>
      <c r="C34" s="37">
        <v>160</v>
      </c>
      <c r="D34" s="37" t="s">
        <v>204</v>
      </c>
      <c r="E34" s="37" t="s">
        <v>1004</v>
      </c>
      <c r="F34" s="37">
        <v>321</v>
      </c>
      <c r="G34" s="37">
        <v>5</v>
      </c>
      <c r="H34" s="37">
        <v>0</v>
      </c>
      <c r="I34" s="37">
        <f t="shared" si="0"/>
        <v>2.0078125</v>
      </c>
      <c r="J34" s="37">
        <v>486</v>
      </c>
      <c r="K34" s="37">
        <v>12</v>
      </c>
      <c r="L34" s="37">
        <v>0</v>
      </c>
      <c r="M34" s="37">
        <f t="shared" si="1"/>
        <v>3.0412500000000002</v>
      </c>
      <c r="N34" s="37">
        <v>4199</v>
      </c>
      <c r="O34" s="37" t="s">
        <v>988</v>
      </c>
      <c r="P34" s="37">
        <v>849</v>
      </c>
      <c r="Q34" s="37"/>
    </row>
    <row r="35" spans="1:17" ht="14" x14ac:dyDescent="0.2">
      <c r="A35" s="37">
        <v>1764</v>
      </c>
      <c r="B35" s="37" t="s">
        <v>268</v>
      </c>
      <c r="C35" s="37">
        <v>320</v>
      </c>
      <c r="D35" s="37" t="s">
        <v>204</v>
      </c>
      <c r="E35" s="37" t="s">
        <v>1004</v>
      </c>
      <c r="F35" s="37">
        <v>609</v>
      </c>
      <c r="G35" s="37">
        <v>1</v>
      </c>
      <c r="H35" s="37">
        <v>0</v>
      </c>
      <c r="I35" s="37">
        <f t="shared" si="0"/>
        <v>1.9032812499999998</v>
      </c>
      <c r="J35" s="37">
        <v>924</v>
      </c>
      <c r="K35" s="37">
        <v>0</v>
      </c>
      <c r="L35" s="37">
        <v>0</v>
      </c>
      <c r="M35" s="37">
        <f t="shared" si="1"/>
        <v>2.8875000000000002</v>
      </c>
      <c r="N35" s="37">
        <v>4241</v>
      </c>
      <c r="O35" s="37">
        <v>1353</v>
      </c>
      <c r="P35" s="37">
        <v>194</v>
      </c>
      <c r="Q35" s="37"/>
    </row>
    <row r="36" spans="1:17" ht="14" x14ac:dyDescent="0.2">
      <c r="A36" s="37">
        <v>1768</v>
      </c>
      <c r="B36" s="37" t="s">
        <v>268</v>
      </c>
      <c r="C36" s="37">
        <v>228</v>
      </c>
      <c r="D36" s="37" t="s">
        <v>204</v>
      </c>
      <c r="E36" s="37" t="s">
        <v>1005</v>
      </c>
      <c r="F36" s="37">
        <v>805</v>
      </c>
      <c r="G36" s="37">
        <v>2</v>
      </c>
      <c r="H36" s="37">
        <v>8</v>
      </c>
      <c r="I36" s="37">
        <f t="shared" si="0"/>
        <v>3.53125</v>
      </c>
      <c r="J36" s="37">
        <v>1219</v>
      </c>
      <c r="K36" s="37">
        <v>4</v>
      </c>
      <c r="L36" s="37">
        <v>0</v>
      </c>
      <c r="M36" s="37">
        <f t="shared" si="1"/>
        <v>5.3473684210526322</v>
      </c>
      <c r="N36" s="37">
        <v>4257</v>
      </c>
      <c r="O36" s="37">
        <v>1367</v>
      </c>
      <c r="P36" s="37">
        <v>245</v>
      </c>
      <c r="Q36" s="37"/>
    </row>
    <row r="37" spans="1:17" ht="14" x14ac:dyDescent="0.2">
      <c r="A37" s="37">
        <v>1754</v>
      </c>
      <c r="B37" s="37" t="s">
        <v>268</v>
      </c>
      <c r="C37" s="37">
        <v>240</v>
      </c>
      <c r="D37" s="37" t="s">
        <v>204</v>
      </c>
      <c r="E37" s="37" t="s">
        <v>1006</v>
      </c>
      <c r="F37" s="37">
        <v>942</v>
      </c>
      <c r="G37" s="37">
        <v>12</v>
      </c>
      <c r="H37" s="37">
        <v>8</v>
      </c>
      <c r="I37" s="37">
        <f t="shared" si="0"/>
        <v>3.9276041666666668</v>
      </c>
      <c r="J37" s="37">
        <v>1544</v>
      </c>
      <c r="K37" s="37">
        <v>8</v>
      </c>
      <c r="L37" s="37">
        <v>0</v>
      </c>
      <c r="M37" s="37">
        <f t="shared" si="1"/>
        <v>6.4350000000000005</v>
      </c>
      <c r="N37" s="37">
        <v>4199</v>
      </c>
      <c r="O37" s="37" t="s">
        <v>988</v>
      </c>
      <c r="P37" s="37">
        <v>849</v>
      </c>
      <c r="Q37" s="37"/>
    </row>
    <row r="38" spans="1:17" ht="14" x14ac:dyDescent="0.2">
      <c r="A38" s="37">
        <v>1764</v>
      </c>
      <c r="B38" s="37" t="s">
        <v>268</v>
      </c>
      <c r="C38" s="37">
        <v>240</v>
      </c>
      <c r="D38" s="37" t="s">
        <v>204</v>
      </c>
      <c r="E38" s="37" t="s">
        <v>1006</v>
      </c>
      <c r="F38" s="37">
        <v>847</v>
      </c>
      <c r="G38" s="37">
        <v>1</v>
      </c>
      <c r="H38" s="37">
        <v>0</v>
      </c>
      <c r="I38" s="37">
        <f t="shared" si="0"/>
        <v>3.5293749999999999</v>
      </c>
      <c r="J38" s="37">
        <v>1366</v>
      </c>
      <c r="K38" s="37">
        <v>10</v>
      </c>
      <c r="L38" s="37">
        <v>0</v>
      </c>
      <c r="M38" s="37">
        <f t="shared" si="1"/>
        <v>5.6937499999999996</v>
      </c>
      <c r="N38" s="37">
        <v>4241</v>
      </c>
      <c r="O38" s="37">
        <v>1353</v>
      </c>
      <c r="P38" s="37">
        <v>194</v>
      </c>
      <c r="Q38" s="37"/>
    </row>
    <row r="39" spans="1:17" ht="14" x14ac:dyDescent="0.2">
      <c r="A39" s="37">
        <v>1767</v>
      </c>
      <c r="B39" s="37" t="s">
        <v>268</v>
      </c>
      <c r="C39" s="37">
        <v>464</v>
      </c>
      <c r="D39" s="37" t="s">
        <v>204</v>
      </c>
      <c r="E39" s="37" t="s">
        <v>1006</v>
      </c>
      <c r="F39" s="37">
        <v>1675</v>
      </c>
      <c r="G39" s="37">
        <v>6</v>
      </c>
      <c r="H39" s="37">
        <v>0</v>
      </c>
      <c r="I39" s="37">
        <f t="shared" si="0"/>
        <v>3.610560344827586</v>
      </c>
      <c r="J39" s="37">
        <v>2532</v>
      </c>
      <c r="K39" s="37">
        <v>0</v>
      </c>
      <c r="L39" s="37">
        <v>0</v>
      </c>
      <c r="M39" s="37">
        <f t="shared" si="1"/>
        <v>5.4568965517241379</v>
      </c>
      <c r="N39" s="37">
        <v>4253</v>
      </c>
      <c r="O39" s="37">
        <v>1365</v>
      </c>
      <c r="P39" s="37">
        <v>266</v>
      </c>
      <c r="Q39" s="37"/>
    </row>
    <row r="40" spans="1:17" ht="14" x14ac:dyDescent="0.2">
      <c r="A40" s="37">
        <v>1770</v>
      </c>
      <c r="B40" s="37" t="s">
        <v>268</v>
      </c>
      <c r="C40" s="37">
        <v>132</v>
      </c>
      <c r="D40" s="37" t="s">
        <v>204</v>
      </c>
      <c r="E40" s="37" t="s">
        <v>1006</v>
      </c>
      <c r="F40" s="37">
        <v>566</v>
      </c>
      <c r="G40" s="37">
        <v>6</v>
      </c>
      <c r="H40" s="37">
        <v>7</v>
      </c>
      <c r="I40" s="37">
        <f t="shared" si="0"/>
        <v>4.2903172348484846</v>
      </c>
      <c r="J40" s="37">
        <v>608</v>
      </c>
      <c r="K40" s="37">
        <v>0</v>
      </c>
      <c r="L40" s="37">
        <v>8</v>
      </c>
      <c r="M40" s="37">
        <f t="shared" si="1"/>
        <v>4.6062500000000002</v>
      </c>
      <c r="N40" s="37">
        <v>4265</v>
      </c>
      <c r="O40" s="37">
        <v>1370</v>
      </c>
      <c r="P40" s="37">
        <v>302</v>
      </c>
      <c r="Q40" s="37"/>
    </row>
    <row r="41" spans="1:17" ht="14" x14ac:dyDescent="0.2">
      <c r="A41" s="37">
        <v>1747</v>
      </c>
      <c r="B41" s="37" t="s">
        <v>268</v>
      </c>
      <c r="C41" s="37">
        <v>80</v>
      </c>
      <c r="D41" s="37" t="s">
        <v>204</v>
      </c>
      <c r="E41" s="37" t="s">
        <v>1007</v>
      </c>
      <c r="F41" s="37">
        <v>314</v>
      </c>
      <c r="G41" s="37">
        <v>15</v>
      </c>
      <c r="H41" s="37">
        <v>0</v>
      </c>
      <c r="I41" s="37">
        <f t="shared" si="0"/>
        <v>3.9343750000000002</v>
      </c>
      <c r="J41" s="37">
        <v>648</v>
      </c>
      <c r="K41" s="37">
        <v>6</v>
      </c>
      <c r="L41" s="37">
        <v>0</v>
      </c>
      <c r="M41" s="37">
        <f t="shared" si="1"/>
        <v>8.1037499999999998</v>
      </c>
      <c r="N41" s="37">
        <v>4177</v>
      </c>
      <c r="O41" s="37">
        <v>1762</v>
      </c>
      <c r="P41" s="37">
        <v>1044</v>
      </c>
      <c r="Q41" s="37"/>
    </row>
    <row r="42" spans="1:17" ht="14" x14ac:dyDescent="0.2">
      <c r="A42" s="37">
        <v>1773</v>
      </c>
      <c r="B42" s="37" t="s">
        <v>268</v>
      </c>
      <c r="C42" s="37">
        <v>800</v>
      </c>
      <c r="D42" s="37" t="s">
        <v>204</v>
      </c>
      <c r="E42" s="37" t="s">
        <v>1008</v>
      </c>
      <c r="F42" s="37">
        <v>2919</v>
      </c>
      <c r="G42" s="37">
        <v>4</v>
      </c>
      <c r="H42" s="37">
        <v>1</v>
      </c>
      <c r="I42" s="37">
        <f t="shared" si="0"/>
        <v>3.6490039062499999</v>
      </c>
      <c r="J42" s="37">
        <v>3309</v>
      </c>
      <c r="K42" s="37">
        <v>18</v>
      </c>
      <c r="L42" s="37">
        <v>0</v>
      </c>
      <c r="M42" s="37">
        <f t="shared" si="1"/>
        <v>4.1373750000000005</v>
      </c>
      <c r="N42" s="37">
        <v>4277</v>
      </c>
      <c r="O42" s="37">
        <v>1376</v>
      </c>
      <c r="P42" s="37">
        <v>246</v>
      </c>
      <c r="Q42" s="37"/>
    </row>
    <row r="43" spans="1:17" ht="14" x14ac:dyDescent="0.2">
      <c r="A43" s="37">
        <v>1762</v>
      </c>
      <c r="B43" s="37" t="s">
        <v>268</v>
      </c>
      <c r="C43" s="37">
        <v>855</v>
      </c>
      <c r="D43" s="37" t="s">
        <v>204</v>
      </c>
      <c r="E43" s="37" t="s">
        <v>1009</v>
      </c>
      <c r="F43" s="37">
        <v>4586</v>
      </c>
      <c r="G43" s="37">
        <v>1</v>
      </c>
      <c r="H43" s="37">
        <v>8</v>
      </c>
      <c r="I43" s="37">
        <f t="shared" si="0"/>
        <v>5.3638304093567246</v>
      </c>
      <c r="J43" s="37">
        <v>8546</v>
      </c>
      <c r="K43" s="37">
        <v>8</v>
      </c>
      <c r="L43" s="37">
        <v>0</v>
      </c>
      <c r="M43" s="37">
        <f t="shared" si="1"/>
        <v>9.9957894736842103</v>
      </c>
      <c r="N43" s="37">
        <v>4233</v>
      </c>
      <c r="O43" s="37">
        <v>1348</v>
      </c>
      <c r="P43" s="37">
        <v>220</v>
      </c>
      <c r="Q43" s="37"/>
    </row>
    <row r="44" spans="1:17" ht="14" x14ac:dyDescent="0.2">
      <c r="A44" s="37">
        <v>1763</v>
      </c>
      <c r="B44" s="37" t="s">
        <v>268</v>
      </c>
      <c r="C44" s="37">
        <v>573</v>
      </c>
      <c r="D44" s="37" t="s">
        <v>204</v>
      </c>
      <c r="E44" s="37" t="s">
        <v>1010</v>
      </c>
      <c r="F44" s="37">
        <v>3065</v>
      </c>
      <c r="G44" s="37">
        <v>4</v>
      </c>
      <c r="H44" s="37">
        <v>0</v>
      </c>
      <c r="I44" s="37">
        <f t="shared" si="0"/>
        <v>5.3493891797556712</v>
      </c>
      <c r="J44" s="37">
        <v>6258</v>
      </c>
      <c r="K44" s="37">
        <v>12</v>
      </c>
      <c r="L44" s="37">
        <v>0</v>
      </c>
      <c r="M44" s="37">
        <f t="shared" si="1"/>
        <v>10.922513089005236</v>
      </c>
      <c r="N44" s="37">
        <v>4238</v>
      </c>
      <c r="O44" s="37">
        <v>1351</v>
      </c>
      <c r="P44" s="37">
        <v>424</v>
      </c>
      <c r="Q44" s="37"/>
    </row>
    <row r="45" spans="1:17" ht="14" x14ac:dyDescent="0.2">
      <c r="A45" s="37">
        <v>1770</v>
      </c>
      <c r="B45" s="37" t="s">
        <v>268</v>
      </c>
      <c r="C45" s="37">
        <v>1568</v>
      </c>
      <c r="D45" s="37" t="s">
        <v>204</v>
      </c>
      <c r="E45" s="37" t="s">
        <v>1010</v>
      </c>
      <c r="F45" s="37">
        <v>9615</v>
      </c>
      <c r="G45" s="37">
        <v>9</v>
      </c>
      <c r="H45" s="37">
        <v>11</v>
      </c>
      <c r="I45" s="37">
        <f t="shared" si="0"/>
        <v>6.13232421875</v>
      </c>
      <c r="J45" s="37">
        <v>12985</v>
      </c>
      <c r="K45" s="37">
        <v>4</v>
      </c>
      <c r="L45" s="37">
        <v>8</v>
      </c>
      <c r="M45" s="37">
        <f t="shared" si="1"/>
        <v>8.2813934948979586</v>
      </c>
      <c r="N45" s="37">
        <v>4265</v>
      </c>
      <c r="O45" s="37">
        <v>1370</v>
      </c>
      <c r="P45" s="37">
        <v>302</v>
      </c>
      <c r="Q45" s="37"/>
    </row>
    <row r="46" spans="1:17" ht="14" x14ac:dyDescent="0.2">
      <c r="A46" s="37">
        <v>1762</v>
      </c>
      <c r="B46" s="37" t="s">
        <v>268</v>
      </c>
      <c r="C46" s="37">
        <v>287</v>
      </c>
      <c r="D46" s="37" t="s">
        <v>204</v>
      </c>
      <c r="E46" s="37" t="s">
        <v>1011</v>
      </c>
      <c r="F46" s="37">
        <v>565</v>
      </c>
      <c r="G46" s="37">
        <v>17</v>
      </c>
      <c r="H46" s="37">
        <v>8</v>
      </c>
      <c r="I46" s="37">
        <f t="shared" si="0"/>
        <v>1.9716898954703832</v>
      </c>
      <c r="J46" s="37">
        <v>1203</v>
      </c>
      <c r="K46" s="37">
        <v>0</v>
      </c>
      <c r="L46" s="37">
        <v>0</v>
      </c>
      <c r="M46" s="37">
        <f t="shared" si="1"/>
        <v>4.1916376306620213</v>
      </c>
      <c r="N46" s="37">
        <v>4233</v>
      </c>
      <c r="O46" s="37">
        <v>1348</v>
      </c>
      <c r="P46" s="37">
        <v>220</v>
      </c>
      <c r="Q46" s="37"/>
    </row>
    <row r="47" spans="1:17" ht="14" x14ac:dyDescent="0.2">
      <c r="A47" s="37">
        <v>1768</v>
      </c>
      <c r="B47" s="37" t="s">
        <v>268</v>
      </c>
      <c r="C47" s="37">
        <v>299</v>
      </c>
      <c r="D47" s="37" t="s">
        <v>204</v>
      </c>
      <c r="E47" s="37" t="s">
        <v>1012</v>
      </c>
      <c r="F47" s="37">
        <v>1613</v>
      </c>
      <c r="G47" s="37">
        <v>13</v>
      </c>
      <c r="H47" s="37">
        <v>8</v>
      </c>
      <c r="I47" s="37">
        <f t="shared" si="0"/>
        <v>5.3969063545150506</v>
      </c>
      <c r="J47" s="37">
        <v>2326</v>
      </c>
      <c r="K47" s="37">
        <v>6</v>
      </c>
      <c r="L47" s="37">
        <v>0</v>
      </c>
      <c r="M47" s="37">
        <f t="shared" si="1"/>
        <v>7.7802675585284291</v>
      </c>
      <c r="N47" s="37">
        <v>4257</v>
      </c>
      <c r="O47" s="37">
        <v>1367</v>
      </c>
      <c r="P47" s="37">
        <v>245</v>
      </c>
      <c r="Q47" s="37"/>
    </row>
    <row r="48" spans="1:17" ht="14" x14ac:dyDescent="0.2">
      <c r="A48" s="37">
        <v>1756</v>
      </c>
      <c r="B48" s="37" t="s">
        <v>268</v>
      </c>
      <c r="C48" s="37">
        <v>160</v>
      </c>
      <c r="D48" s="37" t="s">
        <v>204</v>
      </c>
      <c r="E48" s="37" t="s">
        <v>1013</v>
      </c>
      <c r="F48" s="37">
        <v>1041</v>
      </c>
      <c r="G48" s="37">
        <v>14</v>
      </c>
      <c r="H48" s="37">
        <v>8</v>
      </c>
      <c r="I48" s="37">
        <f t="shared" si="0"/>
        <v>6.5107812500000009</v>
      </c>
      <c r="J48" s="37">
        <v>1512</v>
      </c>
      <c r="K48" s="37">
        <v>12</v>
      </c>
      <c r="L48" s="37">
        <v>0</v>
      </c>
      <c r="M48" s="37">
        <f t="shared" si="1"/>
        <v>9.4537499999999994</v>
      </c>
      <c r="N48" s="37">
        <v>4207</v>
      </c>
      <c r="O48" s="37">
        <v>1333</v>
      </c>
      <c r="P48" s="37">
        <v>143</v>
      </c>
      <c r="Q48" s="37"/>
    </row>
    <row r="49" spans="1:17" ht="14" x14ac:dyDescent="0.2">
      <c r="A49" s="37">
        <v>1762</v>
      </c>
      <c r="B49" s="37" t="s">
        <v>268</v>
      </c>
      <c r="C49" s="37">
        <v>161</v>
      </c>
      <c r="D49" s="37" t="s">
        <v>204</v>
      </c>
      <c r="E49" s="37" t="s">
        <v>1013</v>
      </c>
      <c r="F49" s="37">
        <v>903</v>
      </c>
      <c r="G49" s="37">
        <v>14</v>
      </c>
      <c r="H49" s="37">
        <v>8</v>
      </c>
      <c r="I49" s="37">
        <f t="shared" si="0"/>
        <v>5.6131987577639757</v>
      </c>
      <c r="J49" s="37">
        <v>1606</v>
      </c>
      <c r="K49" s="37">
        <v>16</v>
      </c>
      <c r="L49" s="37">
        <v>0</v>
      </c>
      <c r="M49" s="37">
        <f t="shared" si="1"/>
        <v>9.9801242236024841</v>
      </c>
      <c r="N49" s="37">
        <v>4233</v>
      </c>
      <c r="O49" s="37">
        <v>1348</v>
      </c>
      <c r="P49" s="37">
        <v>220</v>
      </c>
      <c r="Q49" s="37"/>
    </row>
    <row r="50" spans="1:17" ht="14" x14ac:dyDescent="0.2">
      <c r="A50" s="37">
        <v>1764</v>
      </c>
      <c r="B50" s="37" t="s">
        <v>268</v>
      </c>
      <c r="C50" s="37">
        <v>316</v>
      </c>
      <c r="D50" s="37" t="s">
        <v>204</v>
      </c>
      <c r="E50" s="37" t="s">
        <v>1013</v>
      </c>
      <c r="F50" s="37">
        <v>1760</v>
      </c>
      <c r="G50" s="37">
        <v>14</v>
      </c>
      <c r="H50" s="37">
        <v>0</v>
      </c>
      <c r="I50" s="37">
        <f t="shared" si="0"/>
        <v>5.5718354430379744</v>
      </c>
      <c r="J50" s="37">
        <v>2855</v>
      </c>
      <c r="K50" s="37">
        <v>8</v>
      </c>
      <c r="L50" s="37">
        <v>0</v>
      </c>
      <c r="M50" s="37">
        <f t="shared" si="1"/>
        <v>9.0360759493670884</v>
      </c>
      <c r="N50" s="37">
        <v>4241</v>
      </c>
      <c r="O50" s="37">
        <v>1353</v>
      </c>
      <c r="P50" s="37">
        <v>194</v>
      </c>
      <c r="Q50" s="37"/>
    </row>
    <row r="51" spans="1:17" ht="14" x14ac:dyDescent="0.2">
      <c r="A51" s="37">
        <v>1765</v>
      </c>
      <c r="B51" s="37" t="s">
        <v>268</v>
      </c>
      <c r="C51" s="37">
        <v>340</v>
      </c>
      <c r="D51" s="37" t="s">
        <v>204</v>
      </c>
      <c r="E51" s="37" t="s">
        <v>1013</v>
      </c>
      <c r="F51" s="37">
        <v>1967</v>
      </c>
      <c r="G51" s="37">
        <v>6</v>
      </c>
      <c r="H51" s="37">
        <v>0</v>
      </c>
      <c r="I51" s="37">
        <f t="shared" si="0"/>
        <v>5.7861764705882353</v>
      </c>
      <c r="J51" s="37">
        <v>3215</v>
      </c>
      <c r="K51" s="37">
        <v>14</v>
      </c>
      <c r="L51" s="37">
        <v>0</v>
      </c>
      <c r="M51" s="37">
        <f t="shared" si="1"/>
        <v>9.4579411764705874</v>
      </c>
      <c r="N51" s="37">
        <v>4245</v>
      </c>
      <c r="O51" s="37">
        <v>1356</v>
      </c>
      <c r="P51" s="37">
        <v>276</v>
      </c>
      <c r="Q51" s="37"/>
    </row>
    <row r="52" spans="1:17" ht="14" x14ac:dyDescent="0.2">
      <c r="A52" s="37">
        <v>1766</v>
      </c>
      <c r="B52" s="37" t="s">
        <v>268</v>
      </c>
      <c r="C52" s="37">
        <v>2</v>
      </c>
      <c r="D52" s="37" t="s">
        <v>204</v>
      </c>
      <c r="E52" s="37" t="s">
        <v>1013</v>
      </c>
      <c r="F52" s="37">
        <v>13</v>
      </c>
      <c r="G52" s="37">
        <v>0</v>
      </c>
      <c r="H52" s="37">
        <v>0</v>
      </c>
      <c r="I52" s="37">
        <f t="shared" si="0"/>
        <v>6.5</v>
      </c>
      <c r="J52" s="37">
        <v>17</v>
      </c>
      <c r="K52" s="37">
        <v>2</v>
      </c>
      <c r="L52" s="37">
        <v>0</v>
      </c>
      <c r="M52" s="37">
        <f t="shared" si="1"/>
        <v>8.5500000000000007</v>
      </c>
      <c r="N52" s="37">
        <v>4249</v>
      </c>
      <c r="O52" s="37">
        <v>5173</v>
      </c>
      <c r="P52" s="37">
        <v>177</v>
      </c>
      <c r="Q52" s="37"/>
    </row>
    <row r="53" spans="1:17" ht="14" x14ac:dyDescent="0.2">
      <c r="A53" s="37">
        <v>1770</v>
      </c>
      <c r="B53" s="37" t="s">
        <v>268</v>
      </c>
      <c r="C53" s="37">
        <v>499</v>
      </c>
      <c r="D53" s="37" t="s">
        <v>204</v>
      </c>
      <c r="E53" s="37" t="s">
        <v>1013</v>
      </c>
      <c r="F53" s="37">
        <v>3262</v>
      </c>
      <c r="G53" s="37">
        <v>19</v>
      </c>
      <c r="H53" s="37">
        <v>2</v>
      </c>
      <c r="I53" s="37">
        <f t="shared" si="0"/>
        <v>6.5389904809619237</v>
      </c>
      <c r="J53" s="37">
        <v>3612</v>
      </c>
      <c r="K53" s="37">
        <v>4</v>
      </c>
      <c r="L53" s="37">
        <v>0</v>
      </c>
      <c r="M53" s="37">
        <f t="shared" si="1"/>
        <v>7.2388777555110213</v>
      </c>
      <c r="N53" s="37">
        <v>4265</v>
      </c>
      <c r="O53" s="37">
        <v>1370</v>
      </c>
      <c r="P53" s="37">
        <v>302</v>
      </c>
      <c r="Q53" s="37"/>
    </row>
    <row r="54" spans="1:17" ht="14" x14ac:dyDescent="0.2">
      <c r="A54" s="37">
        <v>1771</v>
      </c>
      <c r="B54" s="37" t="s">
        <v>268</v>
      </c>
      <c r="C54" s="37">
        <v>514</v>
      </c>
      <c r="D54" s="37" t="s">
        <v>204</v>
      </c>
      <c r="E54" s="37" t="s">
        <v>1013</v>
      </c>
      <c r="F54" s="37">
        <v>2180</v>
      </c>
      <c r="G54" s="37">
        <v>5</v>
      </c>
      <c r="H54" s="37">
        <v>15</v>
      </c>
      <c r="I54" s="37">
        <f t="shared" si="0"/>
        <v>4.2418227140077818</v>
      </c>
      <c r="J54" s="37">
        <v>2379</v>
      </c>
      <c r="K54" s="37">
        <v>0</v>
      </c>
      <c r="L54" s="37">
        <v>8</v>
      </c>
      <c r="M54" s="37">
        <f t="shared" si="1"/>
        <v>4.6284533073929959</v>
      </c>
      <c r="N54" s="37">
        <v>4268</v>
      </c>
      <c r="O54" s="37">
        <v>1372</v>
      </c>
      <c r="P54" s="37">
        <v>161</v>
      </c>
      <c r="Q54" s="37"/>
    </row>
    <row r="55" spans="1:17" ht="14" x14ac:dyDescent="0.2">
      <c r="A55" s="37">
        <v>1773</v>
      </c>
      <c r="B55" s="37" t="s">
        <v>268</v>
      </c>
      <c r="C55" s="37">
        <v>22</v>
      </c>
      <c r="D55" s="37" t="s">
        <v>204</v>
      </c>
      <c r="E55" s="37" t="s">
        <v>1013</v>
      </c>
      <c r="F55" s="37">
        <v>157</v>
      </c>
      <c r="G55" s="37">
        <v>15</v>
      </c>
      <c r="H55" s="37">
        <v>9</v>
      </c>
      <c r="I55" s="37">
        <f t="shared" si="0"/>
        <v>7.1717329545454538</v>
      </c>
      <c r="J55" s="37">
        <v>147</v>
      </c>
      <c r="K55" s="37">
        <v>19</v>
      </c>
      <c r="L55" s="37">
        <v>0</v>
      </c>
      <c r="M55" s="37">
        <f t="shared" si="1"/>
        <v>6.7249999999999996</v>
      </c>
      <c r="N55" s="37">
        <v>4277</v>
      </c>
      <c r="O55" s="37">
        <v>1376</v>
      </c>
      <c r="P55" s="37">
        <v>246</v>
      </c>
      <c r="Q55" s="37"/>
    </row>
    <row r="56" spans="1:17" ht="14" x14ac:dyDescent="0.2">
      <c r="A56" s="37">
        <v>1774</v>
      </c>
      <c r="B56" s="37" t="s">
        <v>268</v>
      </c>
      <c r="C56" s="37">
        <v>316</v>
      </c>
      <c r="D56" s="37" t="s">
        <v>204</v>
      </c>
      <c r="E56" s="37" t="s">
        <v>1013</v>
      </c>
      <c r="F56" s="37">
        <v>2058</v>
      </c>
      <c r="G56" s="37">
        <v>13</v>
      </c>
      <c r="H56" s="37">
        <v>13</v>
      </c>
      <c r="I56" s="37">
        <f t="shared" si="0"/>
        <v>6.5148437500000007</v>
      </c>
      <c r="J56" s="37">
        <v>2348</v>
      </c>
      <c r="K56" s="37">
        <v>0</v>
      </c>
      <c r="L56" s="37">
        <v>0</v>
      </c>
      <c r="M56" s="37">
        <f t="shared" si="1"/>
        <v>7.4303797468354427</v>
      </c>
      <c r="N56" s="37">
        <v>4280</v>
      </c>
      <c r="O56" s="37">
        <v>1378</v>
      </c>
      <c r="P56" s="37">
        <v>229</v>
      </c>
      <c r="Q56" s="37"/>
    </row>
    <row r="57" spans="1:17" ht="14" x14ac:dyDescent="0.2">
      <c r="A57" s="37">
        <v>1747</v>
      </c>
      <c r="B57" s="37" t="s">
        <v>268</v>
      </c>
      <c r="C57" s="37">
        <v>267</v>
      </c>
      <c r="D57" s="37" t="s">
        <v>204</v>
      </c>
      <c r="E57" s="37" t="s">
        <v>1014</v>
      </c>
      <c r="F57" s="37">
        <v>1961</v>
      </c>
      <c r="G57" s="37">
        <v>6</v>
      </c>
      <c r="H57" s="37">
        <v>8</v>
      </c>
      <c r="I57" s="37">
        <f t="shared" si="0"/>
        <v>7.3457865168539325</v>
      </c>
      <c r="J57" s="37">
        <v>2396</v>
      </c>
      <c r="K57" s="37">
        <v>8</v>
      </c>
      <c r="L57" s="37">
        <v>0</v>
      </c>
      <c r="M57" s="37">
        <f t="shared" si="1"/>
        <v>8.9752808988764041</v>
      </c>
      <c r="N57" s="37">
        <v>4177</v>
      </c>
      <c r="O57" s="37">
        <v>1762</v>
      </c>
      <c r="P57" s="37">
        <v>1044</v>
      </c>
      <c r="Q57" s="37"/>
    </row>
    <row r="58" spans="1:17" ht="14" x14ac:dyDescent="0.2">
      <c r="A58" s="37">
        <v>1747</v>
      </c>
      <c r="B58" s="37" t="s">
        <v>268</v>
      </c>
      <c r="C58" s="37">
        <v>3</v>
      </c>
      <c r="D58" s="37" t="s">
        <v>204</v>
      </c>
      <c r="E58" s="37" t="s">
        <v>1015</v>
      </c>
      <c r="F58" s="37">
        <v>14</v>
      </c>
      <c r="G58" s="37">
        <v>1</v>
      </c>
      <c r="H58" s="37">
        <v>1</v>
      </c>
      <c r="I58" s="37">
        <f t="shared" si="0"/>
        <v>4.6843750000000002</v>
      </c>
      <c r="J58" s="37">
        <v>21</v>
      </c>
      <c r="K58" s="37">
        <v>12</v>
      </c>
      <c r="L58" s="37">
        <v>0</v>
      </c>
      <c r="M58" s="37">
        <f t="shared" si="1"/>
        <v>7.2</v>
      </c>
      <c r="N58" s="37">
        <v>4177</v>
      </c>
      <c r="O58" s="37">
        <v>1762</v>
      </c>
      <c r="P58" s="37">
        <v>1044</v>
      </c>
      <c r="Q58" s="37"/>
    </row>
    <row r="59" spans="1:17" ht="14" x14ac:dyDescent="0.2">
      <c r="A59" s="37">
        <v>1748</v>
      </c>
      <c r="B59" s="37" t="s">
        <v>268</v>
      </c>
      <c r="C59" s="37">
        <v>144</v>
      </c>
      <c r="D59" s="37" t="s">
        <v>204</v>
      </c>
      <c r="E59" s="37" t="s">
        <v>1015</v>
      </c>
      <c r="F59" s="37">
        <v>674</v>
      </c>
      <c r="G59" s="37">
        <v>2</v>
      </c>
      <c r="H59" s="37">
        <v>0</v>
      </c>
      <c r="I59" s="37">
        <f t="shared" si="0"/>
        <v>4.6812500000000004</v>
      </c>
      <c r="J59" s="37">
        <v>903</v>
      </c>
      <c r="K59" s="37">
        <v>0</v>
      </c>
      <c r="L59" s="37">
        <v>0</v>
      </c>
      <c r="M59" s="37">
        <f t="shared" si="1"/>
        <v>6.270833333333333</v>
      </c>
      <c r="N59" s="37">
        <v>4180</v>
      </c>
      <c r="O59" s="37">
        <v>1764</v>
      </c>
      <c r="P59" s="37">
        <v>1179</v>
      </c>
      <c r="Q59" s="37"/>
    </row>
    <row r="60" spans="1:17" ht="14" x14ac:dyDescent="0.2">
      <c r="A60" s="37">
        <v>1749</v>
      </c>
      <c r="B60" s="37" t="s">
        <v>268</v>
      </c>
      <c r="C60" s="37">
        <v>160</v>
      </c>
      <c r="D60" s="37" t="s">
        <v>204</v>
      </c>
      <c r="E60" s="37" t="s">
        <v>1015</v>
      </c>
      <c r="F60" s="37">
        <v>763</v>
      </c>
      <c r="G60" s="37">
        <v>1</v>
      </c>
      <c r="H60" s="37">
        <v>0</v>
      </c>
      <c r="I60" s="37">
        <f t="shared" si="0"/>
        <v>4.7690624999999995</v>
      </c>
      <c r="J60" s="37">
        <v>1008</v>
      </c>
      <c r="K60" s="37">
        <v>0</v>
      </c>
      <c r="L60" s="37">
        <v>0</v>
      </c>
      <c r="M60" s="37">
        <f t="shared" si="1"/>
        <v>6.3</v>
      </c>
      <c r="N60" s="37">
        <v>4182</v>
      </c>
      <c r="O60" s="37">
        <v>1765</v>
      </c>
      <c r="P60" s="37">
        <v>897</v>
      </c>
      <c r="Q60" s="37"/>
    </row>
    <row r="61" spans="1:17" ht="14" x14ac:dyDescent="0.2">
      <c r="A61" s="37">
        <v>1750</v>
      </c>
      <c r="B61" s="37" t="s">
        <v>268</v>
      </c>
      <c r="C61" s="37">
        <v>110</v>
      </c>
      <c r="D61" s="37" t="s">
        <v>204</v>
      </c>
      <c r="E61" s="37" t="s">
        <v>1015</v>
      </c>
      <c r="F61" s="37">
        <v>553</v>
      </c>
      <c r="G61" s="37">
        <v>2</v>
      </c>
      <c r="H61" s="37">
        <v>0</v>
      </c>
      <c r="I61" s="37">
        <f>(F61+G61/20+H61/320)/C61</f>
        <v>5.0281818181818183</v>
      </c>
      <c r="J61" s="37">
        <v>645</v>
      </c>
      <c r="K61" s="37">
        <v>8</v>
      </c>
      <c r="L61" s="37">
        <v>0</v>
      </c>
      <c r="M61" s="37">
        <f>(J61+K61/20+L61/320)/C61</f>
        <v>5.8672727272727272</v>
      </c>
      <c r="N61" s="37">
        <v>4185</v>
      </c>
      <c r="O61" s="37">
        <v>1767</v>
      </c>
      <c r="P61" s="37">
        <v>645</v>
      </c>
      <c r="Q61" s="37"/>
    </row>
    <row r="62" spans="1:17" ht="14" x14ac:dyDescent="0.2">
      <c r="A62" s="37">
        <v>1766</v>
      </c>
      <c r="B62" s="37" t="s">
        <v>268</v>
      </c>
      <c r="C62" s="37">
        <v>1458</v>
      </c>
      <c r="D62" s="37" t="s">
        <v>204</v>
      </c>
      <c r="E62" s="37" t="s">
        <v>1016</v>
      </c>
      <c r="F62" s="37">
        <v>7422</v>
      </c>
      <c r="G62" s="37">
        <v>3</v>
      </c>
      <c r="H62" s="37">
        <v>0</v>
      </c>
      <c r="I62" s="37">
        <f>(F62+G62/20+H62/320)/C62</f>
        <v>5.0906378600823041</v>
      </c>
      <c r="J62" s="37">
        <v>11471</v>
      </c>
      <c r="K62" s="37">
        <v>0</v>
      </c>
      <c r="L62" s="37">
        <v>0</v>
      </c>
      <c r="M62" s="37">
        <f>(J62+K62/20+L62/320)/C62</f>
        <v>7.8676268861454046</v>
      </c>
      <c r="N62" s="37">
        <v>4249</v>
      </c>
      <c r="O62" s="37">
        <v>5173</v>
      </c>
      <c r="P62" s="37">
        <v>177</v>
      </c>
      <c r="Q62" s="37"/>
    </row>
    <row r="63" spans="1:17" ht="14" x14ac:dyDescent="0.2">
      <c r="A63" s="37">
        <v>1747</v>
      </c>
      <c r="B63" s="37" t="s">
        <v>268</v>
      </c>
      <c r="C63" s="37">
        <v>963</v>
      </c>
      <c r="D63" s="37" t="s">
        <v>204</v>
      </c>
      <c r="E63" s="37" t="s">
        <v>1017</v>
      </c>
      <c r="F63" s="37">
        <v>2674</v>
      </c>
      <c r="G63" s="37">
        <v>0</v>
      </c>
      <c r="H63" s="37">
        <v>0</v>
      </c>
      <c r="I63" s="37">
        <f>(F63+G63/20+H63/320)/C63</f>
        <v>2.7767393561786085</v>
      </c>
      <c r="J63" s="37">
        <v>4096</v>
      </c>
      <c r="K63" s="37">
        <v>4</v>
      </c>
      <c r="L63" s="37">
        <v>0</v>
      </c>
      <c r="M63" s="37">
        <f>(J63+K63/20+L63/320)/C63</f>
        <v>4.2535825545171342</v>
      </c>
      <c r="N63" s="37">
        <v>4177</v>
      </c>
      <c r="O63" s="37">
        <v>1762</v>
      </c>
      <c r="P63" s="37">
        <v>1044</v>
      </c>
      <c r="Q63" s="37"/>
    </row>
    <row r="64" spans="1:17" ht="14" x14ac:dyDescent="0.2">
      <c r="A64" s="37">
        <v>1763</v>
      </c>
      <c r="B64" s="37" t="s">
        <v>268</v>
      </c>
      <c r="C64" s="37">
        <v>313</v>
      </c>
      <c r="D64" s="37" t="s">
        <v>204</v>
      </c>
      <c r="E64" s="37" t="s">
        <v>227</v>
      </c>
      <c r="F64" s="37">
        <v>1799</v>
      </c>
      <c r="G64" s="37">
        <v>0</v>
      </c>
      <c r="H64" s="37">
        <v>0</v>
      </c>
      <c r="I64" s="37">
        <f>(F64+G64/20+H64/320)/C64</f>
        <v>5.7476038338658144</v>
      </c>
      <c r="J64" s="37">
        <v>3105</v>
      </c>
      <c r="K64" s="37">
        <v>12</v>
      </c>
      <c r="L64" s="37">
        <v>0</v>
      </c>
      <c r="M64" s="37">
        <f>(J64+K64/20+L64/320)/C64</f>
        <v>9.9220447284345052</v>
      </c>
      <c r="N64" s="37">
        <v>4238</v>
      </c>
      <c r="O64" s="37">
        <v>1351</v>
      </c>
      <c r="P64" s="37">
        <v>424</v>
      </c>
      <c r="Q64" s="3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
  <sheetViews>
    <sheetView workbookViewId="0">
      <selection activeCell="M58" activeCellId="1" sqref="I58:I60 M58:M60"/>
    </sheetView>
  </sheetViews>
  <sheetFormatPr baseColWidth="10" defaultColWidth="8.83203125" defaultRowHeight="13" x14ac:dyDescent="0.15"/>
  <sheetData>
    <row r="1" spans="1:18" ht="14" x14ac:dyDescent="0.2">
      <c r="A1" s="34" t="s">
        <v>171</v>
      </c>
      <c r="B1" s="35" t="s">
        <v>173</v>
      </c>
      <c r="C1" s="34" t="s">
        <v>174</v>
      </c>
      <c r="D1" s="34" t="s">
        <v>175</v>
      </c>
      <c r="E1" s="35" t="s">
        <v>176</v>
      </c>
      <c r="F1" s="34" t="s">
        <v>85</v>
      </c>
      <c r="G1" s="34" t="s">
        <v>180</v>
      </c>
      <c r="H1" s="34" t="s">
        <v>181</v>
      </c>
      <c r="I1" s="34" t="s">
        <v>266</v>
      </c>
      <c r="J1" s="34" t="s">
        <v>982</v>
      </c>
      <c r="K1" s="34" t="s">
        <v>983</v>
      </c>
      <c r="L1" s="34" t="s">
        <v>984</v>
      </c>
      <c r="M1" s="34" t="s">
        <v>985</v>
      </c>
      <c r="N1" s="34" t="s">
        <v>183</v>
      </c>
      <c r="O1" s="34" t="s">
        <v>986</v>
      </c>
      <c r="P1" s="34" t="s">
        <v>184</v>
      </c>
      <c r="Q1" s="36" t="s">
        <v>185</v>
      </c>
      <c r="R1" s="107"/>
    </row>
    <row r="2" spans="1:18" s="37" customFormat="1" ht="14" x14ac:dyDescent="0.2">
      <c r="A2" s="37">
        <v>1747</v>
      </c>
      <c r="B2" s="37" t="s">
        <v>268</v>
      </c>
      <c r="C2" s="37">
        <v>29060</v>
      </c>
      <c r="D2" s="37" t="s">
        <v>193</v>
      </c>
      <c r="E2" s="37" t="s">
        <v>224</v>
      </c>
      <c r="F2" s="37">
        <v>7174</v>
      </c>
      <c r="G2" s="37">
        <v>4</v>
      </c>
      <c r="H2" s="37">
        <v>0</v>
      </c>
      <c r="I2" s="37">
        <f t="shared" ref="I2:I26" si="0">(F2+G2/20+H2/320)/C2</f>
        <v>0.24687543014452856</v>
      </c>
      <c r="J2" s="37">
        <v>13092</v>
      </c>
      <c r="K2" s="37">
        <v>18</v>
      </c>
      <c r="L2" s="37">
        <v>0</v>
      </c>
      <c r="M2" s="37">
        <f t="shared" ref="M2:M26" si="1">(J2+K2/20+L2/320)/C2</f>
        <v>0.45054714384033034</v>
      </c>
      <c r="N2" s="37">
        <v>4177</v>
      </c>
      <c r="O2" s="37">
        <v>1762</v>
      </c>
      <c r="P2" s="37">
        <v>1044</v>
      </c>
    </row>
    <row r="3" spans="1:18" s="37" customFormat="1" ht="14" x14ac:dyDescent="0.2">
      <c r="A3" s="37">
        <v>1748</v>
      </c>
      <c r="B3" s="37" t="s">
        <v>268</v>
      </c>
      <c r="C3" s="37">
        <v>16000</v>
      </c>
      <c r="D3" s="37" t="s">
        <v>193</v>
      </c>
      <c r="E3" s="37" t="s">
        <v>224</v>
      </c>
      <c r="F3" s="37">
        <v>4305</v>
      </c>
      <c r="G3" s="37">
        <v>0</v>
      </c>
      <c r="H3" s="37">
        <v>0</v>
      </c>
      <c r="I3" s="37">
        <f t="shared" si="0"/>
        <v>0.26906249999999998</v>
      </c>
      <c r="J3" s="37">
        <v>6909</v>
      </c>
      <c r="K3" s="37">
        <v>18</v>
      </c>
      <c r="L3" s="37">
        <v>0</v>
      </c>
      <c r="M3" s="37">
        <f t="shared" si="1"/>
        <v>0.43186874999999997</v>
      </c>
      <c r="N3" s="37">
        <v>4180</v>
      </c>
      <c r="O3" s="37">
        <v>1764</v>
      </c>
      <c r="P3" s="37">
        <v>1179</v>
      </c>
    </row>
    <row r="4" spans="1:18" s="37" customFormat="1" ht="14" x14ac:dyDescent="0.2">
      <c r="A4" s="37">
        <v>1749</v>
      </c>
      <c r="B4" s="37" t="s">
        <v>268</v>
      </c>
      <c r="C4" s="37">
        <v>7900</v>
      </c>
      <c r="D4" s="37" t="s">
        <v>193</v>
      </c>
      <c r="E4" s="37" t="s">
        <v>224</v>
      </c>
      <c r="F4" s="37">
        <v>2147</v>
      </c>
      <c r="G4" s="37">
        <v>16</v>
      </c>
      <c r="H4" s="37">
        <v>0</v>
      </c>
      <c r="I4" s="37">
        <f t="shared" si="0"/>
        <v>0.27187341772151902</v>
      </c>
      <c r="J4" s="37">
        <v>2882</v>
      </c>
      <c r="K4" s="37">
        <v>2</v>
      </c>
      <c r="L4" s="37">
        <v>0</v>
      </c>
      <c r="M4" s="37">
        <f t="shared" si="1"/>
        <v>0.36482278481012659</v>
      </c>
      <c r="N4" s="37">
        <v>4182</v>
      </c>
      <c r="O4" s="37">
        <v>1765</v>
      </c>
      <c r="P4" s="37">
        <v>897</v>
      </c>
    </row>
    <row r="5" spans="1:18" s="37" customFormat="1" ht="14" x14ac:dyDescent="0.2">
      <c r="A5" s="37">
        <v>1750</v>
      </c>
      <c r="B5" s="37" t="s">
        <v>268</v>
      </c>
      <c r="C5" s="37">
        <v>4400</v>
      </c>
      <c r="D5" s="37" t="s">
        <v>193</v>
      </c>
      <c r="E5" s="37" t="s">
        <v>224</v>
      </c>
      <c r="F5" s="37">
        <v>5255</v>
      </c>
      <c r="G5" s="37">
        <v>5</v>
      </c>
      <c r="H5" s="37">
        <v>0</v>
      </c>
      <c r="I5" s="37">
        <f t="shared" si="0"/>
        <v>1.194375</v>
      </c>
      <c r="J5" s="37">
        <v>5724</v>
      </c>
      <c r="K5" s="37">
        <v>8</v>
      </c>
      <c r="L5" s="37">
        <v>0</v>
      </c>
      <c r="M5" s="37">
        <f t="shared" si="1"/>
        <v>1.3009999999999999</v>
      </c>
      <c r="N5" s="37">
        <v>4185</v>
      </c>
      <c r="O5" s="37">
        <v>1767</v>
      </c>
      <c r="P5" s="37">
        <v>645</v>
      </c>
      <c r="Q5" s="37" t="s">
        <v>1018</v>
      </c>
      <c r="R5" s="37" t="s">
        <v>1019</v>
      </c>
    </row>
    <row r="6" spans="1:18" s="37" customFormat="1" ht="14" x14ac:dyDescent="0.2">
      <c r="A6" s="37">
        <v>1751</v>
      </c>
      <c r="B6" s="37" t="s">
        <v>268</v>
      </c>
      <c r="C6" s="37">
        <v>99</v>
      </c>
      <c r="D6" s="37" t="s">
        <v>193</v>
      </c>
      <c r="E6" s="37" t="s">
        <v>224</v>
      </c>
      <c r="F6" s="37">
        <v>21</v>
      </c>
      <c r="G6" s="37">
        <v>13</v>
      </c>
      <c r="H6" s="37">
        <v>0</v>
      </c>
      <c r="I6" s="37">
        <f t="shared" si="0"/>
        <v>0.21868686868686868</v>
      </c>
      <c r="J6" s="37">
        <v>79</v>
      </c>
      <c r="K6" s="37">
        <v>4</v>
      </c>
      <c r="L6" s="37">
        <v>0</v>
      </c>
      <c r="M6" s="37">
        <f t="shared" si="1"/>
        <v>0.8</v>
      </c>
      <c r="N6" s="37">
        <v>4187</v>
      </c>
      <c r="O6" s="37">
        <v>1768</v>
      </c>
      <c r="P6" s="37">
        <v>314</v>
      </c>
    </row>
    <row r="7" spans="1:18" s="37" customFormat="1" ht="14" x14ac:dyDescent="0.2">
      <c r="A7" s="37">
        <v>1752</v>
      </c>
      <c r="B7" s="37" t="s">
        <v>268</v>
      </c>
      <c r="C7" s="37">
        <v>8000</v>
      </c>
      <c r="D7" s="37" t="s">
        <v>193</v>
      </c>
      <c r="E7" s="37" t="s">
        <v>224</v>
      </c>
      <c r="F7" s="37">
        <v>1975</v>
      </c>
      <c r="G7" s="37">
        <v>0</v>
      </c>
      <c r="H7" s="37">
        <v>0</v>
      </c>
      <c r="I7" s="37">
        <f t="shared" si="0"/>
        <v>0.24687500000000001</v>
      </c>
      <c r="J7" s="37">
        <v>3101</v>
      </c>
      <c r="K7" s="37">
        <v>14</v>
      </c>
      <c r="L7" s="37">
        <v>0</v>
      </c>
      <c r="M7" s="37">
        <f t="shared" si="1"/>
        <v>0.38771249999999996</v>
      </c>
      <c r="N7" s="37">
        <v>4193</v>
      </c>
      <c r="O7" s="37">
        <v>1771</v>
      </c>
      <c r="P7" s="37">
        <v>3052</v>
      </c>
      <c r="Q7" s="37">
        <f>AVERAGE(I7:I8)</f>
        <v>0.31086634615384617</v>
      </c>
      <c r="R7" s="37">
        <f>AVERAGE(M7:M8)</f>
        <v>0.56361778846153843</v>
      </c>
    </row>
    <row r="8" spans="1:18" s="37" customFormat="1" ht="14" x14ac:dyDescent="0.2">
      <c r="A8" s="37">
        <v>1752</v>
      </c>
      <c r="B8" s="37" t="s">
        <v>268</v>
      </c>
      <c r="C8" s="37">
        <v>6500</v>
      </c>
      <c r="D8" s="37" t="s">
        <v>193</v>
      </c>
      <c r="E8" s="37" t="s">
        <v>224</v>
      </c>
      <c r="F8" s="37">
        <v>2436</v>
      </c>
      <c r="G8" s="37">
        <v>11</v>
      </c>
      <c r="H8" s="37">
        <v>8</v>
      </c>
      <c r="I8" s="37">
        <f t="shared" si="0"/>
        <v>0.37485769230769234</v>
      </c>
      <c r="J8" s="37">
        <v>4806</v>
      </c>
      <c r="K8" s="37">
        <v>18</v>
      </c>
      <c r="L8" s="37">
        <v>0</v>
      </c>
      <c r="M8" s="37">
        <f t="shared" si="1"/>
        <v>0.73952307692307684</v>
      </c>
      <c r="N8" s="37">
        <v>4197</v>
      </c>
      <c r="O8" s="37">
        <v>2274</v>
      </c>
      <c r="P8" s="37">
        <v>1440</v>
      </c>
    </row>
    <row r="9" spans="1:18" s="37" customFormat="1" ht="14" x14ac:dyDescent="0.2">
      <c r="A9" s="37">
        <v>1755</v>
      </c>
      <c r="B9" s="37" t="s">
        <v>268</v>
      </c>
      <c r="C9" s="37">
        <v>3900</v>
      </c>
      <c r="D9" s="37" t="s">
        <v>193</v>
      </c>
      <c r="E9" s="37" t="s">
        <v>224</v>
      </c>
      <c r="F9" s="37">
        <v>1026</v>
      </c>
      <c r="G9" s="37">
        <v>18</v>
      </c>
      <c r="H9" s="37">
        <v>0</v>
      </c>
      <c r="I9" s="37">
        <f t="shared" si="0"/>
        <v>0.26330769230769235</v>
      </c>
      <c r="J9" s="37">
        <v>1776</v>
      </c>
      <c r="K9" s="37">
        <v>12</v>
      </c>
      <c r="L9" s="37">
        <v>0</v>
      </c>
      <c r="M9" s="37">
        <f t="shared" si="1"/>
        <v>0.4555384615384615</v>
      </c>
      <c r="N9" s="37">
        <v>4202</v>
      </c>
      <c r="O9" s="37">
        <v>1778</v>
      </c>
      <c r="P9" s="37">
        <v>416</v>
      </c>
    </row>
    <row r="10" spans="1:18" s="37" customFormat="1" ht="14" x14ac:dyDescent="0.2">
      <c r="A10" s="37">
        <v>1756</v>
      </c>
      <c r="B10" s="37" t="s">
        <v>268</v>
      </c>
      <c r="C10" s="37">
        <v>600</v>
      </c>
      <c r="D10" s="37" t="s">
        <v>193</v>
      </c>
      <c r="E10" s="37" t="s">
        <v>224</v>
      </c>
      <c r="F10" s="37">
        <v>163</v>
      </c>
      <c r="G10" s="37">
        <v>2</v>
      </c>
      <c r="H10" s="37">
        <v>8</v>
      </c>
      <c r="I10" s="37">
        <f t="shared" si="0"/>
        <v>0.27187499999999998</v>
      </c>
      <c r="J10" s="37">
        <v>304</v>
      </c>
      <c r="K10" s="37">
        <v>4</v>
      </c>
      <c r="L10" s="37">
        <v>0</v>
      </c>
      <c r="M10" s="37">
        <f t="shared" si="1"/>
        <v>0.50700000000000001</v>
      </c>
      <c r="N10" s="37">
        <v>4207</v>
      </c>
      <c r="O10" s="37">
        <v>1333</v>
      </c>
      <c r="P10" s="37">
        <v>143</v>
      </c>
    </row>
    <row r="11" spans="1:18" s="37" customFormat="1" ht="14" x14ac:dyDescent="0.2">
      <c r="A11" s="37">
        <v>1757</v>
      </c>
      <c r="B11" s="37" t="s">
        <v>268</v>
      </c>
      <c r="C11" s="37">
        <v>5000</v>
      </c>
      <c r="D11" s="37" t="s">
        <v>193</v>
      </c>
      <c r="E11" s="37" t="s">
        <v>224</v>
      </c>
      <c r="F11" s="37">
        <v>1400</v>
      </c>
      <c r="G11" s="37">
        <v>8</v>
      </c>
      <c r="H11" s="37">
        <v>4</v>
      </c>
      <c r="I11" s="37">
        <f t="shared" si="0"/>
        <v>0.28008250000000001</v>
      </c>
      <c r="J11" s="37">
        <v>2969</v>
      </c>
      <c r="K11" s="37">
        <v>14</v>
      </c>
      <c r="L11" s="37">
        <v>0</v>
      </c>
      <c r="M11" s="37">
        <f t="shared" si="1"/>
        <v>0.59393999999999991</v>
      </c>
      <c r="N11" s="37">
        <v>4211</v>
      </c>
      <c r="O11" s="37">
        <v>1361</v>
      </c>
      <c r="P11" s="37">
        <v>240</v>
      </c>
    </row>
    <row r="12" spans="1:18" s="37" customFormat="1" ht="14" x14ac:dyDescent="0.2">
      <c r="A12" s="37">
        <v>1758</v>
      </c>
      <c r="B12" s="37" t="s">
        <v>268</v>
      </c>
      <c r="C12" s="37">
        <v>6800</v>
      </c>
      <c r="D12" s="37" t="s">
        <v>193</v>
      </c>
      <c r="E12" s="37" t="s">
        <v>224</v>
      </c>
      <c r="F12" s="37">
        <v>1772</v>
      </c>
      <c r="G12" s="37">
        <v>7</v>
      </c>
      <c r="H12" s="37">
        <v>0</v>
      </c>
      <c r="I12" s="37">
        <f t="shared" si="0"/>
        <v>0.26063970588235291</v>
      </c>
      <c r="J12" s="37">
        <v>3122</v>
      </c>
      <c r="K12" s="37">
        <v>14</v>
      </c>
      <c r="L12" s="37">
        <v>0</v>
      </c>
      <c r="M12" s="37">
        <f t="shared" si="1"/>
        <v>0.4592205882352941</v>
      </c>
      <c r="N12" s="37">
        <v>4218</v>
      </c>
      <c r="O12" s="37">
        <v>1339</v>
      </c>
      <c r="P12" s="37">
        <v>1007</v>
      </c>
    </row>
    <row r="13" spans="1:18" s="37" customFormat="1" ht="14" x14ac:dyDescent="0.2">
      <c r="A13" s="37">
        <v>1759</v>
      </c>
      <c r="B13" s="37" t="s">
        <v>268</v>
      </c>
      <c r="C13" s="37">
        <v>4500</v>
      </c>
      <c r="D13" s="37" t="s">
        <v>193</v>
      </c>
      <c r="E13" s="37" t="s">
        <v>224</v>
      </c>
      <c r="F13" s="37">
        <v>1307</v>
      </c>
      <c r="G13" s="37">
        <v>16</v>
      </c>
      <c r="H13" s="37">
        <v>0</v>
      </c>
      <c r="I13" s="37">
        <f t="shared" si="0"/>
        <v>0.29062222222222223</v>
      </c>
      <c r="J13" s="37">
        <v>2297</v>
      </c>
      <c r="K13" s="37">
        <v>8</v>
      </c>
      <c r="L13" s="37">
        <v>0</v>
      </c>
      <c r="M13" s="37">
        <f t="shared" si="1"/>
        <v>0.51053333333333339</v>
      </c>
      <c r="N13" s="37">
        <v>4221</v>
      </c>
      <c r="O13" s="37">
        <v>1340</v>
      </c>
      <c r="P13" s="37">
        <v>165</v>
      </c>
    </row>
    <row r="14" spans="1:18" s="37" customFormat="1" ht="14" x14ac:dyDescent="0.2">
      <c r="A14" s="37">
        <v>1760</v>
      </c>
      <c r="B14" s="37" t="s">
        <v>268</v>
      </c>
      <c r="C14" s="37">
        <v>4500</v>
      </c>
      <c r="D14" s="37" t="s">
        <v>193</v>
      </c>
      <c r="E14" s="37" t="s">
        <v>224</v>
      </c>
      <c r="F14" s="37">
        <v>1307</v>
      </c>
      <c r="G14" s="37">
        <v>16</v>
      </c>
      <c r="H14" s="37">
        <v>0</v>
      </c>
      <c r="I14" s="37">
        <f t="shared" si="0"/>
        <v>0.29062222222222223</v>
      </c>
      <c r="J14" s="37">
        <v>2722</v>
      </c>
      <c r="K14" s="37">
        <v>16</v>
      </c>
      <c r="L14" s="37">
        <v>0</v>
      </c>
      <c r="M14" s="37">
        <f t="shared" si="1"/>
        <v>0.60506666666666675</v>
      </c>
      <c r="N14" s="37">
        <v>4224</v>
      </c>
      <c r="O14" s="37">
        <v>1343</v>
      </c>
      <c r="P14" s="37">
        <v>308</v>
      </c>
    </row>
    <row r="15" spans="1:18" s="37" customFormat="1" ht="14" x14ac:dyDescent="0.2">
      <c r="A15" s="37">
        <v>1762</v>
      </c>
      <c r="B15" s="37" t="s">
        <v>268</v>
      </c>
      <c r="C15" s="37">
        <v>4450</v>
      </c>
      <c r="D15" s="37" t="s">
        <v>193</v>
      </c>
      <c r="E15" s="37" t="s">
        <v>224</v>
      </c>
      <c r="F15" s="37">
        <v>1136</v>
      </c>
      <c r="G15" s="37">
        <v>16</v>
      </c>
      <c r="H15" s="37">
        <v>0</v>
      </c>
      <c r="I15" s="37">
        <f t="shared" si="0"/>
        <v>0.25546067415730334</v>
      </c>
      <c r="J15" s="37">
        <v>2283</v>
      </c>
      <c r="K15" s="37">
        <v>10</v>
      </c>
      <c r="L15" s="37">
        <v>0</v>
      </c>
      <c r="M15" s="37">
        <f t="shared" si="1"/>
        <v>0.51314606741573032</v>
      </c>
      <c r="N15" s="37">
        <v>4233</v>
      </c>
      <c r="O15" s="37">
        <v>1348</v>
      </c>
      <c r="P15" s="37">
        <v>220</v>
      </c>
    </row>
    <row r="16" spans="1:18" s="37" customFormat="1" ht="14" x14ac:dyDescent="0.2">
      <c r="A16" s="37">
        <v>1767</v>
      </c>
      <c r="B16" s="37" t="s">
        <v>268</v>
      </c>
      <c r="C16" s="37">
        <v>9100</v>
      </c>
      <c r="D16" s="37" t="s">
        <v>193</v>
      </c>
      <c r="E16" s="37" t="s">
        <v>224</v>
      </c>
      <c r="F16" s="37">
        <v>2587</v>
      </c>
      <c r="G16" s="37">
        <v>16</v>
      </c>
      <c r="H16" s="37">
        <v>0</v>
      </c>
      <c r="I16" s="37">
        <f t="shared" si="0"/>
        <v>0.2843736263736264</v>
      </c>
      <c r="J16" s="37">
        <v>4540</v>
      </c>
      <c r="K16" s="37">
        <v>4</v>
      </c>
      <c r="L16" s="37">
        <v>0</v>
      </c>
      <c r="M16" s="37">
        <f t="shared" si="1"/>
        <v>0.49892307692307691</v>
      </c>
      <c r="N16" s="37">
        <v>4253</v>
      </c>
      <c r="O16" s="37">
        <v>1365</v>
      </c>
      <c r="P16" s="37">
        <v>266</v>
      </c>
    </row>
    <row r="17" spans="1:16" s="37" customFormat="1" ht="14" x14ac:dyDescent="0.2">
      <c r="A17" s="37">
        <v>1771</v>
      </c>
      <c r="B17" s="37" t="s">
        <v>268</v>
      </c>
      <c r="C17" s="37">
        <v>1150</v>
      </c>
      <c r="D17" s="37" t="s">
        <v>193</v>
      </c>
      <c r="E17" s="37" t="s">
        <v>224</v>
      </c>
      <c r="F17" s="37">
        <v>430</v>
      </c>
      <c r="G17" s="37">
        <v>14</v>
      </c>
      <c r="H17" s="37">
        <v>5</v>
      </c>
      <c r="I17" s="37">
        <f t="shared" si="0"/>
        <v>0.3745353260869565</v>
      </c>
      <c r="J17" s="37">
        <v>559</v>
      </c>
      <c r="K17" s="37">
        <v>19</v>
      </c>
      <c r="L17" s="37">
        <v>0</v>
      </c>
      <c r="M17" s="37">
        <f t="shared" si="1"/>
        <v>0.48691304347826092</v>
      </c>
      <c r="N17" s="37">
        <v>4268</v>
      </c>
      <c r="O17" s="37">
        <v>1372</v>
      </c>
      <c r="P17" s="37">
        <v>161</v>
      </c>
    </row>
    <row r="18" spans="1:16" s="37" customFormat="1" ht="14" x14ac:dyDescent="0.2">
      <c r="A18" s="37">
        <v>1773</v>
      </c>
      <c r="B18" s="37" t="s">
        <v>268</v>
      </c>
      <c r="C18" s="37">
        <v>1800</v>
      </c>
      <c r="D18" s="37" t="s">
        <v>193</v>
      </c>
      <c r="E18" s="37" t="s">
        <v>224</v>
      </c>
      <c r="F18" s="37">
        <v>677</v>
      </c>
      <c r="G18" s="37">
        <v>2</v>
      </c>
      <c r="H18" s="37">
        <v>0</v>
      </c>
      <c r="I18" s="37">
        <f t="shared" si="0"/>
        <v>0.3761666666666667</v>
      </c>
      <c r="J18" s="37">
        <v>867</v>
      </c>
      <c r="K18" s="37">
        <v>12</v>
      </c>
      <c r="L18" s="37">
        <v>8</v>
      </c>
      <c r="M18" s="37">
        <f t="shared" si="1"/>
        <v>0.48201388888888891</v>
      </c>
      <c r="N18" s="37">
        <v>4277</v>
      </c>
      <c r="O18" s="37">
        <v>1376</v>
      </c>
      <c r="P18" s="37">
        <v>246</v>
      </c>
    </row>
    <row r="19" spans="1:16" s="37" customFormat="1" ht="14" x14ac:dyDescent="0.2">
      <c r="A19" s="37">
        <v>1764</v>
      </c>
      <c r="B19" s="37" t="s">
        <v>268</v>
      </c>
      <c r="C19" s="37">
        <v>3100</v>
      </c>
      <c r="D19" s="37" t="s">
        <v>193</v>
      </c>
      <c r="E19" s="37" t="s">
        <v>1020</v>
      </c>
      <c r="F19" s="37">
        <v>642</v>
      </c>
      <c r="G19" s="37">
        <v>4</v>
      </c>
      <c r="H19" s="37">
        <v>0</v>
      </c>
      <c r="I19" s="37">
        <f t="shared" si="0"/>
        <v>0.20716129032258065</v>
      </c>
      <c r="J19" s="37">
        <v>1199</v>
      </c>
      <c r="K19" s="37">
        <v>14</v>
      </c>
      <c r="L19" s="37">
        <v>0</v>
      </c>
      <c r="M19" s="37">
        <f t="shared" si="1"/>
        <v>0.38700000000000001</v>
      </c>
      <c r="N19" s="37">
        <v>4241</v>
      </c>
      <c r="O19" s="37">
        <v>1353</v>
      </c>
      <c r="P19" s="37">
        <v>194</v>
      </c>
    </row>
    <row r="20" spans="1:16" s="37" customFormat="1" ht="14" x14ac:dyDescent="0.2">
      <c r="A20" s="37">
        <v>1754</v>
      </c>
      <c r="B20" s="37" t="s">
        <v>268</v>
      </c>
      <c r="C20" s="37">
        <v>3000</v>
      </c>
      <c r="D20" s="37" t="s">
        <v>193</v>
      </c>
      <c r="E20" s="37" t="s">
        <v>225</v>
      </c>
      <c r="F20" s="37">
        <v>871</v>
      </c>
      <c r="G20" s="37">
        <v>17</v>
      </c>
      <c r="H20" s="37">
        <v>8</v>
      </c>
      <c r="I20" s="37">
        <f t="shared" si="0"/>
        <v>0.29062500000000002</v>
      </c>
      <c r="J20" s="37">
        <v>1740</v>
      </c>
      <c r="K20" s="37">
        <v>18</v>
      </c>
      <c r="L20" s="37">
        <v>0</v>
      </c>
      <c r="M20" s="37">
        <f t="shared" si="1"/>
        <v>0.58030000000000004</v>
      </c>
      <c r="N20" s="37">
        <v>4199</v>
      </c>
      <c r="O20" s="37" t="s">
        <v>988</v>
      </c>
      <c r="P20" s="37">
        <v>849</v>
      </c>
    </row>
    <row r="21" spans="1:16" s="37" customFormat="1" ht="14" x14ac:dyDescent="0.2">
      <c r="A21" s="37">
        <v>1764</v>
      </c>
      <c r="B21" s="37" t="s">
        <v>268</v>
      </c>
      <c r="C21" s="37">
        <v>1900</v>
      </c>
      <c r="D21" s="37" t="s">
        <v>193</v>
      </c>
      <c r="E21" s="37" t="s">
        <v>225</v>
      </c>
      <c r="F21" s="37">
        <v>570</v>
      </c>
      <c r="G21" s="37">
        <v>0</v>
      </c>
      <c r="H21" s="37">
        <v>0</v>
      </c>
      <c r="I21" s="37">
        <f t="shared" si="0"/>
        <v>0.3</v>
      </c>
      <c r="J21" s="37">
        <v>1040</v>
      </c>
      <c r="K21" s="37">
        <v>14</v>
      </c>
      <c r="L21" s="37">
        <v>0</v>
      </c>
      <c r="M21" s="37">
        <f t="shared" si="1"/>
        <v>0.54773684210526319</v>
      </c>
      <c r="N21" s="37">
        <v>4241</v>
      </c>
      <c r="O21" s="37">
        <v>1353</v>
      </c>
      <c r="P21" s="37">
        <v>194</v>
      </c>
    </row>
    <row r="22" spans="1:16" s="37" customFormat="1" ht="14" x14ac:dyDescent="0.2">
      <c r="A22" s="37">
        <v>1765</v>
      </c>
      <c r="B22" s="37" t="s">
        <v>268</v>
      </c>
      <c r="C22" s="37">
        <v>5750</v>
      </c>
      <c r="D22" s="37" t="s">
        <v>193</v>
      </c>
      <c r="E22" s="37" t="s">
        <v>225</v>
      </c>
      <c r="F22" s="37">
        <v>1527</v>
      </c>
      <c r="G22" s="37">
        <v>7</v>
      </c>
      <c r="H22" s="37">
        <v>0</v>
      </c>
      <c r="I22" s="37">
        <f t="shared" si="0"/>
        <v>0.26562608695652173</v>
      </c>
      <c r="J22" s="37">
        <v>2724</v>
      </c>
      <c r="K22" s="37">
        <v>18</v>
      </c>
      <c r="L22" s="37">
        <v>0</v>
      </c>
      <c r="M22" s="37">
        <f t="shared" si="1"/>
        <v>0.47389565217391305</v>
      </c>
      <c r="N22" s="37">
        <v>4245</v>
      </c>
      <c r="O22" s="37">
        <v>1356</v>
      </c>
      <c r="P22" s="37">
        <v>276</v>
      </c>
    </row>
    <row r="23" spans="1:16" s="37" customFormat="1" ht="14" x14ac:dyDescent="0.2">
      <c r="A23" s="37">
        <v>1768</v>
      </c>
      <c r="B23" s="37" t="s">
        <v>268</v>
      </c>
      <c r="C23" s="37">
        <v>3200</v>
      </c>
      <c r="D23" s="37" t="s">
        <v>193</v>
      </c>
      <c r="E23" s="37" t="s">
        <v>225</v>
      </c>
      <c r="F23" s="37">
        <v>860</v>
      </c>
      <c r="G23" s="37">
        <v>0</v>
      </c>
      <c r="H23" s="37">
        <v>0</v>
      </c>
      <c r="I23" s="37">
        <f t="shared" si="0"/>
        <v>0.26874999999999999</v>
      </c>
      <c r="J23" s="37">
        <v>1508</v>
      </c>
      <c r="K23" s="37">
        <v>8</v>
      </c>
      <c r="L23" s="37">
        <v>0</v>
      </c>
      <c r="M23" s="37">
        <f t="shared" si="1"/>
        <v>0.47137500000000004</v>
      </c>
      <c r="N23" s="37">
        <v>4257</v>
      </c>
      <c r="O23" s="37">
        <v>1367</v>
      </c>
      <c r="P23" s="37">
        <v>245</v>
      </c>
    </row>
    <row r="24" spans="1:16" s="37" customFormat="1" ht="14" x14ac:dyDescent="0.2">
      <c r="A24" s="37">
        <v>1770</v>
      </c>
      <c r="B24" s="37" t="s">
        <v>268</v>
      </c>
      <c r="C24" s="37">
        <v>1550</v>
      </c>
      <c r="D24" s="37" t="s">
        <v>193</v>
      </c>
      <c r="E24" s="37" t="s">
        <v>225</v>
      </c>
      <c r="F24" s="37">
        <v>549</v>
      </c>
      <c r="G24" s="37">
        <v>14</v>
      </c>
      <c r="H24" s="37">
        <v>2</v>
      </c>
      <c r="I24" s="37">
        <f t="shared" si="0"/>
        <v>0.35464919354838714</v>
      </c>
      <c r="J24" s="37">
        <v>707</v>
      </c>
      <c r="K24" s="37">
        <v>11</v>
      </c>
      <c r="L24" s="37">
        <v>8</v>
      </c>
      <c r="M24" s="37">
        <f t="shared" si="1"/>
        <v>0.45649999999999996</v>
      </c>
      <c r="N24" s="37">
        <v>4265</v>
      </c>
      <c r="O24" s="37">
        <v>1370</v>
      </c>
      <c r="P24" s="37">
        <v>302</v>
      </c>
    </row>
    <row r="25" spans="1:16" s="37" customFormat="1" ht="14" x14ac:dyDescent="0.2">
      <c r="A25" s="37">
        <v>1774</v>
      </c>
      <c r="B25" s="37" t="s">
        <v>268</v>
      </c>
      <c r="C25" s="37">
        <v>200</v>
      </c>
      <c r="D25" s="37" t="s">
        <v>193</v>
      </c>
      <c r="E25" s="37" t="s">
        <v>225</v>
      </c>
      <c r="F25" s="37">
        <v>82</v>
      </c>
      <c r="G25" s="37">
        <v>9</v>
      </c>
      <c r="H25" s="37">
        <v>8</v>
      </c>
      <c r="I25" s="37">
        <f t="shared" si="0"/>
        <v>0.41237500000000005</v>
      </c>
      <c r="J25" s="37">
        <v>103</v>
      </c>
      <c r="K25" s="37">
        <v>8</v>
      </c>
      <c r="L25" s="37">
        <v>0</v>
      </c>
      <c r="M25" s="37">
        <f t="shared" si="1"/>
        <v>0.51700000000000002</v>
      </c>
      <c r="N25" s="37">
        <v>4280</v>
      </c>
      <c r="O25" s="37">
        <v>1378</v>
      </c>
      <c r="P25" s="37">
        <v>229</v>
      </c>
    </row>
    <row r="26" spans="1:16" s="37" customFormat="1" ht="14" x14ac:dyDescent="0.2">
      <c r="A26" s="37">
        <v>1775</v>
      </c>
      <c r="B26" s="37" t="s">
        <v>268</v>
      </c>
      <c r="C26" s="37">
        <v>100</v>
      </c>
      <c r="D26" s="37" t="s">
        <v>193</v>
      </c>
      <c r="E26" s="37" t="s">
        <v>225</v>
      </c>
      <c r="F26" s="37">
        <v>41</v>
      </c>
      <c r="G26" s="37">
        <v>16</v>
      </c>
      <c r="H26" s="37">
        <v>14</v>
      </c>
      <c r="I26" s="37">
        <f t="shared" si="0"/>
        <v>0.41843750000000002</v>
      </c>
      <c r="J26" s="37">
        <v>52</v>
      </c>
      <c r="K26" s="37">
        <v>16</v>
      </c>
      <c r="L26" s="37">
        <v>0</v>
      </c>
      <c r="M26" s="37">
        <f t="shared" si="1"/>
        <v>0.52800000000000002</v>
      </c>
      <c r="N26" s="37">
        <v>4283</v>
      </c>
      <c r="O26" s="37">
        <v>4939</v>
      </c>
      <c r="P26" s="37">
        <v>166</v>
      </c>
    </row>
  </sheetData>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pane ySplit="2" topLeftCell="A33" activePane="bottomLeft" state="frozen"/>
      <selection activeCell="G11" sqref="G11"/>
      <selection pane="bottomLeft" activeCell="G11" sqref="G11"/>
    </sheetView>
  </sheetViews>
  <sheetFormatPr baseColWidth="10" defaultColWidth="8.83203125" defaultRowHeight="15" x14ac:dyDescent="0.2"/>
  <cols>
    <col min="1" max="16384" width="8.83203125" style="5"/>
  </cols>
  <sheetData>
    <row r="1" spans="1:4" x14ac:dyDescent="0.2">
      <c r="A1" s="5" t="s">
        <v>1021</v>
      </c>
    </row>
    <row r="2" spans="1:4" x14ac:dyDescent="0.2">
      <c r="A2" s="5" t="s">
        <v>1022</v>
      </c>
      <c r="B2" s="5" t="s">
        <v>1023</v>
      </c>
      <c r="C2" s="5" t="s">
        <v>817</v>
      </c>
      <c r="D2" s="5" t="s">
        <v>1024</v>
      </c>
    </row>
    <row r="3" spans="1:4" x14ac:dyDescent="0.2">
      <c r="A3" s="5" t="s">
        <v>197</v>
      </c>
      <c r="B3" s="5">
        <v>3</v>
      </c>
      <c r="C3" s="5">
        <v>124</v>
      </c>
    </row>
    <row r="4" spans="1:4" x14ac:dyDescent="0.2">
      <c r="A4" s="5" t="s">
        <v>197</v>
      </c>
      <c r="B4" s="5">
        <v>4</v>
      </c>
      <c r="C4" s="5">
        <v>128</v>
      </c>
    </row>
    <row r="5" spans="1:4" x14ac:dyDescent="0.2">
      <c r="A5" s="5" t="s">
        <v>197</v>
      </c>
      <c r="B5" s="5">
        <v>5</v>
      </c>
      <c r="C5" s="5">
        <v>123</v>
      </c>
    </row>
    <row r="6" spans="1:4" x14ac:dyDescent="0.2">
      <c r="A6" s="5" t="s">
        <v>197</v>
      </c>
      <c r="B6" s="5">
        <v>6</v>
      </c>
      <c r="C6" s="5">
        <v>128</v>
      </c>
    </row>
    <row r="7" spans="1:4" x14ac:dyDescent="0.2">
      <c r="A7" s="5" t="s">
        <v>197</v>
      </c>
      <c r="B7" s="5">
        <v>7</v>
      </c>
    </row>
    <row r="8" spans="1:4" x14ac:dyDescent="0.2">
      <c r="A8" s="5" t="s">
        <v>197</v>
      </c>
      <c r="B8" s="5">
        <v>8</v>
      </c>
      <c r="C8" s="5">
        <v>125</v>
      </c>
    </row>
    <row r="9" spans="1:4" x14ac:dyDescent="0.2">
      <c r="A9" s="5" t="s">
        <v>197</v>
      </c>
      <c r="B9" s="5">
        <v>9</v>
      </c>
      <c r="C9" s="5">
        <v>128</v>
      </c>
    </row>
    <row r="10" spans="1:4" x14ac:dyDescent="0.2">
      <c r="A10" s="5" t="s">
        <v>197</v>
      </c>
      <c r="B10" s="5">
        <v>10</v>
      </c>
      <c r="C10" s="5">
        <v>117</v>
      </c>
    </row>
    <row r="11" spans="1:4" x14ac:dyDescent="0.2">
      <c r="A11" s="5" t="s">
        <v>197</v>
      </c>
      <c r="B11" s="5">
        <v>11</v>
      </c>
      <c r="C11" s="5">
        <v>126</v>
      </c>
    </row>
    <row r="12" spans="1:4" x14ac:dyDescent="0.2">
      <c r="A12" s="5" t="s">
        <v>197</v>
      </c>
      <c r="B12" s="5">
        <v>12</v>
      </c>
      <c r="C12" s="5">
        <v>129</v>
      </c>
    </row>
    <row r="13" spans="1:4" x14ac:dyDescent="0.2">
      <c r="A13" s="5" t="s">
        <v>197</v>
      </c>
      <c r="B13" s="5">
        <v>13</v>
      </c>
      <c r="C13" s="5">
        <v>125</v>
      </c>
    </row>
    <row r="14" spans="1:4" x14ac:dyDescent="0.2">
      <c r="A14" s="5" t="s">
        <v>197</v>
      </c>
      <c r="B14" s="5">
        <v>14</v>
      </c>
    </row>
    <row r="15" spans="1:4" x14ac:dyDescent="0.2">
      <c r="A15" s="5" t="s">
        <v>197</v>
      </c>
      <c r="B15" s="5">
        <v>15</v>
      </c>
      <c r="C15" s="5">
        <v>126</v>
      </c>
    </row>
    <row r="16" spans="1:4" x14ac:dyDescent="0.2">
      <c r="A16" s="5" t="s">
        <v>197</v>
      </c>
      <c r="B16" s="5">
        <v>16</v>
      </c>
      <c r="C16" s="5">
        <v>128</v>
      </c>
    </row>
    <row r="17" spans="1:3" x14ac:dyDescent="0.2">
      <c r="A17" s="5" t="s">
        <v>197</v>
      </c>
      <c r="B17" s="5">
        <v>17</v>
      </c>
      <c r="C17" s="5">
        <v>123</v>
      </c>
    </row>
    <row r="18" spans="1:3" x14ac:dyDescent="0.2">
      <c r="A18" s="5" t="s">
        <v>197</v>
      </c>
      <c r="B18" s="5">
        <v>18</v>
      </c>
      <c r="C18" s="5">
        <v>129</v>
      </c>
    </row>
    <row r="19" spans="1:3" x14ac:dyDescent="0.2">
      <c r="A19" s="5" t="s">
        <v>197</v>
      </c>
      <c r="B19" s="5">
        <v>19</v>
      </c>
      <c r="C19" s="5">
        <v>133</v>
      </c>
    </row>
    <row r="20" spans="1:3" x14ac:dyDescent="0.2">
      <c r="A20" s="5" t="s">
        <v>197</v>
      </c>
      <c r="B20" s="5">
        <v>20</v>
      </c>
      <c r="C20" s="5">
        <v>134</v>
      </c>
    </row>
    <row r="21" spans="1:3" x14ac:dyDescent="0.2">
      <c r="A21" s="5" t="s">
        <v>197</v>
      </c>
      <c r="B21" s="5">
        <v>21</v>
      </c>
    </row>
    <row r="22" spans="1:3" x14ac:dyDescent="0.2">
      <c r="A22" s="5" t="s">
        <v>197</v>
      </c>
      <c r="B22" s="5">
        <v>22</v>
      </c>
      <c r="C22" s="5">
        <v>134</v>
      </c>
    </row>
    <row r="23" spans="1:3" x14ac:dyDescent="0.2">
      <c r="A23" s="5" t="s">
        <v>197</v>
      </c>
      <c r="B23" s="5">
        <v>23</v>
      </c>
      <c r="C23" s="5">
        <v>143</v>
      </c>
    </row>
    <row r="24" spans="1:3" x14ac:dyDescent="0.2">
      <c r="A24" s="5" t="s">
        <v>197</v>
      </c>
      <c r="B24" s="5">
        <v>24</v>
      </c>
      <c r="C24" s="5">
        <v>142</v>
      </c>
    </row>
    <row r="25" spans="1:3" x14ac:dyDescent="0.2">
      <c r="A25" s="5" t="s">
        <v>197</v>
      </c>
      <c r="B25" s="5">
        <v>25</v>
      </c>
      <c r="C25" s="5">
        <v>145</v>
      </c>
    </row>
    <row r="26" spans="1:3" x14ac:dyDescent="0.2">
      <c r="A26" s="5" t="s">
        <v>197</v>
      </c>
      <c r="B26" s="5">
        <v>26</v>
      </c>
      <c r="C26" s="5">
        <v>147</v>
      </c>
    </row>
    <row r="27" spans="1:3" x14ac:dyDescent="0.2">
      <c r="A27" s="5" t="s">
        <v>197</v>
      </c>
      <c r="B27" s="5">
        <v>27</v>
      </c>
      <c r="C27" s="5">
        <v>148</v>
      </c>
    </row>
    <row r="28" spans="1:3" x14ac:dyDescent="0.2">
      <c r="A28" s="5" t="s">
        <v>197</v>
      </c>
      <c r="B28" s="5">
        <v>28</v>
      </c>
    </row>
    <row r="29" spans="1:3" x14ac:dyDescent="0.2">
      <c r="A29" s="5" t="s">
        <v>197</v>
      </c>
      <c r="B29" s="5">
        <v>29</v>
      </c>
      <c r="C29" s="5">
        <v>147</v>
      </c>
    </row>
    <row r="30" spans="1:3" x14ac:dyDescent="0.2">
      <c r="A30" s="5" t="s">
        <v>197</v>
      </c>
      <c r="B30" s="5">
        <v>30</v>
      </c>
      <c r="C30" s="5">
        <v>145</v>
      </c>
    </row>
    <row r="31" spans="1:3" x14ac:dyDescent="0.2">
      <c r="A31" s="5" t="s">
        <v>197</v>
      </c>
      <c r="B31" s="5">
        <v>31</v>
      </c>
      <c r="C31" s="5">
        <v>139</v>
      </c>
    </row>
    <row r="32" spans="1:3" x14ac:dyDescent="0.2">
      <c r="A32" s="5" t="s">
        <v>196</v>
      </c>
      <c r="B32" s="5">
        <v>1</v>
      </c>
      <c r="C32" s="5">
        <v>154</v>
      </c>
    </row>
    <row r="33" spans="1:3" x14ac:dyDescent="0.2">
      <c r="A33" s="5" t="s">
        <v>196</v>
      </c>
      <c r="B33" s="5">
        <v>2</v>
      </c>
      <c r="C33" s="5">
        <v>151</v>
      </c>
    </row>
    <row r="34" spans="1:3" x14ac:dyDescent="0.2">
      <c r="A34" s="5" t="s">
        <v>196</v>
      </c>
      <c r="B34" s="5">
        <v>3</v>
      </c>
      <c r="C34" s="5">
        <v>152</v>
      </c>
    </row>
    <row r="35" spans="1:3" x14ac:dyDescent="0.2">
      <c r="A35" s="5" t="s">
        <v>196</v>
      </c>
      <c r="B35" s="5">
        <v>4</v>
      </c>
    </row>
    <row r="36" spans="1:3" x14ac:dyDescent="0.2">
      <c r="A36" s="5" t="s">
        <v>196</v>
      </c>
      <c r="B36" s="5">
        <v>5</v>
      </c>
      <c r="C36" s="5">
        <v>153</v>
      </c>
    </row>
    <row r="37" spans="1:3" x14ac:dyDescent="0.2">
      <c r="A37" s="5" t="s">
        <v>196</v>
      </c>
      <c r="B37" s="5">
        <v>6</v>
      </c>
      <c r="C37" s="5">
        <v>153</v>
      </c>
    </row>
    <row r="38" spans="1:3" x14ac:dyDescent="0.2">
      <c r="A38" s="5" t="s">
        <v>196</v>
      </c>
      <c r="B38" s="5">
        <v>7</v>
      </c>
      <c r="C38" s="5">
        <v>157</v>
      </c>
    </row>
    <row r="39" spans="1:3" x14ac:dyDescent="0.2">
      <c r="A39" s="5" t="s">
        <v>196</v>
      </c>
      <c r="B39" s="5">
        <v>8</v>
      </c>
      <c r="C39" s="5">
        <v>160</v>
      </c>
    </row>
    <row r="40" spans="1:3" x14ac:dyDescent="0.2">
      <c r="A40" s="5" t="s">
        <v>196</v>
      </c>
      <c r="B40" s="5">
        <v>9</v>
      </c>
      <c r="C40" s="5">
        <v>161</v>
      </c>
    </row>
    <row r="41" spans="1:3" x14ac:dyDescent="0.2">
      <c r="A41" s="5" t="s">
        <v>196</v>
      </c>
      <c r="B41" s="5">
        <v>10</v>
      </c>
      <c r="C41" s="5">
        <v>161</v>
      </c>
    </row>
    <row r="42" spans="1:3" x14ac:dyDescent="0.2">
      <c r="A42" s="5" t="s">
        <v>196</v>
      </c>
      <c r="B42" s="5">
        <v>11</v>
      </c>
    </row>
    <row r="43" spans="1:3" x14ac:dyDescent="0.2">
      <c r="A43" s="5" t="s">
        <v>196</v>
      </c>
      <c r="B43" s="5">
        <v>12</v>
      </c>
      <c r="C43" s="5">
        <v>170</v>
      </c>
    </row>
    <row r="44" spans="1:3" x14ac:dyDescent="0.2">
      <c r="A44" s="5" t="s">
        <v>196</v>
      </c>
      <c r="B44" s="5">
        <v>13</v>
      </c>
      <c r="C44" s="5">
        <v>168</v>
      </c>
    </row>
    <row r="45" spans="1:3" x14ac:dyDescent="0.2">
      <c r="A45" s="5" t="s">
        <v>196</v>
      </c>
      <c r="B45" s="5">
        <v>14</v>
      </c>
      <c r="C45" s="5">
        <v>179</v>
      </c>
    </row>
    <row r="46" spans="1:3" x14ac:dyDescent="0.2">
      <c r="A46" s="5" t="s">
        <v>196</v>
      </c>
      <c r="B46" s="5">
        <v>15</v>
      </c>
      <c r="C46" s="5">
        <v>186</v>
      </c>
    </row>
    <row r="47" spans="1:3" x14ac:dyDescent="0.2">
      <c r="A47" s="5" t="s">
        <v>196</v>
      </c>
      <c r="B47" s="5">
        <v>16</v>
      </c>
      <c r="C47" s="5">
        <v>196</v>
      </c>
    </row>
    <row r="48" spans="1:3" x14ac:dyDescent="0.2">
      <c r="A48" s="5" t="s">
        <v>196</v>
      </c>
      <c r="B48" s="5">
        <v>17</v>
      </c>
      <c r="C48" s="5">
        <v>185</v>
      </c>
    </row>
    <row r="49" spans="1:3" x14ac:dyDescent="0.2">
      <c r="A49" s="5" t="s">
        <v>196</v>
      </c>
      <c r="B49" s="5">
        <v>18</v>
      </c>
    </row>
    <row r="50" spans="1:3" x14ac:dyDescent="0.2">
      <c r="A50" s="5" t="s">
        <v>196</v>
      </c>
      <c r="B50" s="5">
        <v>19</v>
      </c>
      <c r="C50" s="5">
        <v>172</v>
      </c>
    </row>
    <row r="51" spans="1:3" x14ac:dyDescent="0.2">
      <c r="A51" s="5" t="s">
        <v>196</v>
      </c>
      <c r="B51" s="5">
        <v>20</v>
      </c>
      <c r="C51" s="5">
        <v>162</v>
      </c>
    </row>
    <row r="52" spans="1:3" x14ac:dyDescent="0.2">
      <c r="A52" s="5" t="s">
        <v>196</v>
      </c>
      <c r="B52" s="5">
        <v>21</v>
      </c>
      <c r="C52" s="5">
        <v>157</v>
      </c>
    </row>
    <row r="53" spans="1:3" x14ac:dyDescent="0.2">
      <c r="A53" s="5" t="s">
        <v>196</v>
      </c>
      <c r="B53" s="5">
        <v>22</v>
      </c>
      <c r="C53" s="5">
        <v>161</v>
      </c>
    </row>
    <row r="54" spans="1:3" x14ac:dyDescent="0.2">
      <c r="A54" s="5" t="s">
        <v>196</v>
      </c>
      <c r="B54" s="5">
        <v>23</v>
      </c>
      <c r="C54" s="5">
        <v>155</v>
      </c>
    </row>
    <row r="55" spans="1:3" x14ac:dyDescent="0.2">
      <c r="A55" s="5" t="s">
        <v>196</v>
      </c>
      <c r="B55" s="5">
        <v>24</v>
      </c>
      <c r="C55" s="5">
        <v>150</v>
      </c>
    </row>
    <row r="56" spans="1:3" x14ac:dyDescent="0.2">
      <c r="A56" s="5" t="s">
        <v>196</v>
      </c>
      <c r="B56" s="5">
        <v>25</v>
      </c>
    </row>
    <row r="57" spans="1:3" x14ac:dyDescent="0.2">
      <c r="A57" s="5" t="s">
        <v>196</v>
      </c>
      <c r="B57" s="5">
        <v>26</v>
      </c>
      <c r="C57" s="5">
        <v>142</v>
      </c>
    </row>
    <row r="58" spans="1:3" x14ac:dyDescent="0.2">
      <c r="A58" s="5" t="s">
        <v>196</v>
      </c>
      <c r="B58" s="5">
        <v>27</v>
      </c>
      <c r="C58" s="5">
        <v>145</v>
      </c>
    </row>
    <row r="59" spans="1:3" x14ac:dyDescent="0.2">
      <c r="A59" s="5" t="s">
        <v>196</v>
      </c>
      <c r="B59" s="5">
        <v>28</v>
      </c>
      <c r="C59" s="5">
        <v>143</v>
      </c>
    </row>
    <row r="60" spans="1:3" x14ac:dyDescent="0.2">
      <c r="A60" s="5" t="s">
        <v>253</v>
      </c>
      <c r="B60" s="5">
        <v>1</v>
      </c>
      <c r="C60" s="5">
        <v>140</v>
      </c>
    </row>
    <row r="61" spans="1:3" x14ac:dyDescent="0.2">
      <c r="A61" s="5" t="s">
        <v>253</v>
      </c>
      <c r="B61" s="5">
        <v>2</v>
      </c>
      <c r="C61" s="5">
        <v>145</v>
      </c>
    </row>
    <row r="62" spans="1:3" x14ac:dyDescent="0.2">
      <c r="A62" s="5" t="s">
        <v>253</v>
      </c>
      <c r="B62" s="5">
        <v>3</v>
      </c>
      <c r="C62" s="5">
        <v>150</v>
      </c>
    </row>
    <row r="63" spans="1:3" x14ac:dyDescent="0.2">
      <c r="A63" s="5" t="s">
        <v>253</v>
      </c>
      <c r="B63" s="5">
        <v>4</v>
      </c>
    </row>
    <row r="64" spans="1:3" x14ac:dyDescent="0.2">
      <c r="A64" s="5" t="s">
        <v>253</v>
      </c>
      <c r="B64" s="5">
        <v>5</v>
      </c>
      <c r="C64" s="5">
        <v>146</v>
      </c>
    </row>
    <row r="65" spans="1:5" x14ac:dyDescent="0.2">
      <c r="A65" s="5" t="s">
        <v>253</v>
      </c>
      <c r="B65" s="5">
        <v>6</v>
      </c>
      <c r="C65" s="5">
        <v>143</v>
      </c>
    </row>
    <row r="66" spans="1:5" x14ac:dyDescent="0.2">
      <c r="A66" s="5" t="s">
        <v>253</v>
      </c>
      <c r="B66" s="5">
        <v>7</v>
      </c>
      <c r="C66" s="5">
        <v>146</v>
      </c>
    </row>
    <row r="67" spans="1:5" x14ac:dyDescent="0.2">
      <c r="A67" s="5" t="s">
        <v>253</v>
      </c>
      <c r="B67" s="5">
        <v>8</v>
      </c>
      <c r="C67" s="5">
        <v>146</v>
      </c>
    </row>
    <row r="68" spans="1:5" x14ac:dyDescent="0.2">
      <c r="C68" s="10">
        <f>AVERAGE(C3:C67)</f>
        <v>146.51785714285714</v>
      </c>
      <c r="D68" s="5">
        <f>C68*2.4</f>
        <v>351.64285714285711</v>
      </c>
      <c r="E68" s="5">
        <f>D68/10</f>
        <v>35.164285714285711</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85" zoomScaleNormal="85" zoomScalePageLayoutView="85" workbookViewId="0">
      <pane ySplit="2" topLeftCell="A3" activePane="bottomLeft" state="frozen"/>
      <selection activeCell="G11" sqref="G11"/>
      <selection pane="bottomLeft" activeCell="G11" sqref="G11"/>
    </sheetView>
  </sheetViews>
  <sheetFormatPr baseColWidth="10" defaultColWidth="8.83203125" defaultRowHeight="15" x14ac:dyDescent="0.2"/>
  <cols>
    <col min="1" max="16384" width="8.83203125" style="5"/>
  </cols>
  <sheetData>
    <row r="1" spans="1:15" s="10" customFormat="1" x14ac:dyDescent="0.2">
      <c r="F1" s="180" t="s">
        <v>1025</v>
      </c>
      <c r="G1" s="180"/>
      <c r="H1" s="180"/>
      <c r="I1" s="180"/>
      <c r="J1" s="180" t="s">
        <v>1026</v>
      </c>
      <c r="K1" s="180"/>
      <c r="L1" s="180"/>
      <c r="M1" s="180"/>
    </row>
    <row r="2" spans="1:15" s="10" customFormat="1" x14ac:dyDescent="0.2">
      <c r="A2" s="10" t="s">
        <v>171</v>
      </c>
      <c r="B2" s="10" t="s">
        <v>173</v>
      </c>
      <c r="C2" s="12" t="s">
        <v>174</v>
      </c>
      <c r="D2" s="10" t="s">
        <v>175</v>
      </c>
      <c r="E2" s="10" t="s">
        <v>176</v>
      </c>
      <c r="F2" s="10" t="s">
        <v>87</v>
      </c>
      <c r="G2" s="10" t="s">
        <v>177</v>
      </c>
      <c r="H2" s="10" t="s">
        <v>178</v>
      </c>
      <c r="I2" s="10" t="s">
        <v>182</v>
      </c>
      <c r="J2" s="10" t="s">
        <v>87</v>
      </c>
      <c r="K2" s="10" t="s">
        <v>177</v>
      </c>
      <c r="L2" s="10" t="s">
        <v>178</v>
      </c>
      <c r="M2" s="10" t="s">
        <v>182</v>
      </c>
      <c r="N2" s="10" t="s">
        <v>1027</v>
      </c>
      <c r="O2" s="10" t="s">
        <v>929</v>
      </c>
    </row>
    <row r="3" spans="1:15" x14ac:dyDescent="0.2">
      <c r="A3" s="5">
        <v>1818</v>
      </c>
      <c r="B3" s="5" t="s">
        <v>187</v>
      </c>
      <c r="C3" s="5">
        <v>1</v>
      </c>
      <c r="D3" s="5" t="s">
        <v>188</v>
      </c>
      <c r="E3" s="5" t="s">
        <v>189</v>
      </c>
      <c r="F3" s="5">
        <v>17</v>
      </c>
      <c r="G3" s="5">
        <v>2</v>
      </c>
      <c r="H3" s="5">
        <v>0.5</v>
      </c>
      <c r="I3" s="5">
        <f>((F3+(G3/8)+(H3/48))/C3)*2.4</f>
        <v>41.425000000000004</v>
      </c>
      <c r="J3" s="5">
        <v>17</v>
      </c>
      <c r="K3" s="5">
        <v>2</v>
      </c>
      <c r="L3" s="5">
        <v>5.5</v>
      </c>
      <c r="M3" s="5">
        <f>((J3+(K3/8)+(L3/48))/C3)*2.4</f>
        <v>41.674999999999997</v>
      </c>
      <c r="N3" s="5" t="s">
        <v>1028</v>
      </c>
      <c r="O3" s="5" t="s">
        <v>1029</v>
      </c>
    </row>
    <row r="4" spans="1:15" x14ac:dyDescent="0.2">
      <c r="A4" s="5">
        <v>1819</v>
      </c>
      <c r="B4" s="5" t="s">
        <v>187</v>
      </c>
      <c r="C4" s="5">
        <v>1</v>
      </c>
      <c r="D4" s="5" t="s">
        <v>188</v>
      </c>
      <c r="E4" s="5" t="s">
        <v>189</v>
      </c>
      <c r="F4" s="5">
        <v>17</v>
      </c>
      <c r="G4" s="5">
        <v>1</v>
      </c>
      <c r="H4" s="5">
        <v>4</v>
      </c>
      <c r="I4" s="5">
        <f t="shared" ref="I4:I16" si="0">((F4+(G4/8)+(H4/48))/C4)*2.4</f>
        <v>41.3</v>
      </c>
      <c r="J4" s="5">
        <v>17</v>
      </c>
      <c r="K4" s="5">
        <v>5</v>
      </c>
      <c r="L4" s="5">
        <v>4</v>
      </c>
      <c r="M4" s="5">
        <f t="shared" ref="M4:M16" si="1">((J4+(K4/8)+(L4/48))/C4)*2.4</f>
        <v>42.499999999999993</v>
      </c>
      <c r="N4" s="5" t="s">
        <v>1028</v>
      </c>
    </row>
    <row r="5" spans="1:15" x14ac:dyDescent="0.2">
      <c r="A5" s="5">
        <v>1820</v>
      </c>
      <c r="B5" s="5" t="s">
        <v>187</v>
      </c>
      <c r="C5" s="5">
        <v>1</v>
      </c>
      <c r="D5" s="5" t="s">
        <v>188</v>
      </c>
      <c r="E5" s="5" t="s">
        <v>189</v>
      </c>
      <c r="F5" s="5">
        <v>7</v>
      </c>
      <c r="G5" s="5">
        <v>7</v>
      </c>
      <c r="H5" s="5">
        <v>0.5</v>
      </c>
      <c r="I5" s="5">
        <f t="shared" si="0"/>
        <v>18.925000000000001</v>
      </c>
      <c r="J5" s="5">
        <v>8</v>
      </c>
      <c r="K5" s="5">
        <v>5</v>
      </c>
      <c r="L5" s="5">
        <v>5</v>
      </c>
      <c r="M5" s="5">
        <f t="shared" si="1"/>
        <v>20.95</v>
      </c>
      <c r="N5" s="5" t="s">
        <v>1028</v>
      </c>
    </row>
    <row r="6" spans="1:15" x14ac:dyDescent="0.2">
      <c r="A6" s="5">
        <v>1821</v>
      </c>
      <c r="B6" s="5" t="s">
        <v>187</v>
      </c>
      <c r="C6" s="5">
        <v>1</v>
      </c>
      <c r="D6" s="5" t="s">
        <v>188</v>
      </c>
      <c r="E6" s="5" t="s">
        <v>189</v>
      </c>
      <c r="F6" s="5">
        <v>19</v>
      </c>
      <c r="G6" s="5">
        <v>2</v>
      </c>
      <c r="H6" s="5">
        <v>2</v>
      </c>
      <c r="I6" s="5">
        <f t="shared" si="0"/>
        <v>46.300000000000004</v>
      </c>
      <c r="J6" s="5">
        <v>20</v>
      </c>
      <c r="K6" s="5">
        <v>0</v>
      </c>
      <c r="L6" s="5">
        <v>2</v>
      </c>
      <c r="M6" s="5">
        <f t="shared" si="1"/>
        <v>48.1</v>
      </c>
      <c r="N6" s="5" t="s">
        <v>1028</v>
      </c>
    </row>
    <row r="7" spans="1:15" x14ac:dyDescent="0.2">
      <c r="A7" s="5">
        <v>1822</v>
      </c>
      <c r="B7" s="5" t="s">
        <v>187</v>
      </c>
      <c r="C7" s="5">
        <v>1</v>
      </c>
      <c r="D7" s="5" t="s">
        <v>188</v>
      </c>
      <c r="E7" s="5" t="s">
        <v>189</v>
      </c>
      <c r="F7" s="5">
        <v>29</v>
      </c>
      <c r="G7" s="5">
        <v>1</v>
      </c>
      <c r="H7" s="5">
        <v>3</v>
      </c>
      <c r="I7" s="5">
        <f t="shared" si="0"/>
        <v>70.05</v>
      </c>
      <c r="J7" s="5">
        <v>23</v>
      </c>
      <c r="K7" s="5">
        <v>4</v>
      </c>
      <c r="L7" s="5">
        <v>4</v>
      </c>
      <c r="M7" s="5">
        <f t="shared" si="1"/>
        <v>56.599999999999994</v>
      </c>
      <c r="N7" s="5" t="s">
        <v>1028</v>
      </c>
    </row>
    <row r="8" spans="1:15" x14ac:dyDescent="0.2">
      <c r="A8" s="5">
        <v>1823</v>
      </c>
      <c r="B8" s="5" t="s">
        <v>187</v>
      </c>
      <c r="C8" s="5">
        <v>1</v>
      </c>
      <c r="D8" s="5" t="s">
        <v>188</v>
      </c>
      <c r="E8" s="5" t="s">
        <v>189</v>
      </c>
      <c r="F8" s="5">
        <v>9</v>
      </c>
      <c r="G8" s="5">
        <v>2</v>
      </c>
      <c r="H8" s="5">
        <v>0.5</v>
      </c>
      <c r="I8" s="5">
        <f t="shared" si="0"/>
        <v>22.224999999999998</v>
      </c>
      <c r="J8" s="5">
        <v>11</v>
      </c>
      <c r="K8" s="5">
        <v>3</v>
      </c>
      <c r="L8" s="5">
        <v>1</v>
      </c>
      <c r="M8" s="5">
        <f t="shared" si="1"/>
        <v>27.35</v>
      </c>
      <c r="N8" s="5" t="s">
        <v>1028</v>
      </c>
    </row>
    <row r="9" spans="1:15" x14ac:dyDescent="0.2">
      <c r="A9" s="5">
        <v>1824</v>
      </c>
      <c r="B9" s="5" t="s">
        <v>187</v>
      </c>
      <c r="C9" s="5">
        <v>1</v>
      </c>
      <c r="D9" s="5" t="s">
        <v>188</v>
      </c>
      <c r="E9" s="5" t="s">
        <v>189</v>
      </c>
      <c r="F9" s="5">
        <v>11</v>
      </c>
      <c r="G9" s="5">
        <v>4</v>
      </c>
      <c r="H9" s="5">
        <v>4</v>
      </c>
      <c r="I9" s="5">
        <f t="shared" si="0"/>
        <v>27.8</v>
      </c>
      <c r="J9" s="5">
        <v>13</v>
      </c>
      <c r="K9" s="5">
        <v>6</v>
      </c>
      <c r="L9" s="5">
        <v>0</v>
      </c>
      <c r="M9" s="5">
        <f t="shared" si="1"/>
        <v>33</v>
      </c>
      <c r="N9" s="5" t="s">
        <v>1028</v>
      </c>
    </row>
    <row r="10" spans="1:15" x14ac:dyDescent="0.2">
      <c r="A10" s="5">
        <v>1825</v>
      </c>
      <c r="B10" s="5" t="s">
        <v>187</v>
      </c>
      <c r="C10" s="5">
        <v>1</v>
      </c>
      <c r="D10" s="5" t="s">
        <v>188</v>
      </c>
      <c r="E10" s="5" t="s">
        <v>189</v>
      </c>
      <c r="F10" s="5">
        <v>10</v>
      </c>
      <c r="G10" s="5">
        <v>7</v>
      </c>
      <c r="H10" s="5">
        <v>4</v>
      </c>
      <c r="I10" s="5">
        <f t="shared" si="0"/>
        <v>26.3</v>
      </c>
      <c r="J10" s="5">
        <v>12</v>
      </c>
      <c r="K10" s="5">
        <v>2</v>
      </c>
      <c r="L10" s="5">
        <v>4</v>
      </c>
      <c r="M10" s="5">
        <f t="shared" si="1"/>
        <v>29.6</v>
      </c>
      <c r="N10" s="5" t="s">
        <v>1028</v>
      </c>
    </row>
    <row r="11" spans="1:15" x14ac:dyDescent="0.2">
      <c r="A11" s="5">
        <v>1826</v>
      </c>
      <c r="B11" s="5" t="s">
        <v>187</v>
      </c>
      <c r="C11" s="5">
        <v>1</v>
      </c>
      <c r="D11" s="5" t="s">
        <v>188</v>
      </c>
      <c r="E11" s="5" t="s">
        <v>189</v>
      </c>
      <c r="J11" s="5">
        <v>21</v>
      </c>
      <c r="K11" s="5">
        <v>7</v>
      </c>
      <c r="L11" s="5">
        <v>5</v>
      </c>
      <c r="M11" s="5">
        <f t="shared" si="1"/>
        <v>52.75</v>
      </c>
      <c r="N11" s="5" t="s">
        <v>1028</v>
      </c>
    </row>
    <row r="12" spans="1:15" x14ac:dyDescent="0.2">
      <c r="A12" s="5">
        <v>1819</v>
      </c>
      <c r="B12" s="5" t="s">
        <v>187</v>
      </c>
      <c r="C12" s="5">
        <v>1</v>
      </c>
      <c r="D12" s="5" t="s">
        <v>188</v>
      </c>
      <c r="E12" s="5" t="s">
        <v>839</v>
      </c>
      <c r="F12" s="5">
        <v>19</v>
      </c>
      <c r="G12" s="5">
        <v>0</v>
      </c>
      <c r="H12" s="5">
        <v>2</v>
      </c>
      <c r="I12" s="5">
        <f t="shared" si="0"/>
        <v>45.7</v>
      </c>
      <c r="J12" s="5">
        <v>18</v>
      </c>
      <c r="K12" s="5">
        <v>2</v>
      </c>
      <c r="L12" s="5">
        <v>3</v>
      </c>
      <c r="M12" s="5">
        <f t="shared" si="1"/>
        <v>43.949999999999996</v>
      </c>
      <c r="N12" s="5" t="s">
        <v>1028</v>
      </c>
    </row>
    <row r="13" spans="1:15" x14ac:dyDescent="0.2">
      <c r="A13" s="5">
        <v>1820</v>
      </c>
      <c r="B13" s="5" t="s">
        <v>187</v>
      </c>
      <c r="C13" s="5">
        <v>1</v>
      </c>
      <c r="D13" s="5" t="s">
        <v>188</v>
      </c>
      <c r="E13" s="5" t="s">
        <v>839</v>
      </c>
      <c r="J13" s="5">
        <v>9</v>
      </c>
      <c r="K13" s="5">
        <v>0</v>
      </c>
      <c r="L13" s="5">
        <v>2</v>
      </c>
      <c r="M13" s="5">
        <f t="shared" si="1"/>
        <v>21.7</v>
      </c>
      <c r="N13" s="5" t="s">
        <v>1028</v>
      </c>
    </row>
    <row r="14" spans="1:15" x14ac:dyDescent="0.2">
      <c r="A14" s="5">
        <v>1820</v>
      </c>
      <c r="B14" s="5" t="s">
        <v>187</v>
      </c>
      <c r="C14" s="5">
        <v>1</v>
      </c>
      <c r="D14" s="5" t="s">
        <v>188</v>
      </c>
      <c r="E14" s="5" t="s">
        <v>242</v>
      </c>
      <c r="F14" s="5">
        <v>3</v>
      </c>
      <c r="G14" s="5">
        <v>0</v>
      </c>
      <c r="H14" s="5">
        <v>0</v>
      </c>
      <c r="I14" s="5">
        <f t="shared" si="0"/>
        <v>7.1999999999999993</v>
      </c>
      <c r="J14" s="5">
        <v>4</v>
      </c>
      <c r="K14" s="5">
        <v>0</v>
      </c>
      <c r="L14" s="5">
        <v>2</v>
      </c>
      <c r="M14" s="5">
        <f t="shared" si="1"/>
        <v>9.7000000000000011</v>
      </c>
      <c r="N14" s="5" t="s">
        <v>1028</v>
      </c>
    </row>
    <row r="15" spans="1:15" x14ac:dyDescent="0.2">
      <c r="A15" s="5">
        <v>1821</v>
      </c>
      <c r="B15" s="5" t="s">
        <v>187</v>
      </c>
      <c r="C15" s="5">
        <v>1</v>
      </c>
      <c r="D15" s="5" t="s">
        <v>188</v>
      </c>
      <c r="E15" s="5" t="s">
        <v>242</v>
      </c>
      <c r="J15" s="5">
        <v>3</v>
      </c>
      <c r="K15" s="5">
        <v>5</v>
      </c>
      <c r="L15" s="5">
        <v>2</v>
      </c>
      <c r="M15" s="5">
        <f t="shared" si="1"/>
        <v>8.7999999999999989</v>
      </c>
      <c r="N15" s="5" t="s">
        <v>1028</v>
      </c>
    </row>
    <row r="16" spans="1:15" x14ac:dyDescent="0.2">
      <c r="A16" s="5">
        <v>1819</v>
      </c>
      <c r="B16" s="5" t="s">
        <v>187</v>
      </c>
      <c r="C16" s="5">
        <v>1</v>
      </c>
      <c r="D16" s="5" t="s">
        <v>188</v>
      </c>
      <c r="E16" s="5" t="s">
        <v>1030</v>
      </c>
      <c r="F16" s="5">
        <v>25</v>
      </c>
      <c r="G16" s="5">
        <v>5</v>
      </c>
      <c r="H16" s="5">
        <v>2</v>
      </c>
      <c r="I16" s="5">
        <f t="shared" si="0"/>
        <v>61.6</v>
      </c>
      <c r="J16" s="5">
        <v>20</v>
      </c>
      <c r="K16" s="5">
        <v>4</v>
      </c>
      <c r="L16" s="5">
        <v>2</v>
      </c>
      <c r="M16" s="5">
        <f t="shared" si="1"/>
        <v>49.300000000000004</v>
      </c>
      <c r="N16" s="5" t="s">
        <v>1028</v>
      </c>
    </row>
  </sheetData>
  <mergeCells count="2">
    <mergeCell ref="F1:I1"/>
    <mergeCell ref="J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275"/>
  <sheetViews>
    <sheetView tabSelected="1" zoomScale="120" zoomScaleNormal="120" zoomScalePageLayoutView="120" workbookViewId="0">
      <pane xSplit="5700" ySplit="3960" topLeftCell="AR202"/>
      <selection activeCell="A4" sqref="A4"/>
      <selection pane="topRight" activeCell="AX3" sqref="AX3"/>
      <selection pane="bottomLeft" activeCell="A269" sqref="A269:A273"/>
      <selection pane="bottomRight" activeCell="BA219" sqref="BA219"/>
    </sheetView>
  </sheetViews>
  <sheetFormatPr baseColWidth="10" defaultColWidth="8.83203125" defaultRowHeight="15" x14ac:dyDescent="0.2"/>
  <cols>
    <col min="1" max="1" width="8.83203125" style="9"/>
    <col min="2" max="4" width="8.83203125" style="50"/>
    <col min="5" max="5" width="8.83203125" style="67"/>
    <col min="6" max="6" width="8.83203125" style="50"/>
    <col min="7" max="7" width="8.83203125" style="5"/>
    <col min="8" max="8" width="9.1640625" style="5" customWidth="1"/>
    <col min="9" max="11" width="8.83203125" style="5"/>
    <col min="12" max="20" width="8.83203125" style="14"/>
    <col min="21" max="21" width="5" style="5" customWidth="1"/>
    <col min="22" max="23" width="8.83203125" style="14"/>
    <col min="24" max="24" width="8.6640625" style="5" customWidth="1"/>
    <col min="25" max="33" width="8.83203125" style="105"/>
    <col min="46" max="46" width="7.1640625" style="107" customWidth="1"/>
  </cols>
  <sheetData>
    <row r="1" spans="1:48" s="107" customFormat="1" x14ac:dyDescent="0.2">
      <c r="A1" s="124" t="s">
        <v>1087</v>
      </c>
      <c r="B1" s="50"/>
      <c r="C1" s="50"/>
      <c r="D1" s="50"/>
      <c r="E1" s="67"/>
      <c r="F1" s="50"/>
      <c r="G1" s="5"/>
      <c r="H1" s="5"/>
      <c r="I1" s="5"/>
      <c r="J1" s="5"/>
      <c r="K1" s="5"/>
      <c r="L1" s="14"/>
      <c r="M1" s="14"/>
      <c r="N1" s="14"/>
      <c r="O1" s="14"/>
      <c r="P1" s="14"/>
      <c r="Q1" s="14"/>
      <c r="R1" s="14"/>
      <c r="S1" s="14"/>
      <c r="T1" s="14"/>
      <c r="U1" s="5"/>
      <c r="V1" s="14"/>
      <c r="W1" s="14"/>
      <c r="X1" s="5"/>
      <c r="Y1" s="105"/>
      <c r="Z1" s="105"/>
      <c r="AA1" s="105"/>
      <c r="AB1" s="105"/>
      <c r="AC1" s="105"/>
      <c r="AD1" s="105"/>
      <c r="AE1" s="105"/>
      <c r="AF1" s="105"/>
      <c r="AG1" s="105"/>
    </row>
    <row r="2" spans="1:48" s="107" customFormat="1" x14ac:dyDescent="0.2">
      <c r="A2" s="107" t="s">
        <v>1088</v>
      </c>
      <c r="B2" s="50"/>
      <c r="C2" s="50"/>
      <c r="D2" s="50"/>
      <c r="E2" s="67"/>
      <c r="F2" s="50"/>
      <c r="G2" s="5"/>
      <c r="H2" s="5"/>
      <c r="I2" s="5"/>
      <c r="J2" s="5"/>
      <c r="K2" s="5"/>
      <c r="L2" s="14"/>
      <c r="M2" s="14"/>
      <c r="N2" s="14"/>
      <c r="O2" s="14"/>
      <c r="P2" s="14"/>
      <c r="Q2" s="14"/>
      <c r="R2" s="14"/>
      <c r="S2" s="14"/>
      <c r="T2" s="14"/>
      <c r="U2" s="5"/>
      <c r="V2" s="14"/>
      <c r="W2" s="14"/>
      <c r="X2" s="5"/>
      <c r="Y2" s="105"/>
      <c r="Z2" s="105"/>
      <c r="AA2" s="105"/>
      <c r="AB2" s="105"/>
      <c r="AC2" s="105"/>
      <c r="AD2" s="105"/>
      <c r="AE2" s="105"/>
      <c r="AF2" s="105"/>
      <c r="AG2" s="105"/>
    </row>
    <row r="3" spans="1:48" s="107" customFormat="1" ht="16" x14ac:dyDescent="0.2">
      <c r="B3" s="50"/>
      <c r="C3" s="50"/>
      <c r="D3" s="50"/>
      <c r="E3" s="67"/>
      <c r="F3" s="50"/>
      <c r="G3" s="5"/>
      <c r="H3" s="5"/>
      <c r="I3" s="5"/>
      <c r="J3" s="5"/>
      <c r="K3" s="5"/>
      <c r="L3" s="14"/>
      <c r="M3" s="14"/>
      <c r="N3" s="14"/>
      <c r="O3" s="14"/>
      <c r="P3" s="14"/>
      <c r="Q3" s="14"/>
      <c r="R3" s="14"/>
      <c r="S3" s="14"/>
      <c r="T3" s="14"/>
      <c r="U3" s="5"/>
      <c r="V3" s="14"/>
      <c r="W3" s="14"/>
      <c r="X3" s="163"/>
      <c r="Y3" s="124" t="s">
        <v>1087</v>
      </c>
      <c r="Z3" s="105"/>
      <c r="AA3" s="105"/>
      <c r="AB3" s="105"/>
      <c r="AC3" s="105"/>
      <c r="AD3" s="105"/>
      <c r="AE3" s="105"/>
      <c r="AF3" s="105"/>
      <c r="AG3" s="105"/>
      <c r="AV3" s="120" t="s">
        <v>1054</v>
      </c>
    </row>
    <row r="4" spans="1:48" s="107" customFormat="1" ht="19" x14ac:dyDescent="0.25">
      <c r="A4" s="9"/>
      <c r="B4" s="128" t="s">
        <v>1033</v>
      </c>
      <c r="C4" s="50"/>
      <c r="D4" s="50"/>
      <c r="E4" s="67"/>
      <c r="F4" s="50"/>
      <c r="G4" s="5"/>
      <c r="H4" s="5"/>
      <c r="I4" s="5"/>
      <c r="J4" s="5"/>
      <c r="K4" s="5"/>
      <c r="L4" s="136" t="s">
        <v>1036</v>
      </c>
      <c r="M4" s="14"/>
      <c r="N4" s="14"/>
      <c r="O4" s="14"/>
      <c r="P4" s="14"/>
      <c r="Q4" s="14"/>
      <c r="R4" s="14"/>
      <c r="S4" s="14"/>
      <c r="T4" s="14"/>
      <c r="U4" s="5"/>
      <c r="V4" s="14"/>
      <c r="W4" s="153" t="s">
        <v>948</v>
      </c>
      <c r="X4" s="163"/>
      <c r="Y4" s="129" t="s">
        <v>1034</v>
      </c>
      <c r="Z4" s="105"/>
      <c r="AA4" s="105"/>
      <c r="AB4" s="105"/>
      <c r="AC4" s="105"/>
      <c r="AD4" s="105"/>
      <c r="AE4" s="105"/>
      <c r="AF4" s="105"/>
      <c r="AG4" s="105"/>
      <c r="AI4" s="136" t="s">
        <v>1047</v>
      </c>
      <c r="AU4" s="154" t="s">
        <v>1050</v>
      </c>
      <c r="AV4" s="154" t="s">
        <v>1050</v>
      </c>
    </row>
    <row r="5" spans="1:48" s="107" customFormat="1" ht="16" x14ac:dyDescent="0.2">
      <c r="A5" s="9"/>
      <c r="B5" s="50"/>
      <c r="C5" s="50"/>
      <c r="D5" s="50"/>
      <c r="E5" s="67"/>
      <c r="F5" s="50"/>
      <c r="G5" s="5"/>
      <c r="H5" s="5"/>
      <c r="I5" s="5"/>
      <c r="J5" s="5"/>
      <c r="K5" s="5"/>
      <c r="L5" s="174" t="s">
        <v>1085</v>
      </c>
      <c r="M5" s="175"/>
      <c r="N5" s="175"/>
      <c r="O5" s="175"/>
      <c r="P5" s="175"/>
      <c r="Q5" s="175"/>
      <c r="R5" s="14"/>
      <c r="S5" s="14"/>
      <c r="T5" s="14"/>
      <c r="U5" s="5"/>
      <c r="V5" s="14"/>
      <c r="W5" s="153" t="s">
        <v>1048</v>
      </c>
      <c r="X5" s="163"/>
      <c r="Y5" s="105"/>
      <c r="Z5" s="105"/>
      <c r="AA5" s="105"/>
      <c r="AB5" s="105"/>
      <c r="AC5" s="105"/>
      <c r="AD5" s="105"/>
      <c r="AE5" s="105"/>
      <c r="AF5" s="105"/>
      <c r="AG5" s="105"/>
      <c r="AI5" s="174" t="s">
        <v>1085</v>
      </c>
      <c r="AJ5" s="175"/>
      <c r="AK5" s="175"/>
      <c r="AL5" s="175"/>
      <c r="AM5" s="175"/>
      <c r="AN5" s="175"/>
      <c r="AS5" s="153" t="s">
        <v>1049</v>
      </c>
      <c r="AT5" s="153"/>
      <c r="AU5" s="154" t="s">
        <v>1051</v>
      </c>
      <c r="AV5" s="154" t="s">
        <v>1051</v>
      </c>
    </row>
    <row r="6" spans="1:48" s="107" customFormat="1" ht="19" x14ac:dyDescent="0.25">
      <c r="A6" s="9"/>
      <c r="B6" s="50"/>
      <c r="C6" s="50"/>
      <c r="D6" s="50"/>
      <c r="E6" s="67"/>
      <c r="F6" s="50"/>
      <c r="G6" s="5"/>
      <c r="H6" s="5"/>
      <c r="I6" s="5"/>
      <c r="J6" s="5"/>
      <c r="K6" s="5"/>
      <c r="L6" s="137" t="s">
        <v>1035</v>
      </c>
      <c r="M6" s="14"/>
      <c r="N6" s="14"/>
      <c r="O6" s="14"/>
      <c r="P6" s="14"/>
      <c r="Q6" s="14"/>
      <c r="R6" s="14"/>
      <c r="S6" s="14"/>
      <c r="T6" s="14"/>
      <c r="U6" s="5"/>
      <c r="V6" s="131" t="s">
        <v>1037</v>
      </c>
      <c r="W6" s="144" t="s">
        <v>1038</v>
      </c>
      <c r="X6" s="164"/>
      <c r="Y6" s="105"/>
      <c r="Z6" s="105"/>
      <c r="AA6" s="105"/>
      <c r="AB6" s="105"/>
      <c r="AC6" s="105"/>
      <c r="AD6" s="105"/>
      <c r="AE6" s="105"/>
      <c r="AF6" s="105"/>
      <c r="AG6" s="105"/>
      <c r="AS6" s="144" t="s">
        <v>1038</v>
      </c>
      <c r="AT6" s="144"/>
      <c r="AU6" s="154" t="s">
        <v>1049</v>
      </c>
      <c r="AV6" s="154" t="s">
        <v>1049</v>
      </c>
    </row>
    <row r="7" spans="1:48" ht="19" x14ac:dyDescent="0.25">
      <c r="A7" s="124"/>
      <c r="B7" s="146" t="s">
        <v>39</v>
      </c>
      <c r="C7" s="146" t="s">
        <v>40</v>
      </c>
      <c r="D7" s="147" t="s">
        <v>41</v>
      </c>
      <c r="E7" s="148" t="s">
        <v>42</v>
      </c>
      <c r="F7" s="147" t="s">
        <v>43</v>
      </c>
      <c r="G7" s="149" t="s">
        <v>1039</v>
      </c>
      <c r="H7" s="149" t="s">
        <v>45</v>
      </c>
      <c r="I7" s="150" t="s">
        <v>46</v>
      </c>
      <c r="J7" s="130" t="s">
        <v>47</v>
      </c>
      <c r="K7" s="1"/>
      <c r="L7" s="139" t="s">
        <v>39</v>
      </c>
      <c r="M7" s="139" t="s">
        <v>40</v>
      </c>
      <c r="N7" s="139" t="s">
        <v>48</v>
      </c>
      <c r="O7" s="139" t="s">
        <v>42</v>
      </c>
      <c r="P7" s="139" t="s">
        <v>43</v>
      </c>
      <c r="Q7" s="139" t="s">
        <v>44</v>
      </c>
      <c r="R7" s="139" t="s">
        <v>45</v>
      </c>
      <c r="S7" s="139" t="s">
        <v>49</v>
      </c>
      <c r="T7" s="138" t="s">
        <v>47</v>
      </c>
      <c r="U7" s="110"/>
      <c r="V7" s="132" t="s">
        <v>50</v>
      </c>
      <c r="W7" s="144" t="s">
        <v>50</v>
      </c>
      <c r="X7" s="165"/>
      <c r="Y7" s="133" t="s">
        <v>39</v>
      </c>
      <c r="Z7" s="133" t="s">
        <v>40</v>
      </c>
      <c r="AA7" s="133" t="s">
        <v>41</v>
      </c>
      <c r="AB7" s="133" t="s">
        <v>42</v>
      </c>
      <c r="AC7" s="133" t="s">
        <v>43</v>
      </c>
      <c r="AD7" s="133" t="s">
        <v>1039</v>
      </c>
      <c r="AE7" s="133" t="s">
        <v>45</v>
      </c>
      <c r="AF7" s="133" t="s">
        <v>49</v>
      </c>
      <c r="AG7" s="106" t="s">
        <v>47</v>
      </c>
      <c r="AI7" s="133" t="s">
        <v>39</v>
      </c>
      <c r="AJ7" s="133" t="s">
        <v>40</v>
      </c>
      <c r="AK7" s="133" t="s">
        <v>41</v>
      </c>
      <c r="AL7" s="133" t="s">
        <v>42</v>
      </c>
      <c r="AM7" s="133" t="s">
        <v>43</v>
      </c>
      <c r="AN7" s="133" t="s">
        <v>1039</v>
      </c>
      <c r="AO7" s="133" t="s">
        <v>45</v>
      </c>
      <c r="AP7" s="133" t="s">
        <v>49</v>
      </c>
      <c r="AQ7" s="106" t="s">
        <v>47</v>
      </c>
      <c r="AS7" s="144" t="s">
        <v>50</v>
      </c>
      <c r="AT7" s="144"/>
      <c r="AU7" s="154" t="s">
        <v>1052</v>
      </c>
      <c r="AV7" s="154" t="s">
        <v>1052</v>
      </c>
    </row>
    <row r="8" spans="1:48" ht="16" x14ac:dyDescent="0.2">
      <c r="A8" s="124"/>
      <c r="B8" s="134" t="s">
        <v>51</v>
      </c>
      <c r="C8" s="134" t="s">
        <v>51</v>
      </c>
      <c r="D8" s="134" t="s">
        <v>51</v>
      </c>
      <c r="E8" s="134" t="s">
        <v>51</v>
      </c>
      <c r="F8" s="134" t="s">
        <v>51</v>
      </c>
      <c r="G8" s="135" t="s">
        <v>52</v>
      </c>
      <c r="H8" s="135" t="s">
        <v>51</v>
      </c>
      <c r="I8" s="135" t="s">
        <v>53</v>
      </c>
      <c r="J8" s="135" t="s">
        <v>54</v>
      </c>
      <c r="K8" s="4"/>
      <c r="L8" s="173">
        <v>193.5</v>
      </c>
      <c r="M8" s="140">
        <v>20</v>
      </c>
      <c r="N8" s="140">
        <v>5</v>
      </c>
      <c r="O8" s="140">
        <v>3</v>
      </c>
      <c r="P8" s="141">
        <v>1.3</v>
      </c>
      <c r="Q8" s="140">
        <v>3</v>
      </c>
      <c r="R8" s="142">
        <v>1.3</v>
      </c>
      <c r="S8" s="141">
        <v>1.3</v>
      </c>
      <c r="T8" s="143">
        <v>3</v>
      </c>
      <c r="U8" s="110"/>
      <c r="V8" s="131" t="s">
        <v>55</v>
      </c>
      <c r="W8" s="131" t="s">
        <v>55</v>
      </c>
      <c r="X8" s="164"/>
      <c r="Y8" s="134" t="s">
        <v>51</v>
      </c>
      <c r="Z8" s="134" t="s">
        <v>51</v>
      </c>
      <c r="AA8" s="134" t="s">
        <v>51</v>
      </c>
      <c r="AB8" s="134" t="s">
        <v>51</v>
      </c>
      <c r="AC8" s="134" t="s">
        <v>51</v>
      </c>
      <c r="AD8" s="135" t="s">
        <v>52</v>
      </c>
      <c r="AE8" s="135" t="s">
        <v>51</v>
      </c>
      <c r="AF8" s="135" t="s">
        <v>53</v>
      </c>
      <c r="AG8" s="135" t="s">
        <v>54</v>
      </c>
      <c r="AH8" s="110"/>
      <c r="AI8" s="173">
        <v>193.5</v>
      </c>
      <c r="AJ8" s="140">
        <v>20</v>
      </c>
      <c r="AK8" s="140">
        <v>5</v>
      </c>
      <c r="AL8" s="140">
        <v>3</v>
      </c>
      <c r="AM8" s="141">
        <v>1.3</v>
      </c>
      <c r="AN8" s="140">
        <v>3</v>
      </c>
      <c r="AO8" s="142">
        <v>1.3</v>
      </c>
      <c r="AP8" s="141">
        <v>1.3</v>
      </c>
      <c r="AQ8" s="143">
        <v>3</v>
      </c>
      <c r="AS8" s="131" t="s">
        <v>55</v>
      </c>
      <c r="AT8" s="131"/>
      <c r="AU8" s="154" t="s">
        <v>1053</v>
      </c>
      <c r="AV8" s="154" t="s">
        <v>1053</v>
      </c>
    </row>
    <row r="9" spans="1:48" x14ac:dyDescent="0.2">
      <c r="A9" s="155">
        <v>1653</v>
      </c>
      <c r="B9" s="43">
        <v>0.78469080815789616</v>
      </c>
      <c r="C9" s="56">
        <v>0.38715507892517165</v>
      </c>
      <c r="D9" s="82">
        <v>4.761133603238866</v>
      </c>
      <c r="E9" s="82">
        <v>7.9352226720647776</v>
      </c>
      <c r="F9" s="80">
        <v>7.9352226720647776</v>
      </c>
      <c r="G9" s="40">
        <v>5.8872229794537843</v>
      </c>
      <c r="H9" s="8">
        <v>10.453333333333333</v>
      </c>
      <c r="I9" s="40">
        <v>0.79827466666666669</v>
      </c>
      <c r="J9" s="40">
        <v>1.8952779306549257</v>
      </c>
      <c r="K9" s="7"/>
      <c r="L9" s="14">
        <f t="shared" ref="L9:L72" si="0">B9*179</f>
        <v>140.45965466026342</v>
      </c>
      <c r="M9" s="14">
        <f t="shared" ref="M9:M72" si="1">C9*20</f>
        <v>7.7431015785034329</v>
      </c>
      <c r="N9" s="14">
        <f t="shared" ref="N9:N72" si="2">D9*5</f>
        <v>23.805668016194332</v>
      </c>
      <c r="O9" s="14">
        <f t="shared" ref="O9:O72" si="3">E9*3</f>
        <v>23.805668016194332</v>
      </c>
      <c r="P9" s="14">
        <f t="shared" ref="P9:P72" si="4">F9*1.3</f>
        <v>10.315789473684211</v>
      </c>
      <c r="Q9" s="14">
        <f t="shared" ref="Q9:Q72" si="5">G9*3</f>
        <v>17.661668938361352</v>
      </c>
      <c r="R9" s="14">
        <f t="shared" ref="R9:R72" si="6">H9*1.3</f>
        <v>13.589333333333334</v>
      </c>
      <c r="S9" s="14">
        <f t="shared" ref="S9:S72" si="7">I9*1.3</f>
        <v>1.0377570666666667</v>
      </c>
      <c r="T9" s="14">
        <f t="shared" ref="T9:T72" si="8">J9*3</f>
        <v>5.685833791964777</v>
      </c>
      <c r="U9" s="4"/>
      <c r="V9" s="14">
        <f>SUM(L9:T9)</f>
        <v>244.10447487516586</v>
      </c>
      <c r="W9" s="14">
        <f>V9-T9</f>
        <v>238.41864108320109</v>
      </c>
      <c r="X9" s="166"/>
      <c r="Y9" s="4">
        <v>0.81183940911371866</v>
      </c>
      <c r="Z9" s="4">
        <v>0.88005114345231894</v>
      </c>
      <c r="AA9" s="4">
        <v>3.1378625332250194</v>
      </c>
      <c r="AB9" s="4">
        <v>5.3547081558049259</v>
      </c>
      <c r="AC9" s="4">
        <v>5.9685746465147034</v>
      </c>
      <c r="AD9" s="4"/>
      <c r="AE9" s="4">
        <v>5.8909480632960651</v>
      </c>
      <c r="AF9" s="4">
        <v>9.2393562372327693</v>
      </c>
      <c r="AG9" s="151" t="s">
        <v>1046</v>
      </c>
      <c r="AH9" s="4"/>
      <c r="AI9" s="152">
        <f>Y9*AI$8</f>
        <v>157.09092566350455</v>
      </c>
      <c r="AJ9" s="152">
        <f t="shared" ref="AJ9:AP9" si="9">Z9*AJ$8</f>
        <v>17.601022869046378</v>
      </c>
      <c r="AK9" s="152">
        <f t="shared" si="9"/>
        <v>15.689312666125097</v>
      </c>
      <c r="AL9" s="152">
        <f t="shared" si="9"/>
        <v>16.064124467414779</v>
      </c>
      <c r="AM9" s="152">
        <f t="shared" si="9"/>
        <v>7.7591470404691147</v>
      </c>
      <c r="AN9" s="152"/>
      <c r="AO9" s="152">
        <f t="shared" si="9"/>
        <v>7.6582324822848848</v>
      </c>
      <c r="AP9" s="152">
        <f t="shared" si="9"/>
        <v>12.0111631084026</v>
      </c>
      <c r="AS9" s="107"/>
      <c r="AT9" s="155">
        <v>1653</v>
      </c>
      <c r="AU9" s="107"/>
    </row>
    <row r="10" spans="1:48" x14ac:dyDescent="0.2">
      <c r="A10" s="155">
        <v>1654</v>
      </c>
      <c r="B10" s="43">
        <v>0.78469080815789616</v>
      </c>
      <c r="C10" s="57">
        <v>0.53844223852496498</v>
      </c>
      <c r="D10" s="82">
        <v>4.761133603238866</v>
      </c>
      <c r="E10" s="82">
        <v>7.9352226720647776</v>
      </c>
      <c r="F10" s="80">
        <v>7.9352226720647776</v>
      </c>
      <c r="G10" s="40">
        <v>5.8872229794537843</v>
      </c>
      <c r="H10" s="8">
        <v>10.453333333333333</v>
      </c>
      <c r="I10" s="40">
        <v>0.79827466666666669</v>
      </c>
      <c r="J10" s="40">
        <v>1.8952779306549257</v>
      </c>
      <c r="K10" s="7"/>
      <c r="L10" s="14">
        <f t="shared" si="0"/>
        <v>140.45965466026342</v>
      </c>
      <c r="M10" s="14">
        <f t="shared" si="1"/>
        <v>10.7688447704993</v>
      </c>
      <c r="N10" s="14">
        <f t="shared" si="2"/>
        <v>23.805668016194332</v>
      </c>
      <c r="O10" s="14">
        <f t="shared" si="3"/>
        <v>23.805668016194332</v>
      </c>
      <c r="P10" s="14">
        <f t="shared" si="4"/>
        <v>10.315789473684211</v>
      </c>
      <c r="Q10" s="14">
        <f t="shared" si="5"/>
        <v>17.661668938361352</v>
      </c>
      <c r="R10" s="14">
        <f t="shared" si="6"/>
        <v>13.589333333333334</v>
      </c>
      <c r="S10" s="14">
        <f t="shared" si="7"/>
        <v>1.0377570666666667</v>
      </c>
      <c r="T10" s="14">
        <f t="shared" si="8"/>
        <v>5.685833791964777</v>
      </c>
      <c r="U10" s="4"/>
      <c r="V10" s="14">
        <f t="shared" ref="V10:V73" si="10">SUM(L10:T10)</f>
        <v>247.13021806716171</v>
      </c>
      <c r="W10" s="14">
        <f t="shared" ref="W10:W73" si="11">V10-T10</f>
        <v>241.44438427519694</v>
      </c>
      <c r="X10" s="166"/>
      <c r="Y10" s="4">
        <v>0.62203636059247236</v>
      </c>
      <c r="Z10" s="4">
        <v>0.36712633407011919</v>
      </c>
      <c r="AA10" s="4">
        <v>2.8329819407380499</v>
      </c>
      <c r="AB10" s="4">
        <v>5.4274597295182732</v>
      </c>
      <c r="AC10" s="4">
        <v>4.834777678832868</v>
      </c>
      <c r="AD10" s="4"/>
      <c r="AE10" s="4">
        <v>5.605806559777136</v>
      </c>
      <c r="AF10" s="4">
        <v>10.563283969899331</v>
      </c>
      <c r="AG10" s="4"/>
      <c r="AH10" s="4"/>
      <c r="AI10" s="152">
        <f t="shared" ref="AI10:AI73" si="12">Y10*AI$8</f>
        <v>120.3640357746434</v>
      </c>
      <c r="AJ10" s="152">
        <f t="shared" ref="AJ10:AJ73" si="13">Z10*AJ$8</f>
        <v>7.3425266814023837</v>
      </c>
      <c r="AK10" s="152">
        <f t="shared" ref="AK10:AK73" si="14">AA10*AK$8</f>
        <v>14.164909703690249</v>
      </c>
      <c r="AL10" s="152">
        <f t="shared" ref="AL10:AL73" si="15">AB10*AL$8</f>
        <v>16.28237918855482</v>
      </c>
      <c r="AM10" s="152">
        <f t="shared" ref="AM10:AM73" si="16">AC10*AM$8</f>
        <v>6.2852109824827282</v>
      </c>
      <c r="AN10" s="152"/>
      <c r="AO10" s="152">
        <f t="shared" ref="AO10:AO73" si="17">AE10*AO$8</f>
        <v>7.2875485277102774</v>
      </c>
      <c r="AP10" s="152">
        <f t="shared" ref="AP10:AP73" si="18">AF10*AP$8</f>
        <v>13.73226916086913</v>
      </c>
      <c r="AS10" s="107"/>
      <c r="AT10" s="155">
        <v>1654</v>
      </c>
      <c r="AU10" s="107"/>
    </row>
    <row r="11" spans="1:48" x14ac:dyDescent="0.2">
      <c r="A11" s="155">
        <v>1655</v>
      </c>
      <c r="B11" s="43">
        <v>0.78469080815789616</v>
      </c>
      <c r="C11" s="57">
        <v>0.68972939812475831</v>
      </c>
      <c r="D11" s="82">
        <v>4.761133603238866</v>
      </c>
      <c r="E11" s="82">
        <v>7.9352226720647776</v>
      </c>
      <c r="F11" s="80">
        <v>7.9352226720647776</v>
      </c>
      <c r="G11" s="109">
        <v>5.8872229794537843</v>
      </c>
      <c r="H11" s="109">
        <v>10.453333333333333</v>
      </c>
      <c r="I11" s="99">
        <v>0.79827466666666669</v>
      </c>
      <c r="J11" s="40">
        <v>1.8952779306549257</v>
      </c>
      <c r="K11" s="7"/>
      <c r="L11" s="14">
        <f t="shared" si="0"/>
        <v>140.45965466026342</v>
      </c>
      <c r="M11" s="14">
        <f t="shared" si="1"/>
        <v>13.794587962495166</v>
      </c>
      <c r="N11" s="14">
        <f t="shared" si="2"/>
        <v>23.805668016194332</v>
      </c>
      <c r="O11" s="14">
        <f t="shared" si="3"/>
        <v>23.805668016194332</v>
      </c>
      <c r="P11" s="14">
        <f t="shared" si="4"/>
        <v>10.315789473684211</v>
      </c>
      <c r="Q11" s="14">
        <f t="shared" si="5"/>
        <v>17.661668938361352</v>
      </c>
      <c r="R11" s="14">
        <f t="shared" si="6"/>
        <v>13.589333333333334</v>
      </c>
      <c r="S11" s="14">
        <f t="shared" si="7"/>
        <v>1.0377570666666667</v>
      </c>
      <c r="T11" s="14">
        <f t="shared" si="8"/>
        <v>5.685833791964777</v>
      </c>
      <c r="U11" s="4"/>
      <c r="V11" s="14">
        <f t="shared" si="10"/>
        <v>250.15596125915761</v>
      </c>
      <c r="W11" s="14">
        <f t="shared" si="11"/>
        <v>244.47012746719284</v>
      </c>
      <c r="X11" s="166"/>
      <c r="Y11" s="4">
        <v>0.6049407676788271</v>
      </c>
      <c r="Z11" s="4">
        <v>0.36712633407011919</v>
      </c>
      <c r="AA11" s="4">
        <v>2.6293741345631871</v>
      </c>
      <c r="AB11" s="4">
        <v>4.7993918071002213</v>
      </c>
      <c r="AC11" s="4">
        <v>5.4259779269912123</v>
      </c>
      <c r="AD11" s="4"/>
      <c r="AE11" s="4">
        <v>4.8793252712664339</v>
      </c>
      <c r="AF11" s="4">
        <v>10.808298426762667</v>
      </c>
      <c r="AG11" s="4"/>
      <c r="AH11" s="4"/>
      <c r="AI11" s="152">
        <f t="shared" si="12"/>
        <v>117.05603854585304</v>
      </c>
      <c r="AJ11" s="152">
        <f t="shared" si="13"/>
        <v>7.3425266814023837</v>
      </c>
      <c r="AK11" s="152">
        <f t="shared" si="14"/>
        <v>13.146870672815936</v>
      </c>
      <c r="AL11" s="152">
        <f t="shared" si="15"/>
        <v>14.398175421300664</v>
      </c>
      <c r="AM11" s="152">
        <f t="shared" si="16"/>
        <v>7.053771305088576</v>
      </c>
      <c r="AN11" s="152"/>
      <c r="AO11" s="152">
        <f t="shared" si="17"/>
        <v>6.3431228526463643</v>
      </c>
      <c r="AP11" s="152">
        <f t="shared" si="18"/>
        <v>14.050787954791467</v>
      </c>
      <c r="AS11" s="107"/>
      <c r="AT11" s="155">
        <v>1655</v>
      </c>
      <c r="AU11" s="107"/>
    </row>
    <row r="12" spans="1:48" x14ac:dyDescent="0.2">
      <c r="A12" s="155">
        <v>1656</v>
      </c>
      <c r="B12" s="43">
        <v>0.78469080815789616</v>
      </c>
      <c r="C12" s="57">
        <v>0.84101655772455164</v>
      </c>
      <c r="D12" s="56">
        <v>4.761133603238866</v>
      </c>
      <c r="E12" s="56">
        <v>7.9352226720647776</v>
      </c>
      <c r="F12" s="80">
        <v>7.9352226720647776</v>
      </c>
      <c r="G12" s="55">
        <f>G11+($G$14-$G$11)/3</f>
        <v>5.8853906660459243</v>
      </c>
      <c r="H12" s="109">
        <v>8.6631999999999998</v>
      </c>
      <c r="I12" s="99">
        <v>0.64002687999999996</v>
      </c>
      <c r="J12" s="40">
        <v>1.8952779306549257</v>
      </c>
      <c r="K12" s="7"/>
      <c r="L12" s="14">
        <f t="shared" si="0"/>
        <v>140.45965466026342</v>
      </c>
      <c r="M12" s="14">
        <f t="shared" si="1"/>
        <v>16.820331154491033</v>
      </c>
      <c r="N12" s="14">
        <f t="shared" si="2"/>
        <v>23.805668016194332</v>
      </c>
      <c r="O12" s="14">
        <f t="shared" si="3"/>
        <v>23.805668016194332</v>
      </c>
      <c r="P12" s="14">
        <f t="shared" si="4"/>
        <v>10.315789473684211</v>
      </c>
      <c r="Q12" s="14">
        <f t="shared" si="5"/>
        <v>17.656171998137772</v>
      </c>
      <c r="R12" s="14">
        <f t="shared" si="6"/>
        <v>11.26216</v>
      </c>
      <c r="S12" s="14">
        <f t="shared" si="7"/>
        <v>0.832034944</v>
      </c>
      <c r="T12" s="14">
        <f t="shared" si="8"/>
        <v>5.685833791964777</v>
      </c>
      <c r="U12" s="4"/>
      <c r="V12" s="14">
        <f t="shared" si="10"/>
        <v>250.64331205492985</v>
      </c>
      <c r="W12" s="14">
        <f t="shared" si="11"/>
        <v>244.95747826296508</v>
      </c>
      <c r="X12" s="166"/>
      <c r="Y12" s="4">
        <v>0.92948581725184176</v>
      </c>
      <c r="Z12" s="4">
        <v>0.49235550334630857</v>
      </c>
      <c r="AA12" s="4">
        <v>2.6376011432562692</v>
      </c>
      <c r="AB12" s="4">
        <v>5.6468349538217844</v>
      </c>
      <c r="AC12" s="4">
        <v>5.3227449919859451</v>
      </c>
      <c r="AD12" s="4"/>
      <c r="AE12" s="4">
        <v>4.6393484968632341</v>
      </c>
      <c r="AF12" s="4">
        <v>6.9730952775780688</v>
      </c>
      <c r="AG12" s="4"/>
      <c r="AH12" s="4"/>
      <c r="AI12" s="152">
        <f t="shared" si="12"/>
        <v>179.85550563823139</v>
      </c>
      <c r="AJ12" s="152">
        <f t="shared" si="13"/>
        <v>9.847110066926172</v>
      </c>
      <c r="AK12" s="152">
        <f t="shared" si="14"/>
        <v>13.188005716281346</v>
      </c>
      <c r="AL12" s="152">
        <f t="shared" si="15"/>
        <v>16.940504861465353</v>
      </c>
      <c r="AM12" s="152">
        <f t="shared" si="16"/>
        <v>6.9195684895817289</v>
      </c>
      <c r="AN12" s="152"/>
      <c r="AO12" s="152">
        <f t="shared" si="17"/>
        <v>6.0311530459222045</v>
      </c>
      <c r="AP12" s="152">
        <f t="shared" si="18"/>
        <v>9.0650238608514897</v>
      </c>
      <c r="AS12" s="107"/>
      <c r="AT12" s="155">
        <v>1656</v>
      </c>
      <c r="AU12" s="107"/>
    </row>
    <row r="13" spans="1:48" x14ac:dyDescent="0.2">
      <c r="A13" s="155">
        <v>1657</v>
      </c>
      <c r="B13" s="43">
        <v>0.78469080815789616</v>
      </c>
      <c r="C13" s="57">
        <v>0.99230371732434497</v>
      </c>
      <c r="D13" s="56">
        <v>4.761133603238866</v>
      </c>
      <c r="E13" s="56">
        <v>7.9352226720647776</v>
      </c>
      <c r="F13" s="80">
        <v>7.9352226720647776</v>
      </c>
      <c r="G13" s="55">
        <f>G12+($G$14-$G$11)/3</f>
        <v>5.8835583526380644</v>
      </c>
      <c r="H13" s="55">
        <f>H12+($H$14-$H$12)/2</f>
        <v>12.485200000000001</v>
      </c>
      <c r="I13" s="113">
        <v>1.6333333333333333</v>
      </c>
      <c r="J13" s="40">
        <v>1.8952779306549257</v>
      </c>
      <c r="L13" s="14">
        <f t="shared" si="0"/>
        <v>140.45965466026342</v>
      </c>
      <c r="M13" s="14">
        <f t="shared" si="1"/>
        <v>19.846074346486901</v>
      </c>
      <c r="N13" s="14">
        <f t="shared" si="2"/>
        <v>23.805668016194332</v>
      </c>
      <c r="O13" s="14">
        <f t="shared" si="3"/>
        <v>23.805668016194332</v>
      </c>
      <c r="P13" s="14">
        <f t="shared" si="4"/>
        <v>10.315789473684211</v>
      </c>
      <c r="Q13" s="14">
        <f t="shared" si="5"/>
        <v>17.650675057914192</v>
      </c>
      <c r="R13" s="14">
        <f t="shared" si="6"/>
        <v>16.23076</v>
      </c>
      <c r="S13" s="14">
        <f t="shared" si="7"/>
        <v>2.1233333333333335</v>
      </c>
      <c r="T13" s="14">
        <f t="shared" si="8"/>
        <v>5.685833791964777</v>
      </c>
      <c r="U13" s="4"/>
      <c r="V13" s="14">
        <f t="shared" si="10"/>
        <v>259.92345669603549</v>
      </c>
      <c r="W13" s="14">
        <f t="shared" si="11"/>
        <v>254.23762290407072</v>
      </c>
      <c r="X13" s="166"/>
      <c r="Y13" s="4">
        <v>0.99040955408273557</v>
      </c>
      <c r="Z13" s="4">
        <v>0.45787674095576614</v>
      </c>
      <c r="AA13" s="4">
        <v>2.917309671549611</v>
      </c>
      <c r="AB13" s="4">
        <v>5.9175185846819467</v>
      </c>
      <c r="AC13" s="4">
        <v>5.362965817527658</v>
      </c>
      <c r="AD13" s="4"/>
      <c r="AE13" s="4">
        <v>5.0730384922254688</v>
      </c>
      <c r="AF13" s="4">
        <v>6.5372802295508912</v>
      </c>
      <c r="AG13" s="4"/>
      <c r="AH13" s="4"/>
      <c r="AI13" s="152">
        <f t="shared" si="12"/>
        <v>191.64424871500933</v>
      </c>
      <c r="AJ13" s="152">
        <f t="shared" si="13"/>
        <v>9.1575348191153232</v>
      </c>
      <c r="AK13" s="152">
        <f t="shared" si="14"/>
        <v>14.586548357748054</v>
      </c>
      <c r="AL13" s="152">
        <f t="shared" si="15"/>
        <v>17.75255575404584</v>
      </c>
      <c r="AM13" s="152">
        <f t="shared" si="16"/>
        <v>6.9718555627859553</v>
      </c>
      <c r="AN13" s="152"/>
      <c r="AO13" s="152">
        <f t="shared" si="17"/>
        <v>6.59495003989311</v>
      </c>
      <c r="AP13" s="152">
        <f t="shared" si="18"/>
        <v>8.4984642984161596</v>
      </c>
      <c r="AS13" s="107"/>
      <c r="AT13" s="155">
        <v>1657</v>
      </c>
      <c r="AU13" s="107"/>
    </row>
    <row r="14" spans="1:48" x14ac:dyDescent="0.2">
      <c r="A14" s="155">
        <v>1658</v>
      </c>
      <c r="B14" s="56">
        <v>0.78469080815789616</v>
      </c>
      <c r="C14" s="57">
        <v>1.1435908769241383</v>
      </c>
      <c r="D14" s="56">
        <v>3.57085020242915</v>
      </c>
      <c r="E14" s="57">
        <v>8.7287449392712553</v>
      </c>
      <c r="F14" s="80">
        <v>7.9352226720647776</v>
      </c>
      <c r="G14" s="109">
        <v>5.8817260392302035</v>
      </c>
      <c r="H14" s="109">
        <v>16.307200000000002</v>
      </c>
      <c r="I14" s="113">
        <v>0.81666666666666665</v>
      </c>
      <c r="J14" s="40">
        <v>1.8952779306549257</v>
      </c>
      <c r="L14" s="14">
        <f t="shared" si="0"/>
        <v>140.45965466026342</v>
      </c>
      <c r="M14" s="14">
        <f t="shared" si="1"/>
        <v>22.871817538482766</v>
      </c>
      <c r="N14" s="14">
        <f t="shared" si="2"/>
        <v>17.854251012145749</v>
      </c>
      <c r="O14" s="14">
        <f t="shared" si="3"/>
        <v>26.186234817813766</v>
      </c>
      <c r="P14" s="14">
        <f t="shared" si="4"/>
        <v>10.315789473684211</v>
      </c>
      <c r="Q14" s="14">
        <f t="shared" si="5"/>
        <v>17.645178117690612</v>
      </c>
      <c r="R14" s="14">
        <f t="shared" si="6"/>
        <v>21.199360000000002</v>
      </c>
      <c r="S14" s="14">
        <f t="shared" si="7"/>
        <v>1.0616666666666668</v>
      </c>
      <c r="T14" s="14">
        <f t="shared" si="8"/>
        <v>5.685833791964777</v>
      </c>
      <c r="U14" s="4"/>
      <c r="V14" s="14">
        <f t="shared" si="10"/>
        <v>263.27978607871199</v>
      </c>
      <c r="W14" s="14">
        <f t="shared" si="11"/>
        <v>257.5939522867472</v>
      </c>
      <c r="X14" s="166"/>
      <c r="Y14" s="4">
        <v>1.2563846480294696</v>
      </c>
      <c r="Z14" s="4">
        <v>0.60621822186946661</v>
      </c>
      <c r="AA14" s="4">
        <v>3.0229006369036475</v>
      </c>
      <c r="AB14" s="4">
        <v>6.2929074840583556</v>
      </c>
      <c r="AC14" s="4">
        <v>4.4017101955796356</v>
      </c>
      <c r="AD14" s="4"/>
      <c r="AE14" s="4">
        <v>5.3661888554944843</v>
      </c>
      <c r="AF14" s="4">
        <v>7.3217561612020221</v>
      </c>
      <c r="AG14" s="4"/>
      <c r="AH14" s="4"/>
      <c r="AI14" s="152">
        <f t="shared" si="12"/>
        <v>243.11042939370236</v>
      </c>
      <c r="AJ14" s="152">
        <f t="shared" si="13"/>
        <v>12.124364437389332</v>
      </c>
      <c r="AK14" s="152">
        <f t="shared" si="14"/>
        <v>15.114503184518238</v>
      </c>
      <c r="AL14" s="152">
        <f t="shared" si="15"/>
        <v>18.878722452175069</v>
      </c>
      <c r="AM14" s="152">
        <f t="shared" si="16"/>
        <v>5.7222232542535263</v>
      </c>
      <c r="AN14" s="152"/>
      <c r="AO14" s="152">
        <f t="shared" si="17"/>
        <v>6.9760455121428295</v>
      </c>
      <c r="AP14" s="152">
        <f t="shared" si="18"/>
        <v>9.5182830095626283</v>
      </c>
      <c r="AS14" s="107"/>
      <c r="AT14" s="155">
        <v>1658</v>
      </c>
      <c r="AU14" s="107"/>
    </row>
    <row r="15" spans="1:48" x14ac:dyDescent="0.2">
      <c r="A15" s="155">
        <v>1659</v>
      </c>
      <c r="B15" s="57">
        <v>0.71100037705397567</v>
      </c>
      <c r="C15" s="57">
        <v>1.2948780365239316</v>
      </c>
      <c r="D15" s="57">
        <v>4.1659919028340084</v>
      </c>
      <c r="E15" s="56">
        <v>9.5222672064777321</v>
      </c>
      <c r="F15" s="80">
        <v>7.9352226720647776</v>
      </c>
      <c r="G15" s="55">
        <f>G14+($G$16-$G$14)/2</f>
        <v>5.8844745093419935</v>
      </c>
      <c r="H15" s="109">
        <v>8.1536000000000008</v>
      </c>
      <c r="I15" s="113">
        <v>1.96</v>
      </c>
      <c r="J15" s="40">
        <v>1.8952779306549257</v>
      </c>
      <c r="L15" s="14">
        <f t="shared" si="0"/>
        <v>127.26906749266165</v>
      </c>
      <c r="M15" s="14">
        <f t="shared" si="1"/>
        <v>25.897560730478631</v>
      </c>
      <c r="N15" s="14">
        <f t="shared" si="2"/>
        <v>20.829959514170042</v>
      </c>
      <c r="O15" s="14">
        <f t="shared" si="3"/>
        <v>28.566801619433196</v>
      </c>
      <c r="P15" s="14">
        <f t="shared" si="4"/>
        <v>10.315789473684211</v>
      </c>
      <c r="Q15" s="14">
        <f t="shared" si="5"/>
        <v>17.653423528025982</v>
      </c>
      <c r="R15" s="14">
        <f t="shared" si="6"/>
        <v>10.599680000000001</v>
      </c>
      <c r="S15" s="14">
        <f t="shared" si="7"/>
        <v>2.548</v>
      </c>
      <c r="T15" s="14">
        <f t="shared" si="8"/>
        <v>5.685833791964777</v>
      </c>
      <c r="U15" s="4"/>
      <c r="V15" s="14">
        <f t="shared" si="10"/>
        <v>249.36611615041846</v>
      </c>
      <c r="W15" s="14">
        <f t="shared" si="11"/>
        <v>243.6802823584537</v>
      </c>
      <c r="X15" s="166"/>
      <c r="Y15" s="4">
        <v>1.3225507649282597</v>
      </c>
      <c r="Z15" s="4">
        <v>0.52332779318261224</v>
      </c>
      <c r="AA15" s="4">
        <v>3.3480927194356367</v>
      </c>
      <c r="AB15" s="4">
        <v>6.7004132461969306</v>
      </c>
      <c r="AC15" s="4">
        <v>4.3407803939460532</v>
      </c>
      <c r="AD15" s="4"/>
      <c r="AE15" s="4">
        <v>5.6400106072199092</v>
      </c>
      <c r="AF15" s="4">
        <v>6.9877821151772546</v>
      </c>
      <c r="AG15" s="4"/>
      <c r="AH15" s="4"/>
      <c r="AI15" s="152">
        <f t="shared" si="12"/>
        <v>255.91357301361825</v>
      </c>
      <c r="AJ15" s="152">
        <f t="shared" si="13"/>
        <v>10.466555863652244</v>
      </c>
      <c r="AK15" s="152">
        <f t="shared" si="14"/>
        <v>16.740463597178184</v>
      </c>
      <c r="AL15" s="152">
        <f t="shared" si="15"/>
        <v>20.101239738590792</v>
      </c>
      <c r="AM15" s="152">
        <f t="shared" si="16"/>
        <v>5.6430145121298692</v>
      </c>
      <c r="AN15" s="152"/>
      <c r="AO15" s="152">
        <f t="shared" si="17"/>
        <v>7.3320137893858819</v>
      </c>
      <c r="AP15" s="152">
        <f t="shared" si="18"/>
        <v>9.0841167497304305</v>
      </c>
      <c r="AS15" s="107"/>
      <c r="AT15" s="155">
        <v>1659</v>
      </c>
      <c r="AU15" s="107"/>
    </row>
    <row r="16" spans="1:48" x14ac:dyDescent="0.2">
      <c r="A16" s="155">
        <v>1660</v>
      </c>
      <c r="B16" s="56">
        <v>0.63730994595005519</v>
      </c>
      <c r="C16" s="57">
        <v>1.446165196123725</v>
      </c>
      <c r="D16" s="56">
        <v>4.761133603238866</v>
      </c>
      <c r="E16" s="57">
        <v>9.5222672064777321</v>
      </c>
      <c r="F16" s="80">
        <v>7.9352226720647776</v>
      </c>
      <c r="G16" s="109">
        <v>5.8872229794537843</v>
      </c>
      <c r="H16" s="55">
        <f>H15+($H$21-$H$15)/6</f>
        <v>8.8853333333333335</v>
      </c>
      <c r="I16" s="55">
        <f>I15+($I$21-$I$15)/6</f>
        <v>1.7971816</v>
      </c>
      <c r="J16" s="40">
        <v>1.8952779306549257</v>
      </c>
      <c r="L16" s="14">
        <f t="shared" si="0"/>
        <v>114.07848032505989</v>
      </c>
      <c r="M16" s="14">
        <f t="shared" si="1"/>
        <v>28.923303922474499</v>
      </c>
      <c r="N16" s="14">
        <f t="shared" si="2"/>
        <v>23.805668016194332</v>
      </c>
      <c r="O16" s="14">
        <f t="shared" si="3"/>
        <v>28.566801619433196</v>
      </c>
      <c r="P16" s="14">
        <f t="shared" si="4"/>
        <v>10.315789473684211</v>
      </c>
      <c r="Q16" s="14">
        <f t="shared" si="5"/>
        <v>17.661668938361352</v>
      </c>
      <c r="R16" s="14">
        <f t="shared" si="6"/>
        <v>11.550933333333335</v>
      </c>
      <c r="S16" s="14">
        <f t="shared" si="7"/>
        <v>2.3363360800000001</v>
      </c>
      <c r="T16" s="14">
        <f t="shared" si="8"/>
        <v>5.685833791964777</v>
      </c>
      <c r="U16" s="4"/>
      <c r="V16" s="14">
        <f t="shared" si="10"/>
        <v>242.92481550050556</v>
      </c>
      <c r="W16" s="14">
        <f t="shared" si="11"/>
        <v>237.23898170854079</v>
      </c>
      <c r="X16" s="166"/>
      <c r="Y16" s="4">
        <v>1.2087203881722544</v>
      </c>
      <c r="Z16" s="4">
        <v>0.54027540745062752</v>
      </c>
      <c r="AA16" s="4">
        <v>3.3603490288729025</v>
      </c>
      <c r="AB16" s="4">
        <v>5.9626869083274681</v>
      </c>
      <c r="AC16" s="4">
        <v>3.9345721484852532</v>
      </c>
      <c r="AD16" s="4"/>
      <c r="AE16" s="4">
        <v>5.6652722196529099</v>
      </c>
      <c r="AF16" s="4">
        <v>6.5648404998564569</v>
      </c>
      <c r="AG16" s="4"/>
      <c r="AH16" s="4"/>
      <c r="AI16" s="152">
        <f t="shared" si="12"/>
        <v>233.88739511133122</v>
      </c>
      <c r="AJ16" s="152">
        <f t="shared" si="13"/>
        <v>10.80550814901255</v>
      </c>
      <c r="AK16" s="152">
        <f t="shared" si="14"/>
        <v>16.801745144364514</v>
      </c>
      <c r="AL16" s="152">
        <f t="shared" si="15"/>
        <v>17.888060724982402</v>
      </c>
      <c r="AM16" s="152">
        <f t="shared" si="16"/>
        <v>5.1149437930308297</v>
      </c>
      <c r="AN16" s="152"/>
      <c r="AO16" s="152">
        <f t="shared" si="17"/>
        <v>7.3648538855487828</v>
      </c>
      <c r="AP16" s="152">
        <f t="shared" si="18"/>
        <v>8.5342926498133949</v>
      </c>
      <c r="AS16" s="107"/>
      <c r="AT16" s="155">
        <v>1660</v>
      </c>
      <c r="AU16" s="107"/>
    </row>
    <row r="17" spans="1:47" x14ac:dyDescent="0.2">
      <c r="A17" s="155">
        <v>1661</v>
      </c>
      <c r="B17" s="56">
        <v>0.58291317177443713</v>
      </c>
      <c r="C17" s="57">
        <v>1.5974523557235183</v>
      </c>
      <c r="D17" s="56">
        <v>4.761133603238866</v>
      </c>
      <c r="E17" s="56">
        <v>9.5222672064777321</v>
      </c>
      <c r="F17" s="80">
        <v>7.9352226720647776</v>
      </c>
      <c r="G17" s="55">
        <f>G16+($G$18-$G$16)/2</f>
        <v>4.3288404260689584</v>
      </c>
      <c r="H17" s="55">
        <f>H16+($H$21-$H$15)/6</f>
        <v>9.6170666666666662</v>
      </c>
      <c r="I17" s="55">
        <f>I16+($I$21-$I$15)/6</f>
        <v>1.6343632000000001</v>
      </c>
      <c r="J17" s="40">
        <v>1.8952779306549257</v>
      </c>
      <c r="L17" s="14">
        <f t="shared" si="0"/>
        <v>104.34145774762425</v>
      </c>
      <c r="M17" s="14">
        <f t="shared" si="1"/>
        <v>31.949047114470368</v>
      </c>
      <c r="N17" s="14">
        <f t="shared" si="2"/>
        <v>23.805668016194332</v>
      </c>
      <c r="O17" s="14">
        <f t="shared" si="3"/>
        <v>28.566801619433196</v>
      </c>
      <c r="P17" s="14">
        <f t="shared" si="4"/>
        <v>10.315789473684211</v>
      </c>
      <c r="Q17" s="14">
        <f t="shared" si="5"/>
        <v>12.986521278206876</v>
      </c>
      <c r="R17" s="14">
        <f t="shared" si="6"/>
        <v>12.502186666666667</v>
      </c>
      <c r="S17" s="14">
        <f t="shared" si="7"/>
        <v>2.1246721600000003</v>
      </c>
      <c r="T17" s="14">
        <f t="shared" si="8"/>
        <v>5.685833791964777</v>
      </c>
      <c r="U17" s="4"/>
      <c r="V17" s="14">
        <f t="shared" si="10"/>
        <v>232.27797786824465</v>
      </c>
      <c r="W17" s="14">
        <f t="shared" si="11"/>
        <v>226.59214407627988</v>
      </c>
      <c r="X17" s="166"/>
      <c r="Y17" s="4">
        <v>1.3803764745276836</v>
      </c>
      <c r="Z17" s="4">
        <v>0.35823995360523658</v>
      </c>
      <c r="AA17" s="4">
        <v>3.2156671448384002</v>
      </c>
      <c r="AB17" s="4">
        <v>5.8232888872250301</v>
      </c>
      <c r="AC17" s="4">
        <v>4.5252650327987807</v>
      </c>
      <c r="AD17" s="4"/>
      <c r="AE17" s="4">
        <v>6.3849709913281067</v>
      </c>
      <c r="AF17" s="4">
        <v>6.4615757482736029</v>
      </c>
      <c r="AG17" s="4"/>
      <c r="AH17" s="4"/>
      <c r="AI17" s="152">
        <f t="shared" si="12"/>
        <v>267.10284782110676</v>
      </c>
      <c r="AJ17" s="152">
        <f t="shared" si="13"/>
        <v>7.1647990721047314</v>
      </c>
      <c r="AK17" s="152">
        <f t="shared" si="14"/>
        <v>16.078335724192002</v>
      </c>
      <c r="AL17" s="152">
        <f t="shared" si="15"/>
        <v>17.469866661675091</v>
      </c>
      <c r="AM17" s="152">
        <f t="shared" si="16"/>
        <v>5.8828445426384155</v>
      </c>
      <c r="AN17" s="152"/>
      <c r="AO17" s="152">
        <f t="shared" si="17"/>
        <v>8.3004622887265391</v>
      </c>
      <c r="AP17" s="152">
        <f t="shared" si="18"/>
        <v>8.4000484727556834</v>
      </c>
      <c r="AS17" s="107"/>
      <c r="AT17" s="155">
        <v>1661</v>
      </c>
      <c r="AU17" s="107"/>
    </row>
    <row r="18" spans="1:47" x14ac:dyDescent="0.2">
      <c r="A18" s="155">
        <v>1662</v>
      </c>
      <c r="B18" s="56">
        <v>0.58291317177443713</v>
      </c>
      <c r="C18" s="56">
        <v>1.7487395153233112</v>
      </c>
      <c r="D18" s="56">
        <v>4.761133603238866</v>
      </c>
      <c r="E18" s="56">
        <v>9.5222672064777321</v>
      </c>
      <c r="F18" s="80">
        <v>7.9352226720647776</v>
      </c>
      <c r="G18" s="109">
        <v>2.7704578726841329</v>
      </c>
      <c r="H18" s="55">
        <f>H17+($H$21-$H$15)/6</f>
        <v>10.348799999999999</v>
      </c>
      <c r="I18" s="55">
        <f>I17+($I$21-$I$15)/6</f>
        <v>1.4715448000000002</v>
      </c>
      <c r="J18" s="40">
        <v>1.8952779306549257</v>
      </c>
      <c r="L18" s="14">
        <f t="shared" si="0"/>
        <v>104.34145774762425</v>
      </c>
      <c r="M18" s="14">
        <f t="shared" si="1"/>
        <v>34.974790306466225</v>
      </c>
      <c r="N18" s="14">
        <f t="shared" si="2"/>
        <v>23.805668016194332</v>
      </c>
      <c r="O18" s="14">
        <f t="shared" si="3"/>
        <v>28.566801619433196</v>
      </c>
      <c r="P18" s="14">
        <f t="shared" si="4"/>
        <v>10.315789473684211</v>
      </c>
      <c r="Q18" s="14">
        <f t="shared" si="5"/>
        <v>8.3113736180523983</v>
      </c>
      <c r="R18" s="14">
        <f t="shared" si="6"/>
        <v>13.453439999999999</v>
      </c>
      <c r="S18" s="14">
        <f t="shared" si="7"/>
        <v>1.9130082400000004</v>
      </c>
      <c r="T18" s="14">
        <f t="shared" si="8"/>
        <v>5.685833791964777</v>
      </c>
      <c r="U18" s="4"/>
      <c r="V18" s="14">
        <f t="shared" si="10"/>
        <v>231.36816281341936</v>
      </c>
      <c r="W18" s="14">
        <f t="shared" si="11"/>
        <v>225.68232902145459</v>
      </c>
      <c r="X18" s="166"/>
      <c r="Y18" s="4">
        <v>1.5002012557267868</v>
      </c>
      <c r="Z18" s="4">
        <v>0.5001980016546852</v>
      </c>
      <c r="AA18" s="4">
        <v>3.2371323030268151</v>
      </c>
      <c r="AB18" s="4">
        <v>5.6644069539897037</v>
      </c>
      <c r="AC18" s="4">
        <v>4.8833777690657163</v>
      </c>
      <c r="AD18" s="4"/>
      <c r="AE18" s="4">
        <v>6.045353414052669</v>
      </c>
      <c r="AF18" s="4">
        <v>6.5012873551594765</v>
      </c>
      <c r="AG18" s="4"/>
      <c r="AH18" s="4"/>
      <c r="AI18" s="152">
        <f t="shared" si="12"/>
        <v>290.28894298313321</v>
      </c>
      <c r="AJ18" s="152">
        <f t="shared" si="13"/>
        <v>10.003960033093705</v>
      </c>
      <c r="AK18" s="152">
        <f t="shared" si="14"/>
        <v>16.185661515134075</v>
      </c>
      <c r="AL18" s="152">
        <f t="shared" si="15"/>
        <v>16.99322086196911</v>
      </c>
      <c r="AM18" s="152">
        <f t="shared" si="16"/>
        <v>6.3483910997854318</v>
      </c>
      <c r="AN18" s="152"/>
      <c r="AO18" s="152">
        <f t="shared" si="17"/>
        <v>7.85895943826847</v>
      </c>
      <c r="AP18" s="152">
        <f t="shared" si="18"/>
        <v>8.4516735617073202</v>
      </c>
      <c r="AS18" s="107"/>
      <c r="AT18" s="155">
        <v>1662</v>
      </c>
      <c r="AU18" s="107"/>
    </row>
    <row r="19" spans="1:47" x14ac:dyDescent="0.2">
      <c r="A19" s="155">
        <v>1663</v>
      </c>
      <c r="B19" s="56">
        <v>0.58431104508804488</v>
      </c>
      <c r="C19" s="56">
        <v>1.7525747461579528</v>
      </c>
      <c r="D19" s="56">
        <v>4.761133603238866</v>
      </c>
      <c r="E19" s="56">
        <v>8.3167852945017628</v>
      </c>
      <c r="F19" s="80">
        <v>7.9352226720647776</v>
      </c>
      <c r="G19" s="109">
        <v>2.7704578726841329</v>
      </c>
      <c r="H19" s="55">
        <f>H18+($H$21-$H$15)/6</f>
        <v>11.080533333333332</v>
      </c>
      <c r="I19" s="55">
        <f>I18+($I$21-$I$15)/6</f>
        <v>1.3087264000000003</v>
      </c>
      <c r="J19" s="40">
        <v>1.8952779306549257</v>
      </c>
      <c r="L19" s="14">
        <f t="shared" si="0"/>
        <v>104.59167707076003</v>
      </c>
      <c r="M19" s="14">
        <f t="shared" si="1"/>
        <v>35.051494923159055</v>
      </c>
      <c r="N19" s="14">
        <f t="shared" si="2"/>
        <v>23.805668016194332</v>
      </c>
      <c r="O19" s="14">
        <f t="shared" si="3"/>
        <v>24.950355883505289</v>
      </c>
      <c r="P19" s="14">
        <f t="shared" si="4"/>
        <v>10.315789473684211</v>
      </c>
      <c r="Q19" s="14">
        <f t="shared" si="5"/>
        <v>8.3113736180523983</v>
      </c>
      <c r="R19" s="14">
        <f t="shared" si="6"/>
        <v>14.404693333333331</v>
      </c>
      <c r="S19" s="14">
        <f t="shared" si="7"/>
        <v>1.7013443200000005</v>
      </c>
      <c r="T19" s="14">
        <f t="shared" si="8"/>
        <v>5.685833791964777</v>
      </c>
      <c r="U19" s="4"/>
      <c r="V19" s="14">
        <f t="shared" si="10"/>
        <v>228.81823043065344</v>
      </c>
      <c r="W19" s="14">
        <f t="shared" si="11"/>
        <v>223.13239663868868</v>
      </c>
      <c r="X19" s="166"/>
      <c r="Y19" s="4">
        <v>1.1003631587013327</v>
      </c>
      <c r="Z19" s="4">
        <v>0.49526254868673947</v>
      </c>
      <c r="AA19" s="4">
        <v>3.2397651617012069</v>
      </c>
      <c r="AB19" s="4">
        <v>5.60209818259814</v>
      </c>
      <c r="AC19" s="4">
        <v>0</v>
      </c>
      <c r="AD19" s="4"/>
      <c r="AE19" s="4">
        <v>5.9535158620017672</v>
      </c>
      <c r="AF19" s="4">
        <v>6.1678061777794939</v>
      </c>
      <c r="AG19" s="4"/>
      <c r="AH19" s="4"/>
      <c r="AI19" s="152">
        <f t="shared" si="12"/>
        <v>212.92027120870787</v>
      </c>
      <c r="AJ19" s="152">
        <f t="shared" si="13"/>
        <v>9.9052509737347894</v>
      </c>
      <c r="AK19" s="152">
        <f t="shared" si="14"/>
        <v>16.198825808506033</v>
      </c>
      <c r="AL19" s="152">
        <f t="shared" si="15"/>
        <v>16.806294547794419</v>
      </c>
      <c r="AM19" s="152">
        <f t="shared" si="16"/>
        <v>0</v>
      </c>
      <c r="AN19" s="152"/>
      <c r="AO19" s="152">
        <f t="shared" si="17"/>
        <v>7.7395706206022972</v>
      </c>
      <c r="AP19" s="152">
        <f t="shared" si="18"/>
        <v>8.0181480311133431</v>
      </c>
      <c r="AS19" s="107"/>
      <c r="AT19" s="155">
        <v>1663</v>
      </c>
      <c r="AU19" s="107"/>
    </row>
    <row r="20" spans="1:47" x14ac:dyDescent="0.2">
      <c r="A20" s="155">
        <v>1664</v>
      </c>
      <c r="B20" s="57">
        <v>0.61093616335816769</v>
      </c>
      <c r="C20" s="57">
        <v>1.750657130740632</v>
      </c>
      <c r="D20" s="57">
        <v>4.761133603238866</v>
      </c>
      <c r="E20" s="57">
        <v>10.109809651299464</v>
      </c>
      <c r="F20" s="80">
        <v>7.9352226720647776</v>
      </c>
      <c r="G20" s="55">
        <f>G19+($G$21-$G$19)/2</f>
        <v>2.9968716871119185</v>
      </c>
      <c r="H20" s="55">
        <f>H19+($H$21-$H$15)/6</f>
        <v>11.812266666666664</v>
      </c>
      <c r="I20" s="55">
        <f>I19+($I$21-$I$15)/6</f>
        <v>1.1459080000000004</v>
      </c>
      <c r="J20" s="40">
        <v>1.8952779306549257</v>
      </c>
      <c r="L20" s="14">
        <f t="shared" si="0"/>
        <v>109.35757324111202</v>
      </c>
      <c r="M20" s="14">
        <f t="shared" si="1"/>
        <v>35.013142614812637</v>
      </c>
      <c r="N20" s="14">
        <f t="shared" si="2"/>
        <v>23.805668016194332</v>
      </c>
      <c r="O20" s="14">
        <f t="shared" si="3"/>
        <v>30.329428953898393</v>
      </c>
      <c r="P20" s="14">
        <f t="shared" si="4"/>
        <v>10.315789473684211</v>
      </c>
      <c r="Q20" s="14">
        <f t="shared" si="5"/>
        <v>8.9906150613357561</v>
      </c>
      <c r="R20" s="14">
        <f t="shared" si="6"/>
        <v>15.355946666666664</v>
      </c>
      <c r="S20" s="14">
        <f t="shared" si="7"/>
        <v>1.4896804000000006</v>
      </c>
      <c r="T20" s="14">
        <f t="shared" si="8"/>
        <v>5.685833791964777</v>
      </c>
      <c r="U20" s="4"/>
      <c r="V20" s="14">
        <f t="shared" si="10"/>
        <v>240.34367821966879</v>
      </c>
      <c r="W20" s="14">
        <f t="shared" si="11"/>
        <v>234.65784442770402</v>
      </c>
      <c r="X20" s="166"/>
      <c r="Y20" s="4">
        <v>1.0716679532795337</v>
      </c>
      <c r="Z20" s="4">
        <v>0.52606828481030443</v>
      </c>
      <c r="AA20" s="4">
        <v>3.28588442225954</v>
      </c>
      <c r="AB20" s="4">
        <v>5.8243779440705818</v>
      </c>
      <c r="AC20" s="4">
        <v>0</v>
      </c>
      <c r="AD20" s="4"/>
      <c r="AE20" s="4">
        <v>6.1336925748682631</v>
      </c>
      <c r="AF20" s="4">
        <v>5.8744545427414376</v>
      </c>
      <c r="AG20" s="4"/>
      <c r="AH20" s="4"/>
      <c r="AI20" s="152">
        <f t="shared" si="12"/>
        <v>207.36774895958976</v>
      </c>
      <c r="AJ20" s="152">
        <f t="shared" si="13"/>
        <v>10.52136569620609</v>
      </c>
      <c r="AK20" s="152">
        <f t="shared" si="14"/>
        <v>16.429422111297701</v>
      </c>
      <c r="AL20" s="152">
        <f t="shared" si="15"/>
        <v>17.473133832211744</v>
      </c>
      <c r="AM20" s="152">
        <f t="shared" si="16"/>
        <v>0</v>
      </c>
      <c r="AN20" s="152"/>
      <c r="AO20" s="152">
        <f t="shared" si="17"/>
        <v>7.9738003473287424</v>
      </c>
      <c r="AP20" s="152">
        <f t="shared" si="18"/>
        <v>7.6367909055638687</v>
      </c>
      <c r="AS20" s="107"/>
      <c r="AT20" s="155">
        <v>1664</v>
      </c>
      <c r="AU20" s="107"/>
    </row>
    <row r="21" spans="1:47" x14ac:dyDescent="0.2">
      <c r="A21" s="155">
        <v>1665</v>
      </c>
      <c r="B21" s="56">
        <v>0.63756128162829051</v>
      </c>
      <c r="C21" s="56">
        <v>1.7487395153233112</v>
      </c>
      <c r="D21" s="56">
        <v>4.761133603238866</v>
      </c>
      <c r="E21" s="56">
        <v>11.902834008097166</v>
      </c>
      <c r="F21" s="56">
        <v>7.9352226720647776</v>
      </c>
      <c r="G21" s="109">
        <v>3.2232855015397042</v>
      </c>
      <c r="H21" s="109">
        <v>12.544</v>
      </c>
      <c r="I21" s="99">
        <v>0.98308960000000012</v>
      </c>
      <c r="J21" s="109">
        <v>1.8952779306549257</v>
      </c>
      <c r="L21" s="14">
        <f t="shared" si="0"/>
        <v>114.123469411464</v>
      </c>
      <c r="M21" s="14">
        <f t="shared" si="1"/>
        <v>34.974790306466225</v>
      </c>
      <c r="N21" s="14">
        <f t="shared" si="2"/>
        <v>23.805668016194332</v>
      </c>
      <c r="O21" s="14">
        <f t="shared" si="3"/>
        <v>35.708502024291498</v>
      </c>
      <c r="P21" s="14">
        <f t="shared" si="4"/>
        <v>10.315789473684211</v>
      </c>
      <c r="Q21" s="14">
        <f t="shared" si="5"/>
        <v>9.6698565046191121</v>
      </c>
      <c r="R21" s="14">
        <f t="shared" si="6"/>
        <v>16.307200000000002</v>
      </c>
      <c r="S21" s="14">
        <f t="shared" si="7"/>
        <v>1.2780164800000002</v>
      </c>
      <c r="T21" s="14">
        <f t="shared" si="8"/>
        <v>5.685833791964777</v>
      </c>
      <c r="U21" s="4"/>
      <c r="V21" s="14">
        <f t="shared" si="10"/>
        <v>251.86912600868416</v>
      </c>
      <c r="W21" s="14">
        <f t="shared" si="11"/>
        <v>246.18329221671939</v>
      </c>
      <c r="X21" s="166"/>
      <c r="Y21" s="4">
        <v>0.92270497704823751</v>
      </c>
      <c r="Z21" s="4">
        <v>0.36010513242956599</v>
      </c>
      <c r="AA21" s="4">
        <v>3.4083348090063113</v>
      </c>
      <c r="AB21" s="4">
        <v>6.1826946443515727</v>
      </c>
      <c r="AC21" s="4">
        <v>4.1672199974910944</v>
      </c>
      <c r="AD21" s="4"/>
      <c r="AE21" s="4">
        <v>6.0577712155653503</v>
      </c>
      <c r="AF21" s="4">
        <v>6.098337615146761</v>
      </c>
      <c r="AG21" s="4"/>
      <c r="AH21" s="4"/>
      <c r="AI21" s="152">
        <f t="shared" si="12"/>
        <v>178.54341305883395</v>
      </c>
      <c r="AJ21" s="152">
        <f t="shared" si="13"/>
        <v>7.2021026485913193</v>
      </c>
      <c r="AK21" s="152">
        <f t="shared" si="14"/>
        <v>17.041674045031556</v>
      </c>
      <c r="AL21" s="152">
        <f t="shared" si="15"/>
        <v>18.54808393305472</v>
      </c>
      <c r="AM21" s="152">
        <f t="shared" si="16"/>
        <v>5.4173859967384228</v>
      </c>
      <c r="AN21" s="152"/>
      <c r="AO21" s="152">
        <f t="shared" si="17"/>
        <v>7.8751025802349552</v>
      </c>
      <c r="AP21" s="152">
        <f t="shared" si="18"/>
        <v>7.9278388996907898</v>
      </c>
      <c r="AS21" s="107"/>
      <c r="AT21" s="155">
        <v>1665</v>
      </c>
      <c r="AU21" s="107"/>
    </row>
    <row r="22" spans="1:47" x14ac:dyDescent="0.2">
      <c r="A22" s="155">
        <v>1666</v>
      </c>
      <c r="B22" s="56">
        <v>0.63733487492316687</v>
      </c>
      <c r="C22" s="56">
        <v>1.7487395153233112</v>
      </c>
      <c r="D22" s="56">
        <v>3.57085020242915</v>
      </c>
      <c r="E22" s="57">
        <v>11.109311740890687</v>
      </c>
      <c r="F22" s="57">
        <f>F21+($F$23-$F$21)/2</f>
        <v>6.7776471783262959</v>
      </c>
      <c r="G22" s="109">
        <v>3.2154586463326393</v>
      </c>
      <c r="H22" s="109">
        <v>12.544</v>
      </c>
      <c r="I22" s="99">
        <v>0.98308960000000012</v>
      </c>
      <c r="J22" s="55">
        <f>J21+($J$23-$J$21)/2</f>
        <v>2.0487631428069166</v>
      </c>
      <c r="L22" s="14">
        <f t="shared" si="0"/>
        <v>114.08294261124686</v>
      </c>
      <c r="M22" s="14">
        <f t="shared" si="1"/>
        <v>34.974790306466225</v>
      </c>
      <c r="N22" s="14">
        <f t="shared" si="2"/>
        <v>17.854251012145749</v>
      </c>
      <c r="O22" s="14">
        <f t="shared" si="3"/>
        <v>33.32793522267206</v>
      </c>
      <c r="P22" s="14">
        <f t="shared" si="4"/>
        <v>8.8109413318241856</v>
      </c>
      <c r="Q22" s="14">
        <f t="shared" si="5"/>
        <v>9.6463759389979185</v>
      </c>
      <c r="R22" s="14">
        <f t="shared" si="6"/>
        <v>16.307200000000002</v>
      </c>
      <c r="S22" s="14">
        <f t="shared" si="7"/>
        <v>1.2780164800000002</v>
      </c>
      <c r="T22" s="14">
        <f t="shared" si="8"/>
        <v>6.1462894284207499</v>
      </c>
      <c r="U22" s="4"/>
      <c r="V22" s="14">
        <f t="shared" si="10"/>
        <v>242.42874233177372</v>
      </c>
      <c r="W22" s="14">
        <f t="shared" si="11"/>
        <v>236.28245290335298</v>
      </c>
      <c r="X22" s="166"/>
      <c r="Y22" s="4">
        <v>0.7475981108122256</v>
      </c>
      <c r="Z22" s="4">
        <v>0.43694705115211147</v>
      </c>
      <c r="AA22" s="4">
        <v>2.9663132335692821</v>
      </c>
      <c r="AB22" s="4">
        <v>6.0791641003527062</v>
      </c>
      <c r="AC22" s="4">
        <v>4.8767116290433687</v>
      </c>
      <c r="AD22" s="4"/>
      <c r="AE22" s="4">
        <v>5.7962603723836743</v>
      </c>
      <c r="AF22" s="4">
        <v>5.6571894876144491</v>
      </c>
      <c r="AG22" s="4"/>
      <c r="AH22" s="4"/>
      <c r="AI22" s="152">
        <f t="shared" si="12"/>
        <v>144.66023444216566</v>
      </c>
      <c r="AJ22" s="152">
        <f t="shared" si="13"/>
        <v>8.73894102304223</v>
      </c>
      <c r="AK22" s="152">
        <f t="shared" si="14"/>
        <v>14.831566167846411</v>
      </c>
      <c r="AL22" s="152">
        <f t="shared" si="15"/>
        <v>18.237492301058118</v>
      </c>
      <c r="AM22" s="152">
        <f t="shared" si="16"/>
        <v>6.3397251177563794</v>
      </c>
      <c r="AN22" s="152"/>
      <c r="AO22" s="152">
        <f t="shared" si="17"/>
        <v>7.535138484098777</v>
      </c>
      <c r="AP22" s="152">
        <f t="shared" si="18"/>
        <v>7.3543463338987838</v>
      </c>
      <c r="AS22" s="107"/>
      <c r="AT22" s="155">
        <v>1666</v>
      </c>
      <c r="AU22" s="107"/>
    </row>
    <row r="23" spans="1:47" x14ac:dyDescent="0.2">
      <c r="A23" s="155">
        <v>1667</v>
      </c>
      <c r="B23" s="56">
        <v>0.63756128162829051</v>
      </c>
      <c r="C23" s="57">
        <f t="shared" ref="C23:C51" si="19">C22+($C$52-$C$22)/30</f>
        <v>1.7633123446176722</v>
      </c>
      <c r="D23" s="56">
        <v>3.57085020242915</v>
      </c>
      <c r="E23" s="57">
        <v>10.315789473684209</v>
      </c>
      <c r="F23" s="56">
        <v>5.6200716845878134</v>
      </c>
      <c r="G23" s="109">
        <v>3.2176747574755584</v>
      </c>
      <c r="H23" s="55">
        <f>H22+($H$25-$H$22)/3</f>
        <v>12.880207387879357</v>
      </c>
      <c r="I23" s="55">
        <f>I22+($I$25-$I$22)/3</f>
        <v>1.0128103330885354</v>
      </c>
      <c r="J23" s="109">
        <v>2.2022483549589071</v>
      </c>
      <c r="L23" s="14">
        <f t="shared" si="0"/>
        <v>114.123469411464</v>
      </c>
      <c r="M23" s="14">
        <f t="shared" si="1"/>
        <v>35.266246892353443</v>
      </c>
      <c r="N23" s="14">
        <f t="shared" si="2"/>
        <v>17.854251012145749</v>
      </c>
      <c r="O23" s="14">
        <f t="shared" si="3"/>
        <v>30.947368421052627</v>
      </c>
      <c r="P23" s="14">
        <f t="shared" si="4"/>
        <v>7.3060931899641579</v>
      </c>
      <c r="Q23" s="14">
        <f t="shared" si="5"/>
        <v>9.6530242724266753</v>
      </c>
      <c r="R23" s="14">
        <f t="shared" si="6"/>
        <v>16.744269604243165</v>
      </c>
      <c r="S23" s="14">
        <f t="shared" si="7"/>
        <v>1.3166534330150961</v>
      </c>
      <c r="T23" s="14">
        <f t="shared" si="8"/>
        <v>6.606745064876721</v>
      </c>
      <c r="U23" s="4"/>
      <c r="V23" s="14">
        <f t="shared" si="10"/>
        <v>239.81812130154159</v>
      </c>
      <c r="W23" s="14">
        <f t="shared" si="11"/>
        <v>233.21137623666488</v>
      </c>
      <c r="X23" s="166"/>
      <c r="Y23" s="4">
        <v>0.68747505728838187</v>
      </c>
      <c r="Z23" s="4">
        <v>0.4733769584136982</v>
      </c>
      <c r="AA23" s="4">
        <v>3.0612485212228568</v>
      </c>
      <c r="AB23" s="4">
        <v>6.0717581141800334</v>
      </c>
      <c r="AC23" s="4">
        <v>0</v>
      </c>
      <c r="AD23" s="4"/>
      <c r="AE23" s="4">
        <v>5.8026339641801146</v>
      </c>
      <c r="AF23" s="4">
        <v>7.8667830042604567</v>
      </c>
      <c r="AG23" s="4"/>
      <c r="AH23" s="4"/>
      <c r="AI23" s="152">
        <f t="shared" si="12"/>
        <v>133.0264235853019</v>
      </c>
      <c r="AJ23" s="152">
        <f t="shared" si="13"/>
        <v>9.467539168273964</v>
      </c>
      <c r="AK23" s="152">
        <f t="shared" si="14"/>
        <v>15.306242606114285</v>
      </c>
      <c r="AL23" s="152">
        <f t="shared" si="15"/>
        <v>18.215274342540098</v>
      </c>
      <c r="AM23" s="152">
        <f t="shared" si="16"/>
        <v>0</v>
      </c>
      <c r="AN23" s="152"/>
      <c r="AO23" s="152">
        <f t="shared" si="17"/>
        <v>7.5434241534341488</v>
      </c>
      <c r="AP23" s="152">
        <f t="shared" si="18"/>
        <v>10.226817905538594</v>
      </c>
      <c r="AS23" s="107"/>
      <c r="AT23" s="155">
        <v>1667</v>
      </c>
      <c r="AU23" s="107"/>
    </row>
    <row r="24" spans="1:47" x14ac:dyDescent="0.2">
      <c r="A24" s="155">
        <v>1668</v>
      </c>
      <c r="B24" s="56">
        <v>0.72798856017976876</v>
      </c>
      <c r="C24" s="57">
        <f t="shared" si="19"/>
        <v>1.7778851739120332</v>
      </c>
      <c r="D24" s="56">
        <v>4.761133603238866</v>
      </c>
      <c r="E24" s="56">
        <v>9.5222672064777321</v>
      </c>
      <c r="F24" s="56">
        <v>5.6200716845878134</v>
      </c>
      <c r="G24" s="109">
        <v>3.6279805475625553</v>
      </c>
      <c r="H24" s="55">
        <f>H23+($H$25-$H$22)/3</f>
        <v>13.216414775758714</v>
      </c>
      <c r="I24" s="55">
        <f>I23+($I$25-$I$22)/3</f>
        <v>1.0425310661770706</v>
      </c>
      <c r="J24" s="109">
        <v>2.7787341772151897</v>
      </c>
      <c r="K24" s="8"/>
      <c r="L24" s="14">
        <f t="shared" si="0"/>
        <v>130.30995227217861</v>
      </c>
      <c r="M24" s="14">
        <f t="shared" si="1"/>
        <v>35.557703478240661</v>
      </c>
      <c r="N24" s="14">
        <f t="shared" si="2"/>
        <v>23.805668016194332</v>
      </c>
      <c r="O24" s="14">
        <f t="shared" si="3"/>
        <v>28.566801619433196</v>
      </c>
      <c r="P24" s="14">
        <f t="shared" si="4"/>
        <v>7.3060931899641579</v>
      </c>
      <c r="Q24" s="14">
        <f t="shared" si="5"/>
        <v>10.883941642687667</v>
      </c>
      <c r="R24" s="14">
        <f t="shared" si="6"/>
        <v>17.181339208486328</v>
      </c>
      <c r="S24" s="14">
        <f t="shared" si="7"/>
        <v>1.3552903860301919</v>
      </c>
      <c r="T24" s="14">
        <f t="shared" si="8"/>
        <v>8.3362025316455686</v>
      </c>
      <c r="U24" s="4"/>
      <c r="V24" s="14">
        <f t="shared" si="10"/>
        <v>263.30299234486063</v>
      </c>
      <c r="W24" s="14">
        <f t="shared" si="11"/>
        <v>254.96678981321506</v>
      </c>
      <c r="X24" s="166"/>
      <c r="Y24" s="4">
        <v>0.73502723178547924</v>
      </c>
      <c r="Z24" s="4">
        <v>0.39827790816846254</v>
      </c>
      <c r="AA24" s="4">
        <v>3.0085909499623784</v>
      </c>
      <c r="AB24" s="4">
        <v>6.2907116425430507</v>
      </c>
      <c r="AC24" s="4">
        <v>0</v>
      </c>
      <c r="AD24" s="4"/>
      <c r="AE24" s="4">
        <v>5.4443204510653462</v>
      </c>
      <c r="AF24" s="4">
        <v>7.4054277563406723</v>
      </c>
      <c r="AG24" s="4"/>
      <c r="AH24" s="4"/>
      <c r="AI24" s="152">
        <f t="shared" si="12"/>
        <v>142.22776935049023</v>
      </c>
      <c r="AJ24" s="152">
        <f t="shared" si="13"/>
        <v>7.9655581633692503</v>
      </c>
      <c r="AK24" s="152">
        <f t="shared" si="14"/>
        <v>15.042954749811893</v>
      </c>
      <c r="AL24" s="152">
        <f t="shared" si="15"/>
        <v>18.872134927629151</v>
      </c>
      <c r="AM24" s="152">
        <f t="shared" si="16"/>
        <v>0</v>
      </c>
      <c r="AN24" s="152"/>
      <c r="AO24" s="152">
        <f t="shared" si="17"/>
        <v>7.0776165863849503</v>
      </c>
      <c r="AP24" s="152">
        <f t="shared" si="18"/>
        <v>9.6270560832428735</v>
      </c>
      <c r="AS24" s="107"/>
      <c r="AT24" s="155">
        <v>1668</v>
      </c>
      <c r="AU24" s="107"/>
    </row>
    <row r="25" spans="1:47" x14ac:dyDescent="0.2">
      <c r="A25" s="155">
        <v>1669</v>
      </c>
      <c r="B25" s="56">
        <v>0.9099857002247107</v>
      </c>
      <c r="C25" s="57">
        <f t="shared" si="19"/>
        <v>1.7924580032063941</v>
      </c>
      <c r="D25" s="56">
        <v>4.761133603238866</v>
      </c>
      <c r="E25" s="56">
        <v>11.902834008097166</v>
      </c>
      <c r="F25" s="57">
        <f t="shared" ref="F25:F33" si="20">F24+($F$34-$F$24)/10</f>
        <v>5.6313118279569894</v>
      </c>
      <c r="G25" s="109">
        <v>3.6279805475625553</v>
      </c>
      <c r="H25" s="109">
        <v>13.552622163638073</v>
      </c>
      <c r="I25" s="99">
        <v>1.0722517992656058</v>
      </c>
      <c r="J25" s="109">
        <v>2.7787341772151897</v>
      </c>
      <c r="K25" s="8"/>
      <c r="L25" s="14">
        <f t="shared" si="0"/>
        <v>162.88744034022321</v>
      </c>
      <c r="M25" s="14">
        <f t="shared" si="1"/>
        <v>35.849160064127886</v>
      </c>
      <c r="N25" s="14">
        <f t="shared" si="2"/>
        <v>23.805668016194332</v>
      </c>
      <c r="O25" s="14">
        <f t="shared" si="3"/>
        <v>35.708502024291498</v>
      </c>
      <c r="P25" s="14">
        <f t="shared" si="4"/>
        <v>7.3207053763440868</v>
      </c>
      <c r="Q25" s="14">
        <f t="shared" si="5"/>
        <v>10.883941642687667</v>
      </c>
      <c r="R25" s="14">
        <f t="shared" si="6"/>
        <v>17.618408812729495</v>
      </c>
      <c r="S25" s="14">
        <f t="shared" si="7"/>
        <v>1.3939273390452875</v>
      </c>
      <c r="T25" s="14">
        <f t="shared" si="8"/>
        <v>8.3362025316455686</v>
      </c>
      <c r="U25" s="4"/>
      <c r="V25" s="14">
        <f t="shared" si="10"/>
        <v>303.803956147289</v>
      </c>
      <c r="W25" s="14">
        <f t="shared" si="11"/>
        <v>295.46775361564346</v>
      </c>
      <c r="X25" s="166"/>
      <c r="Y25" s="4">
        <v>0.97179856815381993</v>
      </c>
      <c r="Z25" s="4">
        <v>0.42804315645741964</v>
      </c>
      <c r="AA25" s="4">
        <v>2.9246062207048293</v>
      </c>
      <c r="AB25" s="4">
        <v>6.0034073699701027</v>
      </c>
      <c r="AC25" s="4">
        <v>3.895426396906382</v>
      </c>
      <c r="AD25" s="4"/>
      <c r="AE25" s="4">
        <v>5.175929550059128</v>
      </c>
      <c r="AF25" s="4">
        <v>6.0875104919526954</v>
      </c>
      <c r="AG25" s="4"/>
      <c r="AH25" s="4"/>
      <c r="AI25" s="152">
        <f t="shared" si="12"/>
        <v>188.04302293776416</v>
      </c>
      <c r="AJ25" s="152">
        <f t="shared" si="13"/>
        <v>8.5608631291483928</v>
      </c>
      <c r="AK25" s="152">
        <f t="shared" si="14"/>
        <v>14.623031103524147</v>
      </c>
      <c r="AL25" s="152">
        <f t="shared" si="15"/>
        <v>18.010222109910309</v>
      </c>
      <c r="AM25" s="152">
        <f t="shared" si="16"/>
        <v>5.0640543159782965</v>
      </c>
      <c r="AN25" s="152"/>
      <c r="AO25" s="152">
        <f t="shared" si="17"/>
        <v>6.7287084150768663</v>
      </c>
      <c r="AP25" s="152">
        <f t="shared" si="18"/>
        <v>7.9137636395385043</v>
      </c>
      <c r="AS25" s="107"/>
      <c r="AT25" s="155">
        <v>1669</v>
      </c>
      <c r="AU25" s="107"/>
    </row>
    <row r="26" spans="1:47" x14ac:dyDescent="0.2">
      <c r="A26" s="155">
        <v>1670</v>
      </c>
      <c r="B26" s="56">
        <v>1.0929621970770695</v>
      </c>
      <c r="C26" s="57">
        <f t="shared" si="19"/>
        <v>1.8070308325007551</v>
      </c>
      <c r="D26" s="56">
        <v>4.761133603238866</v>
      </c>
      <c r="E26" s="56">
        <v>2.4797570850202431</v>
      </c>
      <c r="F26" s="57">
        <f t="shared" si="20"/>
        <v>5.6425519713261654</v>
      </c>
      <c r="G26" s="55">
        <f>G25+($G$28-$G$25)/3</f>
        <v>4.1776745699205184</v>
      </c>
      <c r="H26" s="109">
        <v>15.870445344129555</v>
      </c>
      <c r="I26" s="99">
        <v>1.2771473684210528</v>
      </c>
      <c r="J26" s="109">
        <v>2.7787341772151897</v>
      </c>
      <c r="K26" s="8"/>
      <c r="L26" s="14">
        <f t="shared" si="0"/>
        <v>195.64023327679544</v>
      </c>
      <c r="M26" s="14">
        <f t="shared" si="1"/>
        <v>36.140616650015104</v>
      </c>
      <c r="N26" s="14">
        <f t="shared" si="2"/>
        <v>23.805668016194332</v>
      </c>
      <c r="O26" s="14">
        <f t="shared" si="3"/>
        <v>7.4392712550607296</v>
      </c>
      <c r="P26" s="14">
        <f t="shared" si="4"/>
        <v>7.3353175627240148</v>
      </c>
      <c r="Q26" s="14">
        <f t="shared" si="5"/>
        <v>12.533023709761554</v>
      </c>
      <c r="R26" s="14">
        <f t="shared" si="6"/>
        <v>20.631578947368421</v>
      </c>
      <c r="S26" s="14">
        <f t="shared" si="7"/>
        <v>1.6602915789473687</v>
      </c>
      <c r="T26" s="14">
        <f t="shared" si="8"/>
        <v>8.3362025316455686</v>
      </c>
      <c r="U26" s="4"/>
      <c r="V26" s="14">
        <f t="shared" si="10"/>
        <v>313.52220352851248</v>
      </c>
      <c r="W26" s="14">
        <f t="shared" si="11"/>
        <v>305.18600099686694</v>
      </c>
      <c r="X26" s="166"/>
      <c r="Y26" s="4">
        <v>0.87565882734613565</v>
      </c>
      <c r="Z26" s="4">
        <v>0.50357316949735387</v>
      </c>
      <c r="AA26" s="4">
        <v>3.0485645674723858</v>
      </c>
      <c r="AB26" s="4">
        <v>6.0486687289744694</v>
      </c>
      <c r="AC26" s="4">
        <v>0</v>
      </c>
      <c r="AD26" s="4"/>
      <c r="AE26" s="4">
        <v>5.4284896507438711</v>
      </c>
      <c r="AF26" s="4">
        <v>5.7871804955228914</v>
      </c>
      <c r="AG26" s="4"/>
      <c r="AH26" s="4"/>
      <c r="AI26" s="152">
        <f t="shared" si="12"/>
        <v>169.43998309147725</v>
      </c>
      <c r="AJ26" s="152">
        <f t="shared" si="13"/>
        <v>10.071463389947077</v>
      </c>
      <c r="AK26" s="152">
        <f t="shared" si="14"/>
        <v>15.242822837361929</v>
      </c>
      <c r="AL26" s="152">
        <f t="shared" si="15"/>
        <v>18.146006186923408</v>
      </c>
      <c r="AM26" s="152">
        <f t="shared" si="16"/>
        <v>0</v>
      </c>
      <c r="AN26" s="152"/>
      <c r="AO26" s="152">
        <f t="shared" si="17"/>
        <v>7.0570365459670326</v>
      </c>
      <c r="AP26" s="152">
        <f t="shared" si="18"/>
        <v>7.5233346441797586</v>
      </c>
      <c r="AS26" s="107"/>
      <c r="AT26" s="155">
        <v>1670</v>
      </c>
      <c r="AU26" s="107"/>
    </row>
    <row r="27" spans="1:47" x14ac:dyDescent="0.2">
      <c r="A27" s="155">
        <v>1671</v>
      </c>
      <c r="B27" s="56">
        <v>0.91080183089755806</v>
      </c>
      <c r="C27" s="57">
        <f t="shared" si="19"/>
        <v>1.8216036617951161</v>
      </c>
      <c r="D27" s="56">
        <v>4.761133603238866</v>
      </c>
      <c r="E27" s="56">
        <v>9.5222672064777321</v>
      </c>
      <c r="F27" s="57">
        <f t="shared" si="20"/>
        <v>5.6537921146953414</v>
      </c>
      <c r="G27" s="55">
        <f>G26+($G$28-$G$25)/3</f>
        <v>4.7273685922784816</v>
      </c>
      <c r="H27" s="109">
        <v>12.696356275303645</v>
      </c>
      <c r="I27" s="99">
        <v>0.9965578947368422</v>
      </c>
      <c r="J27" s="109">
        <v>2.5427027027027034</v>
      </c>
      <c r="K27" s="8"/>
      <c r="L27" s="14">
        <f t="shared" si="0"/>
        <v>163.03352773066288</v>
      </c>
      <c r="M27" s="14">
        <f t="shared" si="1"/>
        <v>36.432073235902322</v>
      </c>
      <c r="N27" s="14">
        <f t="shared" si="2"/>
        <v>23.805668016194332</v>
      </c>
      <c r="O27" s="14">
        <f t="shared" si="3"/>
        <v>28.566801619433196</v>
      </c>
      <c r="P27" s="14">
        <f t="shared" si="4"/>
        <v>7.3499297491039437</v>
      </c>
      <c r="Q27" s="14">
        <f t="shared" si="5"/>
        <v>14.182105776835446</v>
      </c>
      <c r="R27" s="14">
        <f t="shared" si="6"/>
        <v>16.505263157894738</v>
      </c>
      <c r="S27" s="14">
        <f t="shared" si="7"/>
        <v>1.2955252631578948</v>
      </c>
      <c r="T27" s="14">
        <f t="shared" si="8"/>
        <v>7.6281081081081101</v>
      </c>
      <c r="U27" s="4"/>
      <c r="V27" s="14">
        <f t="shared" si="10"/>
        <v>298.79900265729282</v>
      </c>
      <c r="W27" s="14">
        <f t="shared" si="11"/>
        <v>291.17089454918471</v>
      </c>
      <c r="X27" s="166"/>
      <c r="Y27" s="4">
        <v>0.89497031361077162</v>
      </c>
      <c r="Z27" s="4">
        <v>0.51228188149779308</v>
      </c>
      <c r="AA27" s="4">
        <v>3.0096260832818871</v>
      </c>
      <c r="AB27" s="4">
        <v>5.8695278901417858</v>
      </c>
      <c r="AC27" s="4">
        <v>3.852761431848982</v>
      </c>
      <c r="AD27" s="4"/>
      <c r="AE27" s="4">
        <v>5.4123530682741894</v>
      </c>
      <c r="AF27" s="4">
        <v>5.6509530476385317</v>
      </c>
      <c r="AG27" s="4"/>
      <c r="AH27" s="4"/>
      <c r="AI27" s="152">
        <f t="shared" si="12"/>
        <v>173.17675568368432</v>
      </c>
      <c r="AJ27" s="152">
        <f t="shared" si="13"/>
        <v>10.245637629955862</v>
      </c>
      <c r="AK27" s="152">
        <f t="shared" si="14"/>
        <v>15.048130416409435</v>
      </c>
      <c r="AL27" s="152">
        <f t="shared" si="15"/>
        <v>17.608583670425357</v>
      </c>
      <c r="AM27" s="152">
        <f t="shared" si="16"/>
        <v>5.008589861403677</v>
      </c>
      <c r="AN27" s="152"/>
      <c r="AO27" s="152">
        <f t="shared" si="17"/>
        <v>7.0360589887564462</v>
      </c>
      <c r="AP27" s="152">
        <f t="shared" si="18"/>
        <v>7.3462389619300916</v>
      </c>
      <c r="AS27" s="107"/>
      <c r="AT27" s="155">
        <v>1671</v>
      </c>
      <c r="AU27" s="107"/>
    </row>
    <row r="28" spans="1:47" x14ac:dyDescent="0.2">
      <c r="A28" s="155">
        <v>1672</v>
      </c>
      <c r="B28" s="56">
        <v>0.91080183089755806</v>
      </c>
      <c r="C28" s="57">
        <f t="shared" si="19"/>
        <v>1.8361764910894771</v>
      </c>
      <c r="D28" s="57">
        <v>4.761133603238866</v>
      </c>
      <c r="E28" s="56">
        <v>9.5222672064777321</v>
      </c>
      <c r="F28" s="57">
        <f t="shared" si="20"/>
        <v>5.6650322580645174</v>
      </c>
      <c r="G28" s="109">
        <v>5.2770626146364448</v>
      </c>
      <c r="H28" s="109">
        <v>15.870445344129555</v>
      </c>
      <c r="I28" s="99">
        <v>1.2771473684210528</v>
      </c>
      <c r="J28" s="109">
        <v>2.0840506329113926</v>
      </c>
      <c r="K28" s="8"/>
      <c r="L28" s="14">
        <f t="shared" si="0"/>
        <v>163.03352773066288</v>
      </c>
      <c r="M28" s="14">
        <f t="shared" si="1"/>
        <v>36.723529821789541</v>
      </c>
      <c r="N28" s="14">
        <f t="shared" si="2"/>
        <v>23.805668016194332</v>
      </c>
      <c r="O28" s="14">
        <f t="shared" si="3"/>
        <v>28.566801619433196</v>
      </c>
      <c r="P28" s="14">
        <f t="shared" si="4"/>
        <v>7.3645419354838726</v>
      </c>
      <c r="Q28" s="14">
        <f t="shared" si="5"/>
        <v>15.831187843909333</v>
      </c>
      <c r="R28" s="14">
        <f t="shared" si="6"/>
        <v>20.631578947368421</v>
      </c>
      <c r="S28" s="14">
        <f t="shared" si="7"/>
        <v>1.6602915789473687</v>
      </c>
      <c r="T28" s="14">
        <f t="shared" si="8"/>
        <v>6.2521518987341782</v>
      </c>
      <c r="U28" s="4"/>
      <c r="V28" s="14">
        <f t="shared" si="10"/>
        <v>303.86927939252308</v>
      </c>
      <c r="W28" s="14">
        <f t="shared" si="11"/>
        <v>297.61712749378893</v>
      </c>
      <c r="X28" s="166"/>
      <c r="Y28" s="4">
        <v>0.84084265403520453</v>
      </c>
      <c r="Z28" s="4">
        <v>0.42209905895210037</v>
      </c>
      <c r="AA28" s="4">
        <v>2.9791792592403086</v>
      </c>
      <c r="AB28" s="4">
        <v>5.78336794846226</v>
      </c>
      <c r="AC28" s="4">
        <v>0</v>
      </c>
      <c r="AD28" s="4"/>
      <c r="AE28" s="4">
        <v>4.98535665365148</v>
      </c>
      <c r="AF28" s="4">
        <v>6.2831548056683655</v>
      </c>
      <c r="AG28" s="4"/>
      <c r="AH28" s="4"/>
      <c r="AI28" s="152">
        <f t="shared" si="12"/>
        <v>162.70305355581209</v>
      </c>
      <c r="AJ28" s="152">
        <f t="shared" si="13"/>
        <v>8.4419811790420081</v>
      </c>
      <c r="AK28" s="152">
        <f t="shared" si="14"/>
        <v>14.895896296201542</v>
      </c>
      <c r="AL28" s="152">
        <f t="shared" si="15"/>
        <v>17.35010384538678</v>
      </c>
      <c r="AM28" s="152">
        <f t="shared" si="16"/>
        <v>0</v>
      </c>
      <c r="AN28" s="152"/>
      <c r="AO28" s="152">
        <f t="shared" si="17"/>
        <v>6.4809636497469238</v>
      </c>
      <c r="AP28" s="152">
        <f t="shared" si="18"/>
        <v>8.1681012473688757</v>
      </c>
      <c r="AS28" s="107"/>
      <c r="AT28" s="155">
        <v>1672</v>
      </c>
      <c r="AU28" s="107"/>
    </row>
    <row r="29" spans="1:47" x14ac:dyDescent="0.2">
      <c r="A29" s="155">
        <v>1673</v>
      </c>
      <c r="B29" s="56">
        <v>0.91080183089755806</v>
      </c>
      <c r="C29" s="57">
        <f t="shared" si="19"/>
        <v>1.8507493203838381</v>
      </c>
      <c r="D29" s="56">
        <v>4.761133603238866</v>
      </c>
      <c r="E29" s="56">
        <v>5.951417004048583</v>
      </c>
      <c r="F29" s="57">
        <f t="shared" si="20"/>
        <v>5.6762724014336934</v>
      </c>
      <c r="G29" s="109">
        <v>5.2770626146364448</v>
      </c>
      <c r="H29" s="109">
        <v>13.291497975708502</v>
      </c>
      <c r="I29" s="99">
        <v>1.0491684210526318</v>
      </c>
      <c r="J29" s="109">
        <v>1.8728509154315607</v>
      </c>
      <c r="K29" s="8"/>
      <c r="L29" s="14">
        <f t="shared" si="0"/>
        <v>163.03352773066288</v>
      </c>
      <c r="M29" s="14">
        <f t="shared" si="1"/>
        <v>37.014986407676759</v>
      </c>
      <c r="N29" s="14">
        <f t="shared" si="2"/>
        <v>23.805668016194332</v>
      </c>
      <c r="O29" s="14">
        <f t="shared" si="3"/>
        <v>17.854251012145749</v>
      </c>
      <c r="P29" s="14">
        <f t="shared" si="4"/>
        <v>7.3791541218638015</v>
      </c>
      <c r="Q29" s="14">
        <f t="shared" si="5"/>
        <v>15.831187843909333</v>
      </c>
      <c r="R29" s="14">
        <f t="shared" si="6"/>
        <v>17.278947368421054</v>
      </c>
      <c r="S29" s="14">
        <f t="shared" si="7"/>
        <v>1.3639189473684212</v>
      </c>
      <c r="T29" s="14">
        <f t="shared" si="8"/>
        <v>5.6185527462946823</v>
      </c>
      <c r="U29" s="4"/>
      <c r="V29" s="14">
        <f t="shared" si="10"/>
        <v>289.18019419453697</v>
      </c>
      <c r="W29" s="14">
        <f t="shared" si="11"/>
        <v>283.56164144824231</v>
      </c>
      <c r="X29" s="166"/>
      <c r="Y29" s="4">
        <v>0.91697714526870044</v>
      </c>
      <c r="Z29" s="4">
        <v>0.4388115383721925</v>
      </c>
      <c r="AA29" s="4">
        <v>3.1107126449301927</v>
      </c>
      <c r="AB29" s="4">
        <v>5.8403527828139534</v>
      </c>
      <c r="AC29" s="4">
        <v>3.1205839451659494</v>
      </c>
      <c r="AD29" s="4"/>
      <c r="AE29" s="4">
        <v>4.7589494791142855</v>
      </c>
      <c r="AF29" s="4">
        <v>5.8143861193666915</v>
      </c>
      <c r="AG29" s="4"/>
      <c r="AH29" s="4"/>
      <c r="AI29" s="152">
        <f t="shared" si="12"/>
        <v>177.43507760949353</v>
      </c>
      <c r="AJ29" s="152">
        <f t="shared" si="13"/>
        <v>8.7762307674438507</v>
      </c>
      <c r="AK29" s="152">
        <f t="shared" si="14"/>
        <v>15.553563224650963</v>
      </c>
      <c r="AL29" s="152">
        <f t="shared" si="15"/>
        <v>17.521058348441862</v>
      </c>
      <c r="AM29" s="152">
        <f t="shared" si="16"/>
        <v>4.0567591287157345</v>
      </c>
      <c r="AN29" s="152"/>
      <c r="AO29" s="152">
        <f t="shared" si="17"/>
        <v>6.1866343228485716</v>
      </c>
      <c r="AP29" s="152">
        <f t="shared" si="18"/>
        <v>7.5587019551766987</v>
      </c>
      <c r="AS29" s="107"/>
      <c r="AT29" s="155">
        <v>1673</v>
      </c>
      <c r="AU29" s="107"/>
    </row>
    <row r="30" spans="1:47" x14ac:dyDescent="0.2">
      <c r="A30" s="155">
        <v>1674</v>
      </c>
      <c r="B30" s="56">
        <v>0.91080183089755806</v>
      </c>
      <c r="C30" s="57">
        <f t="shared" si="19"/>
        <v>1.8653221496781991</v>
      </c>
      <c r="D30" s="57">
        <f t="shared" ref="D30:D37" si="21">D29+($D$38-$D$29)/9</f>
        <v>4.7510121457489873</v>
      </c>
      <c r="E30" s="56">
        <v>5.951417004048583</v>
      </c>
      <c r="F30" s="57">
        <f t="shared" si="20"/>
        <v>5.6875125448028694</v>
      </c>
      <c r="G30" s="109">
        <v>5.2770626146364448</v>
      </c>
      <c r="H30" s="109">
        <v>12.696356275303645</v>
      </c>
      <c r="I30" s="113">
        <v>1.0616666666666668</v>
      </c>
      <c r="J30" s="109">
        <v>2.3308108108108114</v>
      </c>
      <c r="K30" s="8"/>
      <c r="L30" s="14">
        <f t="shared" si="0"/>
        <v>163.03352773066288</v>
      </c>
      <c r="M30" s="14">
        <f t="shared" si="1"/>
        <v>37.306442993563984</v>
      </c>
      <c r="N30" s="14">
        <f t="shared" si="2"/>
        <v>23.755060728744937</v>
      </c>
      <c r="O30" s="14">
        <f t="shared" si="3"/>
        <v>17.854251012145749</v>
      </c>
      <c r="P30" s="14">
        <f t="shared" si="4"/>
        <v>7.3937663082437304</v>
      </c>
      <c r="Q30" s="14">
        <f t="shared" si="5"/>
        <v>15.831187843909333</v>
      </c>
      <c r="R30" s="14">
        <f t="shared" si="6"/>
        <v>16.505263157894738</v>
      </c>
      <c r="S30" s="14">
        <f t="shared" si="7"/>
        <v>1.3801666666666668</v>
      </c>
      <c r="T30" s="14">
        <f t="shared" si="8"/>
        <v>6.9924324324324338</v>
      </c>
      <c r="U30" s="4"/>
      <c r="V30" s="14">
        <f t="shared" si="10"/>
        <v>290.0520988742644</v>
      </c>
      <c r="W30" s="14">
        <f t="shared" si="11"/>
        <v>283.05966644183195</v>
      </c>
      <c r="X30" s="166"/>
      <c r="Y30" s="4">
        <v>1.3232757213673627</v>
      </c>
      <c r="Z30" s="4">
        <v>0.61149086928208096</v>
      </c>
      <c r="AA30" s="4">
        <v>3.0437638137016862</v>
      </c>
      <c r="AB30" s="4">
        <v>6.0482332405037553</v>
      </c>
      <c r="AC30" s="4">
        <v>4.0645992238520199</v>
      </c>
      <c r="AD30" s="4"/>
      <c r="AE30" s="4">
        <v>5.45869061132466</v>
      </c>
      <c r="AF30" s="4">
        <v>6.3912905495370209</v>
      </c>
      <c r="AG30" s="4"/>
      <c r="AH30" s="4"/>
      <c r="AI30" s="152">
        <f t="shared" si="12"/>
        <v>256.05385208458466</v>
      </c>
      <c r="AJ30" s="152">
        <f t="shared" si="13"/>
        <v>12.229817385641619</v>
      </c>
      <c r="AK30" s="152">
        <f t="shared" si="14"/>
        <v>15.218819068508431</v>
      </c>
      <c r="AL30" s="152">
        <f t="shared" si="15"/>
        <v>18.144699721511266</v>
      </c>
      <c r="AM30" s="152">
        <f t="shared" si="16"/>
        <v>5.2839789910076265</v>
      </c>
      <c r="AN30" s="152"/>
      <c r="AO30" s="152">
        <f t="shared" si="17"/>
        <v>7.0962977947220587</v>
      </c>
      <c r="AP30" s="152">
        <f t="shared" si="18"/>
        <v>8.3086777143981276</v>
      </c>
      <c r="AS30" s="107"/>
      <c r="AT30" s="155">
        <v>1674</v>
      </c>
      <c r="AU30" s="107"/>
    </row>
    <row r="31" spans="1:47" x14ac:dyDescent="0.2">
      <c r="A31" s="155">
        <v>1675</v>
      </c>
      <c r="B31" s="57">
        <v>0.81972164780780221</v>
      </c>
      <c r="C31" s="57">
        <f t="shared" si="19"/>
        <v>1.8798949789725601</v>
      </c>
      <c r="D31" s="57">
        <f t="shared" si="21"/>
        <v>4.7408906882591086</v>
      </c>
      <c r="E31" s="57">
        <v>5.951417004048583</v>
      </c>
      <c r="F31" s="57">
        <f t="shared" si="20"/>
        <v>5.6987526881720454</v>
      </c>
      <c r="G31" s="55">
        <f>G30+($G$32-$G$30)/2</f>
        <v>5.2770626146364448</v>
      </c>
      <c r="H31" s="55">
        <f>H30+($H$32-$H$30)/2</f>
        <v>14.331360946745562</v>
      </c>
      <c r="I31" s="55">
        <f>I30+($I$32-$I$30)/2</f>
        <v>1.0616666666666668</v>
      </c>
      <c r="J31" s="55">
        <f>J30+($J$32-$J$30)/2</f>
        <v>2.2248648648648652</v>
      </c>
      <c r="K31" s="8"/>
      <c r="L31" s="14">
        <f t="shared" si="0"/>
        <v>146.7301749575966</v>
      </c>
      <c r="M31" s="14">
        <f t="shared" si="1"/>
        <v>37.597899579451202</v>
      </c>
      <c r="N31" s="14">
        <f t="shared" si="2"/>
        <v>23.704453441295541</v>
      </c>
      <c r="O31" s="14">
        <f t="shared" si="3"/>
        <v>17.854251012145749</v>
      </c>
      <c r="P31" s="14">
        <f t="shared" si="4"/>
        <v>7.4083784946236593</v>
      </c>
      <c r="Q31" s="14">
        <f t="shared" si="5"/>
        <v>15.831187843909333</v>
      </c>
      <c r="R31" s="14">
        <f t="shared" si="6"/>
        <v>18.630769230769232</v>
      </c>
      <c r="S31" s="14">
        <f t="shared" si="7"/>
        <v>1.3801666666666668</v>
      </c>
      <c r="T31" s="14">
        <f t="shared" si="8"/>
        <v>6.6745945945945957</v>
      </c>
      <c r="U31" s="4"/>
      <c r="V31" s="14">
        <f t="shared" si="10"/>
        <v>275.81187582105258</v>
      </c>
      <c r="W31" s="14">
        <f t="shared" si="11"/>
        <v>269.13728122645796</v>
      </c>
      <c r="X31" s="166"/>
      <c r="Y31" s="4">
        <v>1.1623702851566668</v>
      </c>
      <c r="Z31" s="4">
        <v>0.50930855093988325</v>
      </c>
      <c r="AA31" s="4">
        <v>3.2080646617947788</v>
      </c>
      <c r="AB31" s="4">
        <v>6.0088729571417678</v>
      </c>
      <c r="AC31" s="4">
        <v>3.8807993335583428</v>
      </c>
      <c r="AD31" s="4"/>
      <c r="AE31" s="4">
        <v>5.6373547877184986</v>
      </c>
      <c r="AF31" s="4">
        <v>6.3541504396183548</v>
      </c>
      <c r="AG31" s="4"/>
      <c r="AH31" s="4"/>
      <c r="AI31" s="152">
        <f t="shared" si="12"/>
        <v>224.91865017781504</v>
      </c>
      <c r="AJ31" s="152">
        <f t="shared" si="13"/>
        <v>10.186171018797666</v>
      </c>
      <c r="AK31" s="152">
        <f t="shared" si="14"/>
        <v>16.040323308973893</v>
      </c>
      <c r="AL31" s="152">
        <f t="shared" si="15"/>
        <v>18.026618871425303</v>
      </c>
      <c r="AM31" s="152">
        <f t="shared" si="16"/>
        <v>5.0450391336258456</v>
      </c>
      <c r="AN31" s="152"/>
      <c r="AO31" s="152">
        <f t="shared" si="17"/>
        <v>7.3285612240340487</v>
      </c>
      <c r="AP31" s="152">
        <f t="shared" si="18"/>
        <v>8.2603955715038619</v>
      </c>
      <c r="AS31" s="107"/>
      <c r="AT31" s="155">
        <v>1675</v>
      </c>
      <c r="AU31" s="107"/>
    </row>
    <row r="32" spans="1:47" x14ac:dyDescent="0.2">
      <c r="A32" s="155">
        <v>1676</v>
      </c>
      <c r="B32" s="56">
        <v>0.72864146471804636</v>
      </c>
      <c r="C32" s="57">
        <f t="shared" si="19"/>
        <v>1.8944678082669211</v>
      </c>
      <c r="D32" s="57">
        <f t="shared" si="21"/>
        <v>4.7307692307692299</v>
      </c>
      <c r="E32" s="56">
        <v>5.951417004048583</v>
      </c>
      <c r="F32" s="57">
        <f t="shared" si="20"/>
        <v>5.7099928315412214</v>
      </c>
      <c r="G32" s="109">
        <v>5.2770626146364448</v>
      </c>
      <c r="H32" s="109">
        <v>15.966365618187481</v>
      </c>
      <c r="I32" s="113">
        <v>1.0616666666666668</v>
      </c>
      <c r="J32" s="109">
        <v>2.1189189189189195</v>
      </c>
      <c r="K32" s="8"/>
      <c r="L32" s="14">
        <f t="shared" si="0"/>
        <v>130.42682218453029</v>
      </c>
      <c r="M32" s="14">
        <f t="shared" si="1"/>
        <v>37.88935616533842</v>
      </c>
      <c r="N32" s="14">
        <f t="shared" si="2"/>
        <v>23.65384615384615</v>
      </c>
      <c r="O32" s="14">
        <f t="shared" si="3"/>
        <v>17.854251012145749</v>
      </c>
      <c r="P32" s="14">
        <f t="shared" si="4"/>
        <v>7.4229906810035882</v>
      </c>
      <c r="Q32" s="14">
        <f t="shared" si="5"/>
        <v>15.831187843909333</v>
      </c>
      <c r="R32" s="14">
        <f t="shared" si="6"/>
        <v>20.756275303643726</v>
      </c>
      <c r="S32" s="14">
        <f t="shared" si="7"/>
        <v>1.3801666666666668</v>
      </c>
      <c r="T32" s="14">
        <f t="shared" si="8"/>
        <v>6.3567567567567584</v>
      </c>
      <c r="U32" s="4"/>
      <c r="V32" s="14">
        <f t="shared" si="10"/>
        <v>261.5716527678407</v>
      </c>
      <c r="W32" s="14">
        <f t="shared" si="11"/>
        <v>255.21489601108394</v>
      </c>
      <c r="X32" s="166"/>
      <c r="Y32" s="4">
        <v>0.77302125778251429</v>
      </c>
      <c r="Z32" s="4">
        <v>0.43899851191007511</v>
      </c>
      <c r="AA32" s="4">
        <v>3.0391742378127216</v>
      </c>
      <c r="AB32" s="4">
        <v>5.6683677585904801</v>
      </c>
      <c r="AC32" s="4">
        <v>0</v>
      </c>
      <c r="AD32" s="4"/>
      <c r="AE32" s="4">
        <v>5.6974114848018811</v>
      </c>
      <c r="AF32" s="4">
        <v>5.4610234209754811</v>
      </c>
      <c r="AG32" s="4"/>
      <c r="AH32" s="4"/>
      <c r="AI32" s="152">
        <f t="shared" si="12"/>
        <v>149.57961338091653</v>
      </c>
      <c r="AJ32" s="152">
        <f t="shared" si="13"/>
        <v>8.7799702382015017</v>
      </c>
      <c r="AK32" s="152">
        <f t="shared" si="14"/>
        <v>15.195871189063608</v>
      </c>
      <c r="AL32" s="152">
        <f t="shared" si="15"/>
        <v>17.00510327577144</v>
      </c>
      <c r="AM32" s="152">
        <f t="shared" si="16"/>
        <v>0</v>
      </c>
      <c r="AN32" s="152"/>
      <c r="AO32" s="152">
        <f t="shared" si="17"/>
        <v>7.4066349302424452</v>
      </c>
      <c r="AP32" s="152">
        <f t="shared" si="18"/>
        <v>7.0993304472681258</v>
      </c>
      <c r="AS32" s="107"/>
      <c r="AT32" s="155">
        <v>1676</v>
      </c>
      <c r="AU32" s="107"/>
    </row>
    <row r="33" spans="1:47" x14ac:dyDescent="0.2">
      <c r="A33" s="155">
        <v>1677</v>
      </c>
      <c r="B33" s="56">
        <v>0.72864146471804636</v>
      </c>
      <c r="C33" s="57">
        <f t="shared" si="19"/>
        <v>1.9090406375612821</v>
      </c>
      <c r="D33" s="57">
        <f t="shared" si="21"/>
        <v>4.7206477732793513</v>
      </c>
      <c r="E33" s="56">
        <v>5.951417004048583</v>
      </c>
      <c r="F33" s="57">
        <f t="shared" si="20"/>
        <v>5.7212329749103974</v>
      </c>
      <c r="G33" s="109">
        <v>5.2770626146364448</v>
      </c>
      <c r="H33" s="109">
        <v>16.267206477732792</v>
      </c>
      <c r="I33" s="113">
        <v>0.51041666666666674</v>
      </c>
      <c r="J33" s="109">
        <v>2.0840506329113926</v>
      </c>
      <c r="K33" s="8"/>
      <c r="L33" s="14">
        <f t="shared" si="0"/>
        <v>130.42682218453029</v>
      </c>
      <c r="M33" s="14">
        <f t="shared" si="1"/>
        <v>38.180812751225645</v>
      </c>
      <c r="N33" s="14">
        <f t="shared" si="2"/>
        <v>23.603238866396758</v>
      </c>
      <c r="O33" s="14">
        <f t="shared" si="3"/>
        <v>17.854251012145749</v>
      </c>
      <c r="P33" s="14">
        <f t="shared" si="4"/>
        <v>7.4376028673835171</v>
      </c>
      <c r="Q33" s="14">
        <f t="shared" si="5"/>
        <v>15.831187843909333</v>
      </c>
      <c r="R33" s="14">
        <f t="shared" si="6"/>
        <v>21.147368421052629</v>
      </c>
      <c r="S33" s="14">
        <f t="shared" si="7"/>
        <v>0.66354166666666681</v>
      </c>
      <c r="T33" s="14">
        <f t="shared" si="8"/>
        <v>6.2521518987341782</v>
      </c>
      <c r="U33" s="4"/>
      <c r="V33" s="14">
        <f t="shared" si="10"/>
        <v>261.39697751204471</v>
      </c>
      <c r="W33" s="14">
        <f t="shared" si="11"/>
        <v>255.14482561331053</v>
      </c>
      <c r="X33" s="166"/>
      <c r="Y33" s="4">
        <v>0.83101973957520092</v>
      </c>
      <c r="Z33" s="4">
        <v>0.50312720126228094</v>
      </c>
      <c r="AA33" s="4">
        <v>3.0744371572767575</v>
      </c>
      <c r="AB33" s="4">
        <v>5.7346699742992149</v>
      </c>
      <c r="AC33" s="4">
        <v>4.1916151887189157</v>
      </c>
      <c r="AD33" s="4"/>
      <c r="AE33" s="4">
        <v>5.9727827806978571</v>
      </c>
      <c r="AF33" s="4">
        <v>5.2642527723378514</v>
      </c>
      <c r="AG33" s="4"/>
      <c r="AH33" s="4"/>
      <c r="AI33" s="152">
        <f t="shared" si="12"/>
        <v>160.80231960780137</v>
      </c>
      <c r="AJ33" s="152">
        <f t="shared" si="13"/>
        <v>10.062544025245618</v>
      </c>
      <c r="AK33" s="152">
        <f t="shared" si="14"/>
        <v>15.372185786383788</v>
      </c>
      <c r="AL33" s="152">
        <f t="shared" si="15"/>
        <v>17.204009922897644</v>
      </c>
      <c r="AM33" s="152">
        <f t="shared" si="16"/>
        <v>5.4490997453345908</v>
      </c>
      <c r="AN33" s="152"/>
      <c r="AO33" s="152">
        <f t="shared" si="17"/>
        <v>7.7646176149072144</v>
      </c>
      <c r="AP33" s="152">
        <f t="shared" si="18"/>
        <v>6.8435286040392072</v>
      </c>
      <c r="AS33" s="107"/>
      <c r="AT33" s="155">
        <v>1677</v>
      </c>
      <c r="AU33" s="107"/>
    </row>
    <row r="34" spans="1:47" x14ac:dyDescent="0.2">
      <c r="A34" s="155">
        <v>1678</v>
      </c>
      <c r="B34" s="57">
        <v>0.81449383117637486</v>
      </c>
      <c r="C34" s="57">
        <f t="shared" si="19"/>
        <v>1.9236134668556431</v>
      </c>
      <c r="D34" s="57">
        <f t="shared" si="21"/>
        <v>4.7105263157894726</v>
      </c>
      <c r="E34" s="57">
        <v>5.8256578947368425</v>
      </c>
      <c r="F34" s="56">
        <v>5.7324731182795698</v>
      </c>
      <c r="G34" s="55">
        <f>G33+($G$37-$G$33)/4</f>
        <v>5.2518215625893951</v>
      </c>
      <c r="H34" s="109">
        <v>7.84</v>
      </c>
      <c r="I34" s="113">
        <v>1.53125</v>
      </c>
      <c r="J34" s="55">
        <f t="shared" ref="J34:J40" si="22">J33+($J$41-$J$33)/8</f>
        <v>2.0790664556962026</v>
      </c>
      <c r="K34" s="8"/>
      <c r="L34" s="14">
        <f t="shared" si="0"/>
        <v>145.79439578057111</v>
      </c>
      <c r="M34" s="14">
        <f t="shared" si="1"/>
        <v>38.472269337112863</v>
      </c>
      <c r="N34" s="14">
        <f t="shared" si="2"/>
        <v>23.552631578947363</v>
      </c>
      <c r="O34" s="14">
        <f t="shared" si="3"/>
        <v>17.476973684210527</v>
      </c>
      <c r="P34" s="14">
        <f t="shared" si="4"/>
        <v>7.4522150537634406</v>
      </c>
      <c r="Q34" s="14">
        <f t="shared" si="5"/>
        <v>15.755464687768185</v>
      </c>
      <c r="R34" s="14">
        <f t="shared" si="6"/>
        <v>10.192</v>
      </c>
      <c r="S34" s="14">
        <f t="shared" si="7"/>
        <v>1.9906250000000001</v>
      </c>
      <c r="T34" s="14">
        <f t="shared" si="8"/>
        <v>6.2371993670886079</v>
      </c>
      <c r="U34" s="4"/>
      <c r="V34" s="14">
        <f t="shared" si="10"/>
        <v>266.92377448946212</v>
      </c>
      <c r="W34" s="14">
        <f t="shared" si="11"/>
        <v>260.68657512237348</v>
      </c>
      <c r="X34" s="166"/>
      <c r="Y34" s="4">
        <v>1.0633818665309318</v>
      </c>
      <c r="Z34" s="4">
        <v>0.54944409094428404</v>
      </c>
      <c r="AA34" s="4">
        <v>3.1009262160020854</v>
      </c>
      <c r="AB34" s="4">
        <v>5.7881180431950225</v>
      </c>
      <c r="AC34" s="4">
        <v>4.5726739637885023</v>
      </c>
      <c r="AD34" s="4"/>
      <c r="AE34" s="4">
        <v>5.5723225741073525</v>
      </c>
      <c r="AF34" s="4">
        <v>5.421151311183003</v>
      </c>
      <c r="AG34" s="4"/>
      <c r="AH34" s="4"/>
      <c r="AI34" s="152">
        <f t="shared" si="12"/>
        <v>205.76439117373531</v>
      </c>
      <c r="AJ34" s="152">
        <f t="shared" si="13"/>
        <v>10.98888181888568</v>
      </c>
      <c r="AK34" s="152">
        <f t="shared" si="14"/>
        <v>15.504631080010427</v>
      </c>
      <c r="AL34" s="152">
        <f t="shared" si="15"/>
        <v>17.364354129585067</v>
      </c>
      <c r="AM34" s="152">
        <f t="shared" si="16"/>
        <v>5.9444761529250529</v>
      </c>
      <c r="AN34" s="152"/>
      <c r="AO34" s="152">
        <f t="shared" si="17"/>
        <v>7.2440193463395586</v>
      </c>
      <c r="AP34" s="152">
        <f t="shared" si="18"/>
        <v>7.0474967045379042</v>
      </c>
      <c r="AS34" s="107"/>
      <c r="AT34" s="155">
        <v>1678</v>
      </c>
      <c r="AU34" s="107"/>
    </row>
    <row r="35" spans="1:47" x14ac:dyDescent="0.2">
      <c r="A35" s="155">
        <v>1679</v>
      </c>
      <c r="B35" s="57">
        <v>0.90034619763470336</v>
      </c>
      <c r="C35" s="57">
        <f t="shared" si="19"/>
        <v>1.938186296150004</v>
      </c>
      <c r="D35" s="57">
        <f t="shared" si="21"/>
        <v>4.7004048582995939</v>
      </c>
      <c r="E35" s="57">
        <v>5.699898785425102</v>
      </c>
      <c r="F35" s="57">
        <f>F34+($F$37-$F$34)/3</f>
        <v>5.6591636798088407</v>
      </c>
      <c r="G35" s="55">
        <f>G34+($G$37-$G$33)/4</f>
        <v>5.2265805105423455</v>
      </c>
      <c r="H35" s="55">
        <f>H34+($H$37-$H$34)/3</f>
        <v>8.145441970310392</v>
      </c>
      <c r="I35" s="55">
        <f>I34+($I$37-$I$34)/3</f>
        <v>1.4137066814994605</v>
      </c>
      <c r="J35" s="55">
        <f t="shared" si="22"/>
        <v>2.0740822784810127</v>
      </c>
      <c r="K35" s="8"/>
      <c r="L35" s="14">
        <f t="shared" si="0"/>
        <v>161.16196937661189</v>
      </c>
      <c r="M35" s="14">
        <f t="shared" si="1"/>
        <v>38.763725923000081</v>
      </c>
      <c r="N35" s="14">
        <f t="shared" si="2"/>
        <v>23.502024291497968</v>
      </c>
      <c r="O35" s="14">
        <f t="shared" si="3"/>
        <v>17.099696356275306</v>
      </c>
      <c r="P35" s="14">
        <f t="shared" si="4"/>
        <v>7.3569127837514934</v>
      </c>
      <c r="Q35" s="14">
        <f t="shared" si="5"/>
        <v>15.679741531627037</v>
      </c>
      <c r="R35" s="14">
        <f t="shared" si="6"/>
        <v>10.58907456140351</v>
      </c>
      <c r="S35" s="14">
        <f t="shared" si="7"/>
        <v>1.8378186859492989</v>
      </c>
      <c r="T35" s="14">
        <f t="shared" si="8"/>
        <v>6.2222468354430376</v>
      </c>
      <c r="U35" s="4"/>
      <c r="V35" s="14">
        <f t="shared" si="10"/>
        <v>282.21321034555962</v>
      </c>
      <c r="W35" s="14">
        <f t="shared" si="11"/>
        <v>275.99096351011656</v>
      </c>
      <c r="X35" s="166"/>
      <c r="Y35" s="4">
        <v>1.1189819174002307</v>
      </c>
      <c r="Z35" s="4">
        <v>0.41152880733571684</v>
      </c>
      <c r="AA35" s="4">
        <v>3.1592474364727914</v>
      </c>
      <c r="AB35" s="4">
        <v>5.8627994011778863</v>
      </c>
      <c r="AC35" s="4">
        <v>3.3024880740553488</v>
      </c>
      <c r="AD35" s="4"/>
      <c r="AE35" s="4">
        <v>5.5137498554511808</v>
      </c>
      <c r="AF35" s="4">
        <v>5.8616856272748361</v>
      </c>
      <c r="AG35" s="4"/>
      <c r="AH35" s="4"/>
      <c r="AI35" s="152">
        <f t="shared" si="12"/>
        <v>216.52300101694465</v>
      </c>
      <c r="AJ35" s="152">
        <f t="shared" si="13"/>
        <v>8.2305761467143377</v>
      </c>
      <c r="AK35" s="152">
        <f t="shared" si="14"/>
        <v>15.796237182363956</v>
      </c>
      <c r="AL35" s="152">
        <f t="shared" si="15"/>
        <v>17.588398203533657</v>
      </c>
      <c r="AM35" s="152">
        <f t="shared" si="16"/>
        <v>4.2932344962719533</v>
      </c>
      <c r="AN35" s="152"/>
      <c r="AO35" s="152">
        <f t="shared" si="17"/>
        <v>7.1678748120865352</v>
      </c>
      <c r="AP35" s="152">
        <f t="shared" si="18"/>
        <v>7.6201913154572871</v>
      </c>
      <c r="AS35" s="107"/>
      <c r="AT35" s="155">
        <v>1679</v>
      </c>
      <c r="AU35" s="107"/>
    </row>
    <row r="36" spans="1:47" x14ac:dyDescent="0.2">
      <c r="A36" s="155">
        <v>1680</v>
      </c>
      <c r="B36" s="57">
        <v>0.98619856409303186</v>
      </c>
      <c r="C36" s="57">
        <f t="shared" si="19"/>
        <v>1.952759125444365</v>
      </c>
      <c r="D36" s="57">
        <f t="shared" si="21"/>
        <v>4.6902834008097152</v>
      </c>
      <c r="E36" s="57">
        <v>5.5741396761133615</v>
      </c>
      <c r="F36" s="57">
        <f>F35+($F$37-$F$34)/3</f>
        <v>5.5858542413381116</v>
      </c>
      <c r="G36" s="55">
        <f>G35+($G$37-$G$33)/4</f>
        <v>5.2013394584952959</v>
      </c>
      <c r="H36" s="55">
        <f>H35+($H$37-$H$34)/3</f>
        <v>8.4508839406207841</v>
      </c>
      <c r="I36" s="55">
        <f>I35+($I$37-$I$34)/3</f>
        <v>1.2961633629989211</v>
      </c>
      <c r="J36" s="55">
        <f t="shared" si="22"/>
        <v>2.0690981012658227</v>
      </c>
      <c r="K36" s="8"/>
      <c r="L36" s="14">
        <f t="shared" si="0"/>
        <v>176.52954297265271</v>
      </c>
      <c r="M36" s="14">
        <f t="shared" si="1"/>
        <v>39.055182508887299</v>
      </c>
      <c r="N36" s="14">
        <f t="shared" si="2"/>
        <v>23.451417004048576</v>
      </c>
      <c r="O36" s="14">
        <f t="shared" si="3"/>
        <v>16.722419028340084</v>
      </c>
      <c r="P36" s="14">
        <f t="shared" si="4"/>
        <v>7.2616105137395452</v>
      </c>
      <c r="Q36" s="14">
        <f t="shared" si="5"/>
        <v>15.604018375485888</v>
      </c>
      <c r="R36" s="14">
        <f t="shared" si="6"/>
        <v>10.986149122807019</v>
      </c>
      <c r="S36" s="14">
        <f t="shared" si="7"/>
        <v>1.6850123718985974</v>
      </c>
      <c r="T36" s="14">
        <f t="shared" si="8"/>
        <v>6.2072943037974682</v>
      </c>
      <c r="U36" s="4"/>
      <c r="V36" s="14">
        <f t="shared" si="10"/>
        <v>297.50264620165723</v>
      </c>
      <c r="W36" s="14">
        <f t="shared" si="11"/>
        <v>291.29535189785975</v>
      </c>
      <c r="X36" s="166"/>
      <c r="Y36" s="4">
        <v>0.89033656002552375</v>
      </c>
      <c r="Z36" s="4">
        <v>0.46261863091736177</v>
      </c>
      <c r="AA36" s="4">
        <v>3.010014350089302</v>
      </c>
      <c r="AB36" s="4">
        <v>5.8524431294784423</v>
      </c>
      <c r="AC36" s="4">
        <v>3.8105599476268406</v>
      </c>
      <c r="AD36" s="4"/>
      <c r="AE36" s="4">
        <v>5.5127409315469871</v>
      </c>
      <c r="AF36" s="4">
        <v>6.3789289808925931</v>
      </c>
      <c r="AG36" s="4"/>
      <c r="AH36" s="4"/>
      <c r="AI36" s="152">
        <f t="shared" si="12"/>
        <v>172.28012436493884</v>
      </c>
      <c r="AJ36" s="152">
        <f t="shared" si="13"/>
        <v>9.2523726183472359</v>
      </c>
      <c r="AK36" s="152">
        <f t="shared" si="14"/>
        <v>15.050071750446509</v>
      </c>
      <c r="AL36" s="152">
        <f t="shared" si="15"/>
        <v>17.557329388435328</v>
      </c>
      <c r="AM36" s="152">
        <f t="shared" si="16"/>
        <v>4.9537279319148926</v>
      </c>
      <c r="AN36" s="152"/>
      <c r="AO36" s="152">
        <f t="shared" si="17"/>
        <v>7.1665632110110833</v>
      </c>
      <c r="AP36" s="152">
        <f t="shared" si="18"/>
        <v>8.2926076751603706</v>
      </c>
      <c r="AS36" s="107"/>
      <c r="AT36" s="155">
        <v>1680</v>
      </c>
      <c r="AU36" s="107"/>
    </row>
    <row r="37" spans="1:47" x14ac:dyDescent="0.2">
      <c r="A37" s="155">
        <v>1681</v>
      </c>
      <c r="B37" s="56">
        <v>1.0720509305513604</v>
      </c>
      <c r="C37" s="57">
        <f t="shared" si="19"/>
        <v>1.967331954738726</v>
      </c>
      <c r="D37" s="57">
        <f t="shared" si="21"/>
        <v>4.6801619433198365</v>
      </c>
      <c r="E37" s="56">
        <v>5.4483805668016192</v>
      </c>
      <c r="F37" s="56">
        <v>5.5125448028673834</v>
      </c>
      <c r="G37" s="109">
        <v>5.1760984064482471</v>
      </c>
      <c r="H37" s="109">
        <v>8.7563259109311762</v>
      </c>
      <c r="I37" s="113">
        <v>1.1786200444983819</v>
      </c>
      <c r="J37" s="55">
        <f t="shared" si="22"/>
        <v>2.0641139240506328</v>
      </c>
      <c r="K37" s="8"/>
      <c r="L37" s="14">
        <f t="shared" si="0"/>
        <v>191.89711656869349</v>
      </c>
      <c r="M37" s="14">
        <f t="shared" si="1"/>
        <v>39.346639094774517</v>
      </c>
      <c r="N37" s="14">
        <f t="shared" si="2"/>
        <v>23.400809716599184</v>
      </c>
      <c r="O37" s="14">
        <f t="shared" si="3"/>
        <v>16.345141700404859</v>
      </c>
      <c r="P37" s="14">
        <f t="shared" si="4"/>
        <v>7.1663082437275989</v>
      </c>
      <c r="Q37" s="14">
        <f t="shared" si="5"/>
        <v>15.528295219344741</v>
      </c>
      <c r="R37" s="14">
        <f t="shared" si="6"/>
        <v>11.383223684210529</v>
      </c>
      <c r="S37" s="14">
        <f t="shared" si="7"/>
        <v>1.5322060578478964</v>
      </c>
      <c r="T37" s="14">
        <f t="shared" si="8"/>
        <v>6.1923417721518987</v>
      </c>
      <c r="U37" s="4"/>
      <c r="V37" s="14">
        <f t="shared" si="10"/>
        <v>312.79208205775467</v>
      </c>
      <c r="W37" s="14">
        <f t="shared" si="11"/>
        <v>306.59974028560276</v>
      </c>
      <c r="X37" s="166"/>
      <c r="Y37" s="4">
        <v>0.98062051373666692</v>
      </c>
      <c r="Z37" s="4">
        <v>0.45703273720158355</v>
      </c>
      <c r="AA37" s="4">
        <v>3.181675186263011</v>
      </c>
      <c r="AB37" s="4">
        <v>5.739850720040673</v>
      </c>
      <c r="AC37" s="4">
        <v>4.0645992238520199</v>
      </c>
      <c r="AD37" s="4"/>
      <c r="AE37" s="4">
        <v>5.0981409120287076</v>
      </c>
      <c r="AF37" s="4">
        <v>6.6930870618571427</v>
      </c>
      <c r="AG37" s="4"/>
      <c r="AH37" s="4"/>
      <c r="AI37" s="152">
        <f t="shared" si="12"/>
        <v>189.75006940804505</v>
      </c>
      <c r="AJ37" s="152">
        <f t="shared" si="13"/>
        <v>9.1406547440316714</v>
      </c>
      <c r="AK37" s="152">
        <f t="shared" si="14"/>
        <v>15.908375931315055</v>
      </c>
      <c r="AL37" s="152">
        <f t="shared" si="15"/>
        <v>17.219552160122021</v>
      </c>
      <c r="AM37" s="152">
        <f t="shared" si="16"/>
        <v>5.2839789910076265</v>
      </c>
      <c r="AN37" s="152"/>
      <c r="AO37" s="152">
        <f t="shared" si="17"/>
        <v>6.6275831856373202</v>
      </c>
      <c r="AP37" s="152">
        <f t="shared" si="18"/>
        <v>8.7010131804142858</v>
      </c>
      <c r="AS37" s="107"/>
      <c r="AT37" s="155">
        <v>1681</v>
      </c>
      <c r="AU37" s="107"/>
    </row>
    <row r="38" spans="1:47" x14ac:dyDescent="0.2">
      <c r="A38" s="155">
        <v>1682</v>
      </c>
      <c r="B38" s="56">
        <v>0.98271335300541374</v>
      </c>
      <c r="C38" s="57">
        <f t="shared" si="19"/>
        <v>1.981904784033087</v>
      </c>
      <c r="D38" s="56">
        <v>4.6700404858299596</v>
      </c>
      <c r="E38" s="56">
        <v>5.4483805668016192</v>
      </c>
      <c r="F38" s="57">
        <f>F37+($F$39-$F$37)/2</f>
        <v>5.5125448028673834</v>
      </c>
      <c r="G38" s="109">
        <v>5.1760984064482471</v>
      </c>
      <c r="H38" s="109">
        <v>8.3185096153846168</v>
      </c>
      <c r="I38" s="55">
        <f>I37+($I$39-$I$37)/2</f>
        <v>1.1786200444983819</v>
      </c>
      <c r="J38" s="55">
        <f t="shared" si="22"/>
        <v>2.0591297468354428</v>
      </c>
      <c r="K38" s="8"/>
      <c r="L38" s="14">
        <f t="shared" si="0"/>
        <v>175.90569018796907</v>
      </c>
      <c r="M38" s="14">
        <f t="shared" si="1"/>
        <v>39.638095680661742</v>
      </c>
      <c r="N38" s="14">
        <f t="shared" si="2"/>
        <v>23.350202429149796</v>
      </c>
      <c r="O38" s="14">
        <f t="shared" si="3"/>
        <v>16.345141700404859</v>
      </c>
      <c r="P38" s="14">
        <f t="shared" si="4"/>
        <v>7.1663082437275989</v>
      </c>
      <c r="Q38" s="14">
        <f t="shared" si="5"/>
        <v>15.528295219344741</v>
      </c>
      <c r="R38" s="14">
        <f t="shared" si="6"/>
        <v>10.814062500000002</v>
      </c>
      <c r="S38" s="14">
        <f t="shared" si="7"/>
        <v>1.5322060578478964</v>
      </c>
      <c r="T38" s="14">
        <f t="shared" si="8"/>
        <v>6.1773892405063284</v>
      </c>
      <c r="U38" s="4"/>
      <c r="V38" s="14">
        <f t="shared" si="10"/>
        <v>296.457391259612</v>
      </c>
      <c r="W38" s="14">
        <f t="shared" si="11"/>
        <v>290.28000201910567</v>
      </c>
      <c r="X38" s="166"/>
      <c r="Y38" s="4">
        <v>0.91818284520896465</v>
      </c>
      <c r="Z38" s="4">
        <v>0.60798488614493684</v>
      </c>
      <c r="AA38" s="4">
        <v>3.2145257856052338</v>
      </c>
      <c r="AB38" s="4">
        <v>5.8255720639422215</v>
      </c>
      <c r="AC38" s="4">
        <v>4.0645992238520199</v>
      </c>
      <c r="AD38" s="4"/>
      <c r="AE38" s="4">
        <v>4.8124289998201579</v>
      </c>
      <c r="AF38" s="4">
        <v>6.3982736508965319</v>
      </c>
      <c r="AG38" s="4"/>
      <c r="AH38" s="4"/>
      <c r="AI38" s="152">
        <f t="shared" si="12"/>
        <v>177.66838054793465</v>
      </c>
      <c r="AJ38" s="152">
        <f t="shared" si="13"/>
        <v>12.159697722898738</v>
      </c>
      <c r="AK38" s="152">
        <f t="shared" si="14"/>
        <v>16.07262892802617</v>
      </c>
      <c r="AL38" s="152">
        <f t="shared" si="15"/>
        <v>17.476716191826664</v>
      </c>
      <c r="AM38" s="152">
        <f t="shared" si="16"/>
        <v>5.2839789910076265</v>
      </c>
      <c r="AN38" s="152"/>
      <c r="AO38" s="152">
        <f t="shared" si="17"/>
        <v>6.2561576997662058</v>
      </c>
      <c r="AP38" s="152">
        <f t="shared" si="18"/>
        <v>8.3177557461654921</v>
      </c>
      <c r="AS38" s="107"/>
      <c r="AT38" s="155">
        <v>1682</v>
      </c>
      <c r="AU38" s="107"/>
    </row>
    <row r="39" spans="1:47" x14ac:dyDescent="0.2">
      <c r="A39" s="155">
        <v>1683</v>
      </c>
      <c r="B39" s="56">
        <v>1.0720509305513604</v>
      </c>
      <c r="C39" s="57">
        <f t="shared" si="19"/>
        <v>1.996477613327448</v>
      </c>
      <c r="D39" s="56">
        <v>4.6700404858299596</v>
      </c>
      <c r="E39" s="56">
        <v>5.4483805668016192</v>
      </c>
      <c r="F39" s="56">
        <v>5.5125448028673834</v>
      </c>
      <c r="G39" s="109">
        <v>5.1760984064482471</v>
      </c>
      <c r="H39" s="109">
        <v>8.3185096153846168</v>
      </c>
      <c r="I39" s="113">
        <v>1.1786200444983819</v>
      </c>
      <c r="J39" s="55">
        <f t="shared" si="22"/>
        <v>2.0541455696202529</v>
      </c>
      <c r="K39" s="8"/>
      <c r="L39" s="14">
        <f t="shared" si="0"/>
        <v>191.89711656869349</v>
      </c>
      <c r="M39" s="14">
        <f t="shared" si="1"/>
        <v>39.92955226654896</v>
      </c>
      <c r="N39" s="14">
        <f t="shared" si="2"/>
        <v>23.350202429149796</v>
      </c>
      <c r="O39" s="14">
        <f t="shared" si="3"/>
        <v>16.345141700404859</v>
      </c>
      <c r="P39" s="14">
        <f t="shared" si="4"/>
        <v>7.1663082437275989</v>
      </c>
      <c r="Q39" s="14">
        <f t="shared" si="5"/>
        <v>15.528295219344741</v>
      </c>
      <c r="R39" s="14">
        <f t="shared" si="6"/>
        <v>10.814062500000002</v>
      </c>
      <c r="S39" s="14">
        <f t="shared" si="7"/>
        <v>1.5322060578478964</v>
      </c>
      <c r="T39" s="14">
        <f t="shared" si="8"/>
        <v>6.1624367088607581</v>
      </c>
      <c r="U39" s="4"/>
      <c r="V39" s="14">
        <f t="shared" si="10"/>
        <v>312.72532169457804</v>
      </c>
      <c r="W39" s="14">
        <f t="shared" si="11"/>
        <v>306.56288498571729</v>
      </c>
      <c r="X39" s="166"/>
      <c r="Y39" s="4">
        <v>0.89217878898281566</v>
      </c>
      <c r="Z39" s="4">
        <v>0.49325536581982482</v>
      </c>
      <c r="AA39" s="4">
        <v>2.9854421093757582</v>
      </c>
      <c r="AB39" s="4">
        <v>5.6867061870691407</v>
      </c>
      <c r="AC39" s="4">
        <v>4.0645992238520199</v>
      </c>
      <c r="AD39" s="4"/>
      <c r="AE39" s="4">
        <v>4.5628386746818475</v>
      </c>
      <c r="AF39" s="4">
        <v>5.5523608291358499</v>
      </c>
      <c r="AG39" s="4"/>
      <c r="AH39" s="4"/>
      <c r="AI39" s="152">
        <f t="shared" si="12"/>
        <v>172.63659566817483</v>
      </c>
      <c r="AJ39" s="152">
        <f t="shared" si="13"/>
        <v>9.8651073163964966</v>
      </c>
      <c r="AK39" s="152">
        <f t="shared" si="14"/>
        <v>14.92721054687879</v>
      </c>
      <c r="AL39" s="152">
        <f t="shared" si="15"/>
        <v>17.060118561207421</v>
      </c>
      <c r="AM39" s="152">
        <f t="shared" si="16"/>
        <v>5.2839789910076265</v>
      </c>
      <c r="AN39" s="152"/>
      <c r="AO39" s="152">
        <f t="shared" si="17"/>
        <v>5.9316902770864015</v>
      </c>
      <c r="AP39" s="152">
        <f t="shared" si="18"/>
        <v>7.2180690778766055</v>
      </c>
      <c r="AS39" s="107"/>
      <c r="AT39" s="155">
        <v>1683</v>
      </c>
      <c r="AU39" s="107"/>
    </row>
    <row r="40" spans="1:47" x14ac:dyDescent="0.2">
      <c r="A40" s="155">
        <v>1684</v>
      </c>
      <c r="B40" s="56">
        <v>0.98271335300541374</v>
      </c>
      <c r="C40" s="57">
        <f t="shared" si="19"/>
        <v>2.011050442621809</v>
      </c>
      <c r="D40" s="56">
        <v>4.6700404858299596</v>
      </c>
      <c r="E40" s="56">
        <v>5.4483805668016192</v>
      </c>
      <c r="F40" s="56">
        <v>5.5125448028673834</v>
      </c>
      <c r="G40" s="109">
        <v>5.4996045568512635</v>
      </c>
      <c r="H40" s="109">
        <v>10.313006072874495</v>
      </c>
      <c r="I40" s="113">
        <v>1.1786200444983819</v>
      </c>
      <c r="J40" s="55">
        <f t="shared" si="22"/>
        <v>2.0491613924050629</v>
      </c>
      <c r="K40" s="8"/>
      <c r="L40" s="14">
        <f t="shared" si="0"/>
        <v>175.90569018796907</v>
      </c>
      <c r="M40" s="14">
        <f t="shared" si="1"/>
        <v>40.221008852436178</v>
      </c>
      <c r="N40" s="14">
        <f t="shared" si="2"/>
        <v>23.350202429149796</v>
      </c>
      <c r="O40" s="14">
        <f t="shared" si="3"/>
        <v>16.345141700404859</v>
      </c>
      <c r="P40" s="14">
        <f t="shared" si="4"/>
        <v>7.1663082437275989</v>
      </c>
      <c r="Q40" s="14">
        <f t="shared" si="5"/>
        <v>16.49881367055379</v>
      </c>
      <c r="R40" s="14">
        <f t="shared" si="6"/>
        <v>13.406907894736845</v>
      </c>
      <c r="S40" s="14">
        <f t="shared" si="7"/>
        <v>1.5322060578478964</v>
      </c>
      <c r="T40" s="14">
        <f t="shared" si="8"/>
        <v>6.1474841772151887</v>
      </c>
      <c r="U40" s="4"/>
      <c r="V40" s="14">
        <f t="shared" si="10"/>
        <v>300.57376321404115</v>
      </c>
      <c r="W40" s="14">
        <f t="shared" si="11"/>
        <v>294.42627903682597</v>
      </c>
      <c r="X40" s="166"/>
      <c r="Y40" s="4">
        <v>0.92314890489828627</v>
      </c>
      <c r="Z40" s="4">
        <v>0.54451038968724952</v>
      </c>
      <c r="AA40" s="4">
        <v>3.2145257856052338</v>
      </c>
      <c r="AB40" s="4">
        <v>5.2006894484122714</v>
      </c>
      <c r="AC40" s="4">
        <v>4.2551250315892934</v>
      </c>
      <c r="AD40" s="4"/>
      <c r="AE40" s="4">
        <v>5.2278334932511079</v>
      </c>
      <c r="AF40" s="4">
        <v>6.1971791451636138</v>
      </c>
      <c r="AG40" s="4"/>
      <c r="AH40" s="4"/>
      <c r="AI40" s="152">
        <f t="shared" si="12"/>
        <v>178.6293130978184</v>
      </c>
      <c r="AJ40" s="152">
        <f t="shared" si="13"/>
        <v>10.89020779374499</v>
      </c>
      <c r="AK40" s="152">
        <f t="shared" si="14"/>
        <v>16.07262892802617</v>
      </c>
      <c r="AL40" s="152">
        <f t="shared" si="15"/>
        <v>15.602068345236814</v>
      </c>
      <c r="AM40" s="152">
        <f t="shared" si="16"/>
        <v>5.5316625410660816</v>
      </c>
      <c r="AN40" s="152"/>
      <c r="AO40" s="152">
        <f t="shared" si="17"/>
        <v>6.7961835412264406</v>
      </c>
      <c r="AP40" s="152">
        <f t="shared" si="18"/>
        <v>8.0563328887126975</v>
      </c>
      <c r="AS40" s="107"/>
      <c r="AT40" s="155">
        <v>1684</v>
      </c>
      <c r="AU40" s="107"/>
    </row>
    <row r="41" spans="1:47" x14ac:dyDescent="0.2">
      <c r="A41" s="155">
        <v>1685</v>
      </c>
      <c r="B41" s="56">
        <v>0.8755082599502777</v>
      </c>
      <c r="C41" s="57">
        <f t="shared" si="19"/>
        <v>2.02562327191617</v>
      </c>
      <c r="D41" s="56">
        <v>4.6700404858299596</v>
      </c>
      <c r="E41" s="56">
        <v>8.1725708502024297</v>
      </c>
      <c r="F41" s="56">
        <v>10.473835125448028</v>
      </c>
      <c r="G41" s="109">
        <v>5.1760984064482471</v>
      </c>
      <c r="H41" s="109">
        <v>13.021934786060175</v>
      </c>
      <c r="I41" s="113">
        <v>1.4619010416666669</v>
      </c>
      <c r="J41" s="109">
        <v>2.0441772151898738</v>
      </c>
      <c r="K41" s="8"/>
      <c r="L41" s="14">
        <f t="shared" si="0"/>
        <v>156.71597853109972</v>
      </c>
      <c r="M41" s="14">
        <f t="shared" si="1"/>
        <v>40.512465438323403</v>
      </c>
      <c r="N41" s="14">
        <f t="shared" si="2"/>
        <v>23.350202429149796</v>
      </c>
      <c r="O41" s="14">
        <f t="shared" si="3"/>
        <v>24.517712550607289</v>
      </c>
      <c r="P41" s="14">
        <f t="shared" si="4"/>
        <v>13.615985663082437</v>
      </c>
      <c r="Q41" s="14">
        <f t="shared" si="5"/>
        <v>15.528295219344741</v>
      </c>
      <c r="R41" s="14">
        <f t="shared" si="6"/>
        <v>16.928515221878229</v>
      </c>
      <c r="S41" s="14">
        <f t="shared" si="7"/>
        <v>1.9004713541666671</v>
      </c>
      <c r="T41" s="14">
        <f t="shared" si="8"/>
        <v>6.132531645569621</v>
      </c>
      <c r="U41" s="4"/>
      <c r="V41" s="14">
        <f t="shared" si="10"/>
        <v>299.20215805322186</v>
      </c>
      <c r="W41" s="14">
        <f t="shared" si="11"/>
        <v>293.06962640765227</v>
      </c>
      <c r="X41" s="166"/>
      <c r="Y41" s="4">
        <v>0.97210473292120791</v>
      </c>
      <c r="Z41" s="4">
        <v>0.72306131385586991</v>
      </c>
      <c r="AA41" s="4">
        <v>3.2887016322114553</v>
      </c>
      <c r="AB41" s="4">
        <v>5.8489678105314447</v>
      </c>
      <c r="AC41" s="4">
        <v>4.3127818908738558</v>
      </c>
      <c r="AD41" s="4"/>
      <c r="AE41" s="4">
        <v>5.6513923375333661</v>
      </c>
      <c r="AF41" s="4">
        <v>5.7580864843198647</v>
      </c>
      <c r="AG41" s="4"/>
      <c r="AH41" s="4"/>
      <c r="AI41" s="152">
        <f t="shared" si="12"/>
        <v>188.10226582025373</v>
      </c>
      <c r="AJ41" s="152">
        <f t="shared" si="13"/>
        <v>14.461226277117397</v>
      </c>
      <c r="AK41" s="152">
        <f t="shared" si="14"/>
        <v>16.443508161057277</v>
      </c>
      <c r="AL41" s="152">
        <f t="shared" si="15"/>
        <v>17.546903431594334</v>
      </c>
      <c r="AM41" s="152">
        <f t="shared" si="16"/>
        <v>5.6066164581360125</v>
      </c>
      <c r="AN41" s="152"/>
      <c r="AO41" s="152">
        <f t="shared" si="17"/>
        <v>7.3468100387933761</v>
      </c>
      <c r="AP41" s="152">
        <f t="shared" si="18"/>
        <v>7.4855124296158246</v>
      </c>
      <c r="AS41" s="107"/>
      <c r="AT41" s="155">
        <v>1685</v>
      </c>
      <c r="AU41" s="107"/>
    </row>
    <row r="42" spans="1:47" x14ac:dyDescent="0.2">
      <c r="A42" s="155">
        <v>1686</v>
      </c>
      <c r="B42" s="56">
        <v>0.893375775459467</v>
      </c>
      <c r="C42" s="57">
        <f t="shared" si="19"/>
        <v>2.040196101210531</v>
      </c>
      <c r="D42" s="57">
        <v>4.6700404858299596</v>
      </c>
      <c r="E42" s="57">
        <v>7.5239541160593797</v>
      </c>
      <c r="F42" s="56">
        <v>5.6227956989247314</v>
      </c>
      <c r="G42" s="109">
        <v>5.1760984064482471</v>
      </c>
      <c r="H42" s="109">
        <v>13.143610039220649</v>
      </c>
      <c r="I42" s="113">
        <v>0.50065104166666674</v>
      </c>
      <c r="J42" s="109">
        <v>2.0441772151898738</v>
      </c>
      <c r="K42" s="8"/>
      <c r="L42" s="14">
        <f t="shared" si="0"/>
        <v>159.91426380724459</v>
      </c>
      <c r="M42" s="14">
        <f t="shared" si="1"/>
        <v>40.803922024210621</v>
      </c>
      <c r="N42" s="14">
        <f t="shared" si="2"/>
        <v>23.350202429149796</v>
      </c>
      <c r="O42" s="14">
        <f t="shared" si="3"/>
        <v>22.57186234817814</v>
      </c>
      <c r="P42" s="14">
        <f t="shared" si="4"/>
        <v>7.3096344086021512</v>
      </c>
      <c r="Q42" s="14">
        <f t="shared" si="5"/>
        <v>15.528295219344741</v>
      </c>
      <c r="R42" s="14">
        <f t="shared" si="6"/>
        <v>17.086693050986845</v>
      </c>
      <c r="S42" s="14">
        <f t="shared" si="7"/>
        <v>0.65084635416666681</v>
      </c>
      <c r="T42" s="14">
        <f t="shared" si="8"/>
        <v>6.132531645569621</v>
      </c>
      <c r="U42" s="4"/>
      <c r="V42" s="14">
        <f t="shared" si="10"/>
        <v>293.34825128745319</v>
      </c>
      <c r="W42" s="14">
        <f t="shared" si="11"/>
        <v>287.2157196418836</v>
      </c>
      <c r="X42" s="166"/>
      <c r="Y42" s="4">
        <v>0.7606334314478157</v>
      </c>
      <c r="Z42" s="4">
        <v>0.5899359804750326</v>
      </c>
      <c r="AA42" s="4">
        <v>3.0529607156781866</v>
      </c>
      <c r="AB42" s="4">
        <v>5.2571875793855849</v>
      </c>
      <c r="AC42" s="4">
        <v>0</v>
      </c>
      <c r="AD42" s="4"/>
      <c r="AE42" s="4">
        <v>5.2247186328097452</v>
      </c>
      <c r="AF42" s="4">
        <v>5.7835472871185507</v>
      </c>
      <c r="AG42" s="4"/>
      <c r="AH42" s="4"/>
      <c r="AI42" s="152">
        <f t="shared" si="12"/>
        <v>147.18256898515233</v>
      </c>
      <c r="AJ42" s="152">
        <f t="shared" si="13"/>
        <v>11.798719609500651</v>
      </c>
      <c r="AK42" s="152">
        <f t="shared" si="14"/>
        <v>15.264803578390932</v>
      </c>
      <c r="AL42" s="152">
        <f t="shared" si="15"/>
        <v>15.771562738156755</v>
      </c>
      <c r="AM42" s="152">
        <f t="shared" si="16"/>
        <v>0</v>
      </c>
      <c r="AN42" s="152"/>
      <c r="AO42" s="152">
        <f t="shared" si="17"/>
        <v>6.7921342226526686</v>
      </c>
      <c r="AP42" s="152">
        <f t="shared" si="18"/>
        <v>7.5186114732541158</v>
      </c>
      <c r="AS42" s="107"/>
      <c r="AT42" s="155">
        <v>1686</v>
      </c>
      <c r="AU42" s="107"/>
    </row>
    <row r="43" spans="1:47" x14ac:dyDescent="0.2">
      <c r="A43" s="155">
        <v>1687</v>
      </c>
      <c r="B43" s="57">
        <v>0.893375775459467</v>
      </c>
      <c r="C43" s="57">
        <f t="shared" si="19"/>
        <v>2.054768930504892</v>
      </c>
      <c r="D43" s="57">
        <v>4.6700404858299596</v>
      </c>
      <c r="E43" s="57">
        <v>6.8753373819163297</v>
      </c>
      <c r="F43" s="57">
        <f t="shared" ref="F43:F52" si="23">F42+($F$53-$F$42)/11</f>
        <v>5.7380579993483218</v>
      </c>
      <c r="G43" s="55">
        <f>G42+($G$45-$G$42)/3</f>
        <v>4.4068726710455213</v>
      </c>
      <c r="H43" s="55">
        <f>H42+($H$45-$H$42)/3</f>
        <v>13.432447178643725</v>
      </c>
      <c r="I43" s="55">
        <f>I42+($I$44-$I$42)/2</f>
        <v>0.50065104166666674</v>
      </c>
      <c r="J43" s="55">
        <f>J42+($J$44-$J$42)/2</f>
        <v>2.0441772151898738</v>
      </c>
      <c r="K43" s="7"/>
      <c r="L43" s="14">
        <f t="shared" si="0"/>
        <v>159.91426380724459</v>
      </c>
      <c r="M43" s="14">
        <f t="shared" si="1"/>
        <v>41.095378610097839</v>
      </c>
      <c r="N43" s="14">
        <f t="shared" si="2"/>
        <v>23.350202429149796</v>
      </c>
      <c r="O43" s="14">
        <f t="shared" si="3"/>
        <v>20.626012145748987</v>
      </c>
      <c r="P43" s="14">
        <f t="shared" si="4"/>
        <v>7.4594753991528187</v>
      </c>
      <c r="Q43" s="14">
        <f t="shared" si="5"/>
        <v>13.220618013136564</v>
      </c>
      <c r="R43" s="14">
        <f t="shared" si="6"/>
        <v>17.462181332236845</v>
      </c>
      <c r="S43" s="14">
        <f t="shared" si="7"/>
        <v>0.65084635416666681</v>
      </c>
      <c r="T43" s="14">
        <f t="shared" si="8"/>
        <v>6.132531645569621</v>
      </c>
      <c r="U43" s="4"/>
      <c r="V43" s="14">
        <f t="shared" si="10"/>
        <v>289.91150973650372</v>
      </c>
      <c r="W43" s="14">
        <f t="shared" si="11"/>
        <v>283.77897809093412</v>
      </c>
      <c r="X43" s="166"/>
      <c r="Y43" s="4">
        <v>0.77537636875634319</v>
      </c>
      <c r="Z43" s="4">
        <v>0.52112869329995426</v>
      </c>
      <c r="AA43" s="4">
        <v>3.0529607156781866</v>
      </c>
      <c r="AB43" s="4">
        <v>5.2881803264252474</v>
      </c>
      <c r="AC43" s="4">
        <v>4.3694019501121275</v>
      </c>
      <c r="AD43" s="4"/>
      <c r="AE43" s="4">
        <v>4.9556430938941913</v>
      </c>
      <c r="AF43" s="4">
        <v>6.1679295351366203</v>
      </c>
      <c r="AG43" s="4"/>
      <c r="AH43" s="4"/>
      <c r="AI43" s="152">
        <f t="shared" si="12"/>
        <v>150.0353273543524</v>
      </c>
      <c r="AJ43" s="152">
        <f t="shared" si="13"/>
        <v>10.422573865999086</v>
      </c>
      <c r="AK43" s="152">
        <f t="shared" si="14"/>
        <v>15.264803578390932</v>
      </c>
      <c r="AL43" s="152">
        <f t="shared" si="15"/>
        <v>15.864540979275741</v>
      </c>
      <c r="AM43" s="152">
        <f t="shared" si="16"/>
        <v>5.6802225351457656</v>
      </c>
      <c r="AN43" s="152"/>
      <c r="AO43" s="152">
        <f t="shared" si="17"/>
        <v>6.4423360220624488</v>
      </c>
      <c r="AP43" s="152">
        <f t="shared" si="18"/>
        <v>8.0183083956776073</v>
      </c>
      <c r="AS43" s="107"/>
      <c r="AT43" s="155">
        <v>1687</v>
      </c>
      <c r="AU43" s="107"/>
    </row>
    <row r="44" spans="1:47" x14ac:dyDescent="0.2">
      <c r="A44" s="155">
        <v>1688</v>
      </c>
      <c r="B44" s="56">
        <v>0.893375775459467</v>
      </c>
      <c r="C44" s="57">
        <f t="shared" si="19"/>
        <v>2.0693417597992529</v>
      </c>
      <c r="D44" s="56">
        <v>4.6700404858299596</v>
      </c>
      <c r="E44" s="56">
        <v>6.2267206477732806</v>
      </c>
      <c r="F44" s="57">
        <f t="shared" si="23"/>
        <v>5.8533202997719123</v>
      </c>
      <c r="G44" s="55">
        <f>G43+($G$45-$G$42)/3</f>
        <v>3.6376469356427958</v>
      </c>
      <c r="H44" s="55">
        <f>H43+($H$45-$H$42)/3</f>
        <v>13.721284318066802</v>
      </c>
      <c r="I44" s="113">
        <v>0.50065104166666674</v>
      </c>
      <c r="J44" s="109">
        <v>2.0441772151898738</v>
      </c>
      <c r="K44" s="8"/>
      <c r="L44" s="14">
        <f t="shared" si="0"/>
        <v>159.91426380724459</v>
      </c>
      <c r="M44" s="14">
        <f t="shared" si="1"/>
        <v>41.386835195985057</v>
      </c>
      <c r="N44" s="14">
        <f t="shared" si="2"/>
        <v>23.350202429149796</v>
      </c>
      <c r="O44" s="14">
        <f t="shared" si="3"/>
        <v>18.680161943319842</v>
      </c>
      <c r="P44" s="14">
        <f t="shared" si="4"/>
        <v>7.6093163897034861</v>
      </c>
      <c r="Q44" s="14">
        <f t="shared" si="5"/>
        <v>10.912940806928388</v>
      </c>
      <c r="R44" s="14">
        <f t="shared" si="6"/>
        <v>17.837669613486842</v>
      </c>
      <c r="S44" s="14">
        <f t="shared" si="7"/>
        <v>0.65084635416666681</v>
      </c>
      <c r="T44" s="14">
        <f t="shared" si="8"/>
        <v>6.132531645569621</v>
      </c>
      <c r="U44" s="4"/>
      <c r="V44" s="14">
        <f t="shared" si="10"/>
        <v>286.47476818555424</v>
      </c>
      <c r="W44" s="14">
        <f t="shared" si="11"/>
        <v>280.34223653998464</v>
      </c>
      <c r="X44" s="166"/>
      <c r="Y44" s="4">
        <v>0.65260728593826034</v>
      </c>
      <c r="Z44" s="4">
        <v>0.5245564368793314</v>
      </c>
      <c r="AA44" s="4">
        <v>3.1310544920120713</v>
      </c>
      <c r="AB44" s="4">
        <v>5.6762125346128443</v>
      </c>
      <c r="AC44" s="4">
        <v>4.0645992238520199</v>
      </c>
      <c r="AD44" s="4"/>
      <c r="AE44" s="4">
        <v>4.7983060348525575</v>
      </c>
      <c r="AF44" s="4">
        <v>4.7934011513621906</v>
      </c>
      <c r="AG44" s="4"/>
      <c r="AH44" s="4"/>
      <c r="AI44" s="152">
        <f t="shared" si="12"/>
        <v>126.27950982905338</v>
      </c>
      <c r="AJ44" s="152">
        <f t="shared" si="13"/>
        <v>10.491128737586628</v>
      </c>
      <c r="AK44" s="152">
        <f t="shared" si="14"/>
        <v>15.655272460060356</v>
      </c>
      <c r="AL44" s="152">
        <f t="shared" si="15"/>
        <v>17.028637603838533</v>
      </c>
      <c r="AM44" s="152">
        <f t="shared" si="16"/>
        <v>5.2839789910076265</v>
      </c>
      <c r="AN44" s="152"/>
      <c r="AO44" s="152">
        <f t="shared" si="17"/>
        <v>6.2377978453083252</v>
      </c>
      <c r="AP44" s="152">
        <f t="shared" si="18"/>
        <v>6.2314214967708477</v>
      </c>
      <c r="AS44" s="107"/>
      <c r="AT44" s="155">
        <v>1688</v>
      </c>
      <c r="AU44" s="107"/>
    </row>
    <row r="45" spans="1:47" x14ac:dyDescent="0.2">
      <c r="A45" s="155">
        <v>1689</v>
      </c>
      <c r="B45" s="56">
        <v>1.0720509305513604</v>
      </c>
      <c r="C45" s="57">
        <f t="shared" si="19"/>
        <v>2.0839145890936139</v>
      </c>
      <c r="D45" s="57">
        <v>4.4754554655870447</v>
      </c>
      <c r="E45" s="56">
        <v>5.4483805668016192</v>
      </c>
      <c r="F45" s="57">
        <f t="shared" si="23"/>
        <v>5.9685826001955027</v>
      </c>
      <c r="G45" s="109">
        <v>2.8684212002400704</v>
      </c>
      <c r="H45" s="109">
        <v>14.010121457489879</v>
      </c>
      <c r="I45" s="113">
        <v>0.48062500000000014</v>
      </c>
      <c r="J45" s="55">
        <f>J44+($J$46-$J$44)/2</f>
        <v>2.0441772151898738</v>
      </c>
      <c r="K45" s="8"/>
      <c r="L45" s="14">
        <f t="shared" si="0"/>
        <v>191.89711656869349</v>
      </c>
      <c r="M45" s="14">
        <f t="shared" si="1"/>
        <v>41.678291781872275</v>
      </c>
      <c r="N45" s="14">
        <f t="shared" si="2"/>
        <v>22.377277327935225</v>
      </c>
      <c r="O45" s="14">
        <f t="shared" si="3"/>
        <v>16.345141700404859</v>
      </c>
      <c r="P45" s="14">
        <f t="shared" si="4"/>
        <v>7.7591573802541536</v>
      </c>
      <c r="Q45" s="14">
        <f t="shared" si="5"/>
        <v>8.6052636007202103</v>
      </c>
      <c r="R45" s="14">
        <f t="shared" si="6"/>
        <v>18.213157894736842</v>
      </c>
      <c r="S45" s="14">
        <f t="shared" si="7"/>
        <v>0.62481250000000021</v>
      </c>
      <c r="T45" s="14">
        <f t="shared" si="8"/>
        <v>6.132531645569621</v>
      </c>
      <c r="U45" s="4"/>
      <c r="V45" s="14">
        <f t="shared" si="10"/>
        <v>313.63275040018669</v>
      </c>
      <c r="W45" s="14">
        <f t="shared" si="11"/>
        <v>307.50021875461709</v>
      </c>
      <c r="X45" s="166"/>
      <c r="Y45" s="4">
        <v>0.63548567468567618</v>
      </c>
      <c r="Z45" s="4">
        <v>0.36282550758763876</v>
      </c>
      <c r="AA45" s="4">
        <v>3.0512210239294997</v>
      </c>
      <c r="AB45" s="4">
        <v>5.4655087135441764</v>
      </c>
      <c r="AC45" s="4">
        <v>0</v>
      </c>
      <c r="AD45" s="4"/>
      <c r="AE45" s="4">
        <v>4.9378644799209939</v>
      </c>
      <c r="AF45" s="4">
        <v>6.026926696638637</v>
      </c>
      <c r="AG45" s="4"/>
      <c r="AH45" s="4"/>
      <c r="AI45" s="152">
        <f t="shared" si="12"/>
        <v>122.96647805167834</v>
      </c>
      <c r="AJ45" s="152">
        <f t="shared" si="13"/>
        <v>7.2565101517527753</v>
      </c>
      <c r="AK45" s="152">
        <f t="shared" si="14"/>
        <v>15.256105119647499</v>
      </c>
      <c r="AL45" s="152">
        <f t="shared" si="15"/>
        <v>16.396526140632531</v>
      </c>
      <c r="AM45" s="152">
        <f t="shared" si="16"/>
        <v>0</v>
      </c>
      <c r="AN45" s="152"/>
      <c r="AO45" s="152">
        <f t="shared" si="17"/>
        <v>6.4192238238972923</v>
      </c>
      <c r="AP45" s="152">
        <f t="shared" si="18"/>
        <v>7.8350047056302285</v>
      </c>
      <c r="AS45" s="107"/>
      <c r="AT45" s="155">
        <v>1689</v>
      </c>
      <c r="AU45" s="107"/>
    </row>
    <row r="46" spans="1:47" x14ac:dyDescent="0.2">
      <c r="A46" s="155">
        <v>1690</v>
      </c>
      <c r="B46" s="56">
        <v>0.71470062036757365</v>
      </c>
      <c r="C46" s="57">
        <f t="shared" si="19"/>
        <v>2.0984874183879749</v>
      </c>
      <c r="D46" s="56">
        <v>4.2808704453441306</v>
      </c>
      <c r="E46" s="57">
        <v>6.0321356275303639</v>
      </c>
      <c r="F46" s="57">
        <f t="shared" si="23"/>
        <v>6.0838449006190931</v>
      </c>
      <c r="G46" s="55">
        <f t="shared" ref="G46:G52" si="24">G45+($G$53-$G$45)/8</f>
        <v>2.8333747006130769</v>
      </c>
      <c r="H46" s="109">
        <v>14.01012145748988</v>
      </c>
      <c r="I46" s="113">
        <v>0.50065104166666674</v>
      </c>
      <c r="J46" s="109">
        <v>2.0441772151898738</v>
      </c>
      <c r="K46" s="8"/>
      <c r="L46" s="14">
        <f t="shared" si="0"/>
        <v>127.93141104579568</v>
      </c>
      <c r="M46" s="14">
        <f t="shared" si="1"/>
        <v>41.9697483677595</v>
      </c>
      <c r="N46" s="14">
        <f t="shared" si="2"/>
        <v>21.404352226720654</v>
      </c>
      <c r="O46" s="14">
        <f t="shared" si="3"/>
        <v>18.09640688259109</v>
      </c>
      <c r="P46" s="14">
        <f t="shared" si="4"/>
        <v>7.908998370804821</v>
      </c>
      <c r="Q46" s="14">
        <f t="shared" si="5"/>
        <v>8.50012410183923</v>
      </c>
      <c r="R46" s="14">
        <f t="shared" si="6"/>
        <v>18.213157894736845</v>
      </c>
      <c r="S46" s="14">
        <f t="shared" si="7"/>
        <v>0.65084635416666681</v>
      </c>
      <c r="T46" s="14">
        <f t="shared" si="8"/>
        <v>6.132531645569621</v>
      </c>
      <c r="U46" s="4"/>
      <c r="V46" s="14">
        <f t="shared" si="10"/>
        <v>250.80757688998409</v>
      </c>
      <c r="W46" s="14">
        <f t="shared" si="11"/>
        <v>244.67504524441446</v>
      </c>
      <c r="X46" s="166"/>
      <c r="Y46" s="4">
        <v>0.72891749394594407</v>
      </c>
      <c r="Z46" s="4">
        <v>0.37283054868171728</v>
      </c>
      <c r="AA46" s="4">
        <v>3.0713949706219181</v>
      </c>
      <c r="AB46" s="4">
        <v>5.1071841380748797</v>
      </c>
      <c r="AC46" s="4">
        <v>4.2204896250923349</v>
      </c>
      <c r="AD46" s="4"/>
      <c r="AE46" s="4">
        <v>5.1877908228469716</v>
      </c>
      <c r="AF46" s="4">
        <v>6.611610114897676</v>
      </c>
      <c r="AG46" s="4"/>
      <c r="AH46" s="4"/>
      <c r="AI46" s="152">
        <f t="shared" si="12"/>
        <v>141.04553507854018</v>
      </c>
      <c r="AJ46" s="152">
        <f t="shared" si="13"/>
        <v>7.456610973634346</v>
      </c>
      <c r="AK46" s="152">
        <f t="shared" si="14"/>
        <v>15.356974853109591</v>
      </c>
      <c r="AL46" s="152">
        <f t="shared" si="15"/>
        <v>15.321552414224639</v>
      </c>
      <c r="AM46" s="152">
        <f t="shared" si="16"/>
        <v>5.486636512620036</v>
      </c>
      <c r="AN46" s="152"/>
      <c r="AO46" s="152">
        <f t="shared" si="17"/>
        <v>6.7441280697010635</v>
      </c>
      <c r="AP46" s="152">
        <f t="shared" si="18"/>
        <v>8.5950931493669795</v>
      </c>
      <c r="AS46" s="107"/>
      <c r="AT46" s="155">
        <v>1690</v>
      </c>
      <c r="AU46" s="107"/>
    </row>
    <row r="47" spans="1:47" x14ac:dyDescent="0.2">
      <c r="A47" s="155">
        <v>1691</v>
      </c>
      <c r="B47" s="56">
        <v>0.80403819791352038</v>
      </c>
      <c r="C47" s="57">
        <f t="shared" si="19"/>
        <v>2.1130602476823359</v>
      </c>
      <c r="D47" s="56">
        <v>6.0126771255060731</v>
      </c>
      <c r="E47" s="57">
        <v>6.6158906882591086</v>
      </c>
      <c r="F47" s="57">
        <f t="shared" si="23"/>
        <v>6.1991072010426835</v>
      </c>
      <c r="G47" s="55">
        <f t="shared" si="24"/>
        <v>2.7983282009860835</v>
      </c>
      <c r="H47" s="55">
        <f>H46+($H$48-$H$46)/2</f>
        <v>10.50759109311741</v>
      </c>
      <c r="I47" s="113">
        <v>0.50065104166666674</v>
      </c>
      <c r="J47" s="109">
        <v>2.0441772151898738</v>
      </c>
      <c r="K47" s="8"/>
      <c r="L47" s="14">
        <f t="shared" si="0"/>
        <v>143.92283742652015</v>
      </c>
      <c r="M47" s="14">
        <f t="shared" si="1"/>
        <v>42.261204953646718</v>
      </c>
      <c r="N47" s="14">
        <f t="shared" si="2"/>
        <v>30.063385627530366</v>
      </c>
      <c r="O47" s="14">
        <f t="shared" si="3"/>
        <v>19.847672064777328</v>
      </c>
      <c r="P47" s="14">
        <f t="shared" si="4"/>
        <v>8.0588393613554885</v>
      </c>
      <c r="Q47" s="14">
        <f t="shared" si="5"/>
        <v>8.3949846029582496</v>
      </c>
      <c r="R47" s="14">
        <f t="shared" si="6"/>
        <v>13.659868421052634</v>
      </c>
      <c r="S47" s="14">
        <f t="shared" si="7"/>
        <v>0.65084635416666681</v>
      </c>
      <c r="T47" s="14">
        <f t="shared" si="8"/>
        <v>6.132531645569621</v>
      </c>
      <c r="U47" s="4"/>
      <c r="V47" s="14">
        <f t="shared" si="10"/>
        <v>272.99217045757723</v>
      </c>
      <c r="W47" s="14">
        <f t="shared" si="11"/>
        <v>266.85963881200763</v>
      </c>
      <c r="X47" s="166"/>
      <c r="Y47" s="4">
        <v>0.69450304634785043</v>
      </c>
      <c r="Z47" s="4">
        <v>0.39071485519725146</v>
      </c>
      <c r="AA47" s="4">
        <v>2.9961581347488475</v>
      </c>
      <c r="AB47" s="4">
        <v>5.2922537933601008</v>
      </c>
      <c r="AC47" s="4">
        <v>4.835174146857498</v>
      </c>
      <c r="AD47" s="4"/>
      <c r="AE47" s="4">
        <v>4.946236311289141</v>
      </c>
      <c r="AF47" s="4">
        <v>6.7890513020311403</v>
      </c>
      <c r="AG47" s="4"/>
      <c r="AH47" s="4"/>
      <c r="AI47" s="152">
        <f t="shared" si="12"/>
        <v>134.38633946830905</v>
      </c>
      <c r="AJ47" s="152">
        <f t="shared" si="13"/>
        <v>7.8142971039450293</v>
      </c>
      <c r="AK47" s="152">
        <f t="shared" si="14"/>
        <v>14.980790673744238</v>
      </c>
      <c r="AL47" s="152">
        <f t="shared" si="15"/>
        <v>15.876761380080303</v>
      </c>
      <c r="AM47" s="152">
        <f t="shared" si="16"/>
        <v>6.2857263909147481</v>
      </c>
      <c r="AN47" s="152"/>
      <c r="AO47" s="152">
        <f t="shared" si="17"/>
        <v>6.4301072046758838</v>
      </c>
      <c r="AP47" s="152">
        <f t="shared" si="18"/>
        <v>8.8257666926404834</v>
      </c>
      <c r="AS47" s="107"/>
      <c r="AT47" s="155">
        <v>1691</v>
      </c>
      <c r="AU47" s="107"/>
    </row>
    <row r="48" spans="1:47" x14ac:dyDescent="0.2">
      <c r="A48" s="155">
        <v>1692</v>
      </c>
      <c r="B48" s="57">
        <v>0.78170380352703372</v>
      </c>
      <c r="C48" s="57">
        <f t="shared" si="19"/>
        <v>2.1276330769766969</v>
      </c>
      <c r="D48" s="56">
        <v>6.6158906882591095</v>
      </c>
      <c r="E48" s="57">
        <v>7.1996457489878534</v>
      </c>
      <c r="F48" s="57">
        <f t="shared" si="23"/>
        <v>6.314369501466274</v>
      </c>
      <c r="G48" s="55">
        <f t="shared" si="24"/>
        <v>2.76328170135909</v>
      </c>
      <c r="H48" s="109">
        <v>7.0050607287449402</v>
      </c>
      <c r="I48" s="113">
        <v>0.64083333333333348</v>
      </c>
      <c r="J48" s="109">
        <v>2.0441772151898738</v>
      </c>
      <c r="K48" s="8"/>
      <c r="L48" s="14">
        <f t="shared" si="0"/>
        <v>139.92498083133904</v>
      </c>
      <c r="M48" s="14">
        <f t="shared" si="1"/>
        <v>42.552661539533936</v>
      </c>
      <c r="N48" s="14">
        <f t="shared" si="2"/>
        <v>33.079453441295549</v>
      </c>
      <c r="O48" s="14">
        <f t="shared" si="3"/>
        <v>21.598937246963558</v>
      </c>
      <c r="P48" s="14">
        <f t="shared" si="4"/>
        <v>8.2086803519061569</v>
      </c>
      <c r="Q48" s="14">
        <f t="shared" si="5"/>
        <v>8.2898451040772692</v>
      </c>
      <c r="R48" s="14">
        <f t="shared" si="6"/>
        <v>9.1065789473684227</v>
      </c>
      <c r="S48" s="14">
        <f t="shared" si="7"/>
        <v>0.83308333333333351</v>
      </c>
      <c r="T48" s="14">
        <f t="shared" si="8"/>
        <v>6.132531645569621</v>
      </c>
      <c r="U48" s="4"/>
      <c r="V48" s="14">
        <f t="shared" si="10"/>
        <v>269.72675244138685</v>
      </c>
      <c r="W48" s="14">
        <f t="shared" si="11"/>
        <v>263.59422079581725</v>
      </c>
      <c r="X48" s="166"/>
      <c r="Y48" s="4">
        <v>0.99297009578818407</v>
      </c>
      <c r="Z48" s="4">
        <v>0.46699381961067737</v>
      </c>
      <c r="AA48" s="4">
        <v>2.9072942749344057</v>
      </c>
      <c r="AB48" s="4">
        <v>5.5056354945560493</v>
      </c>
      <c r="AC48" s="4">
        <v>8.5189930413449719</v>
      </c>
      <c r="AD48" s="4"/>
      <c r="AE48" s="4">
        <v>4.7840427192661368</v>
      </c>
      <c r="AF48" s="4">
        <v>7.4771538028250992</v>
      </c>
      <c r="AG48" s="4"/>
      <c r="AH48" s="4"/>
      <c r="AI48" s="152">
        <f t="shared" si="12"/>
        <v>192.13971353501361</v>
      </c>
      <c r="AJ48" s="152">
        <f t="shared" si="13"/>
        <v>9.3398763922135473</v>
      </c>
      <c r="AK48" s="152">
        <f t="shared" si="14"/>
        <v>14.536471374672029</v>
      </c>
      <c r="AL48" s="152">
        <f t="shared" si="15"/>
        <v>16.516906483668148</v>
      </c>
      <c r="AM48" s="152">
        <f t="shared" si="16"/>
        <v>11.074690953748464</v>
      </c>
      <c r="AN48" s="152"/>
      <c r="AO48" s="152">
        <f t="shared" si="17"/>
        <v>6.2192555350459777</v>
      </c>
      <c r="AP48" s="152">
        <f t="shared" si="18"/>
        <v>9.7202999436726287</v>
      </c>
      <c r="AS48" s="107"/>
      <c r="AT48" s="155">
        <v>1692</v>
      </c>
      <c r="AU48" s="107"/>
    </row>
    <row r="49" spans="1:47" x14ac:dyDescent="0.2">
      <c r="A49" s="155">
        <v>1693</v>
      </c>
      <c r="B49" s="56">
        <v>0.75936940914054707</v>
      </c>
      <c r="C49" s="57">
        <f t="shared" si="19"/>
        <v>2.1422059062710579</v>
      </c>
      <c r="D49" s="56">
        <v>6.2267206477732806</v>
      </c>
      <c r="E49" s="56">
        <v>7.7834008097165999</v>
      </c>
      <c r="F49" s="57">
        <f t="shared" si="23"/>
        <v>6.4296318018898644</v>
      </c>
      <c r="G49" s="55">
        <f t="shared" si="24"/>
        <v>2.7282352017320965</v>
      </c>
      <c r="H49" s="109">
        <v>7.0050607287449402</v>
      </c>
      <c r="I49" s="113">
        <v>0.50065104166666674</v>
      </c>
      <c r="J49" s="109">
        <v>2.0441772151898738</v>
      </c>
      <c r="K49" s="8"/>
      <c r="L49" s="14">
        <f t="shared" si="0"/>
        <v>135.92712423615794</v>
      </c>
      <c r="M49" s="14">
        <f t="shared" si="1"/>
        <v>42.844118125421161</v>
      </c>
      <c r="N49" s="14">
        <f t="shared" si="2"/>
        <v>31.133603238866403</v>
      </c>
      <c r="O49" s="14">
        <f t="shared" si="3"/>
        <v>23.3502024291498</v>
      </c>
      <c r="P49" s="14">
        <f t="shared" si="4"/>
        <v>8.3585213424568234</v>
      </c>
      <c r="Q49" s="14">
        <f t="shared" si="5"/>
        <v>8.1847056051962888</v>
      </c>
      <c r="R49" s="14">
        <f t="shared" si="6"/>
        <v>9.1065789473684227</v>
      </c>
      <c r="S49" s="14">
        <f t="shared" si="7"/>
        <v>0.65084635416666681</v>
      </c>
      <c r="T49" s="14">
        <f t="shared" si="8"/>
        <v>6.132531645569621</v>
      </c>
      <c r="U49" s="4"/>
      <c r="V49" s="14">
        <f t="shared" si="10"/>
        <v>265.68823192435309</v>
      </c>
      <c r="W49" s="14">
        <f t="shared" si="11"/>
        <v>259.55570027878349</v>
      </c>
      <c r="X49" s="166"/>
      <c r="Y49" s="4">
        <v>1.1740478817762598</v>
      </c>
      <c r="Z49" s="4">
        <v>0.56279489781505654</v>
      </c>
      <c r="AA49" s="4">
        <v>3.0853468506337927</v>
      </c>
      <c r="AB49" s="4">
        <v>5.8227428987798122</v>
      </c>
      <c r="AC49" s="4">
        <v>6.2822071915960684</v>
      </c>
      <c r="AD49" s="4"/>
      <c r="AE49" s="4">
        <v>5.072324442003965</v>
      </c>
      <c r="AF49" s="4">
        <v>6.9572720318798078</v>
      </c>
      <c r="AG49" s="4"/>
      <c r="AH49" s="4"/>
      <c r="AI49" s="152">
        <f t="shared" si="12"/>
        <v>227.17826512370627</v>
      </c>
      <c r="AJ49" s="152">
        <f t="shared" si="13"/>
        <v>11.25589795630113</v>
      </c>
      <c r="AK49" s="152">
        <f t="shared" si="14"/>
        <v>15.426734253168963</v>
      </c>
      <c r="AL49" s="152">
        <f t="shared" si="15"/>
        <v>17.468228696339438</v>
      </c>
      <c r="AM49" s="152">
        <f t="shared" si="16"/>
        <v>8.16686934907489</v>
      </c>
      <c r="AN49" s="152"/>
      <c r="AO49" s="152">
        <f t="shared" si="17"/>
        <v>6.5940217746051548</v>
      </c>
      <c r="AP49" s="152">
        <f t="shared" si="18"/>
        <v>9.0444536414437504</v>
      </c>
      <c r="AS49" s="107"/>
      <c r="AT49" s="155">
        <v>1693</v>
      </c>
      <c r="AU49" s="107"/>
    </row>
    <row r="50" spans="1:47" x14ac:dyDescent="0.2">
      <c r="A50" s="155">
        <v>1694</v>
      </c>
      <c r="B50" s="56">
        <v>0.78170380352703372</v>
      </c>
      <c r="C50" s="57">
        <f t="shared" si="19"/>
        <v>2.1567787355654189</v>
      </c>
      <c r="D50" s="57">
        <v>6.1488866396761139</v>
      </c>
      <c r="E50" s="56">
        <v>7.7834008097165999</v>
      </c>
      <c r="F50" s="57">
        <f t="shared" si="23"/>
        <v>6.5448941023134548</v>
      </c>
      <c r="G50" s="55">
        <f t="shared" si="24"/>
        <v>2.6931887021051031</v>
      </c>
      <c r="H50" s="55">
        <f>H49+($H$53-$H$49)/4</f>
        <v>7.1996457489878551</v>
      </c>
      <c r="I50" s="113">
        <v>0.90117187500000007</v>
      </c>
      <c r="J50" s="109">
        <v>2.0441772151898738</v>
      </c>
      <c r="K50" s="8"/>
      <c r="L50" s="14">
        <f t="shared" si="0"/>
        <v>139.92498083133904</v>
      </c>
      <c r="M50" s="14">
        <f t="shared" si="1"/>
        <v>43.135574711308379</v>
      </c>
      <c r="N50" s="14">
        <f t="shared" si="2"/>
        <v>30.74443319838057</v>
      </c>
      <c r="O50" s="14">
        <f t="shared" si="3"/>
        <v>23.3502024291498</v>
      </c>
      <c r="P50" s="14">
        <f t="shared" si="4"/>
        <v>8.5083623330074918</v>
      </c>
      <c r="Q50" s="14">
        <f t="shared" si="5"/>
        <v>8.0795661063153084</v>
      </c>
      <c r="R50" s="14">
        <f t="shared" si="6"/>
        <v>9.3595394736842117</v>
      </c>
      <c r="S50" s="14">
        <f t="shared" si="7"/>
        <v>1.1715234375000001</v>
      </c>
      <c r="T50" s="14">
        <f t="shared" si="8"/>
        <v>6.132531645569621</v>
      </c>
      <c r="U50" s="4"/>
      <c r="V50" s="14">
        <f t="shared" si="10"/>
        <v>270.4067141662544</v>
      </c>
      <c r="W50" s="14">
        <f t="shared" si="11"/>
        <v>264.2741825206848</v>
      </c>
      <c r="X50" s="166"/>
      <c r="Y50" s="4">
        <v>1.1481774464473151</v>
      </c>
      <c r="Z50" s="4">
        <v>0.54216837586806177</v>
      </c>
      <c r="AA50" s="4">
        <v>3.0199232968102288</v>
      </c>
      <c r="AB50" s="4">
        <v>5.8615366106802851</v>
      </c>
      <c r="AC50" s="4">
        <v>6.04056005905435</v>
      </c>
      <c r="AD50" s="4"/>
      <c r="AE50" s="4">
        <v>5.7681622715483565</v>
      </c>
      <c r="AF50" s="4">
        <v>5.3448677336804469</v>
      </c>
      <c r="AG50" s="4"/>
      <c r="AH50" s="4"/>
      <c r="AI50" s="152">
        <f t="shared" si="12"/>
        <v>222.17233588755548</v>
      </c>
      <c r="AJ50" s="152">
        <f t="shared" si="13"/>
        <v>10.843367517361235</v>
      </c>
      <c r="AK50" s="152">
        <f t="shared" si="14"/>
        <v>15.099616484051143</v>
      </c>
      <c r="AL50" s="152">
        <f t="shared" si="15"/>
        <v>17.584609832040854</v>
      </c>
      <c r="AM50" s="152">
        <f t="shared" si="16"/>
        <v>7.8527280767706555</v>
      </c>
      <c r="AN50" s="152"/>
      <c r="AO50" s="152">
        <f t="shared" si="17"/>
        <v>7.4986109530128635</v>
      </c>
      <c r="AP50" s="152">
        <f t="shared" si="18"/>
        <v>6.9483280537845813</v>
      </c>
      <c r="AS50" s="107"/>
      <c r="AT50" s="155">
        <v>1694</v>
      </c>
      <c r="AU50" s="107"/>
    </row>
    <row r="51" spans="1:47" x14ac:dyDescent="0.2">
      <c r="A51" s="155">
        <v>1695</v>
      </c>
      <c r="B51" s="56">
        <v>0.75936940914054707</v>
      </c>
      <c r="C51" s="57">
        <f t="shared" si="19"/>
        <v>2.1713515648597799</v>
      </c>
      <c r="D51" s="56">
        <v>6.0710526315789481</v>
      </c>
      <c r="E51" s="57">
        <v>7.7834008097165999</v>
      </c>
      <c r="F51" s="57">
        <f t="shared" si="23"/>
        <v>6.6601564027370452</v>
      </c>
      <c r="G51" s="55">
        <f t="shared" si="24"/>
        <v>2.6581422024781096</v>
      </c>
      <c r="H51" s="55">
        <f>H50+($H$53-$H$49)/4</f>
        <v>7.3942307692307701</v>
      </c>
      <c r="I51" s="113">
        <v>1.251627604166667</v>
      </c>
      <c r="J51" s="109">
        <v>2.0441772151898738</v>
      </c>
      <c r="K51" s="8"/>
      <c r="L51" s="14">
        <f t="shared" si="0"/>
        <v>135.92712423615794</v>
      </c>
      <c r="M51" s="14">
        <f t="shared" si="1"/>
        <v>43.427031297195597</v>
      </c>
      <c r="N51" s="14">
        <f t="shared" si="2"/>
        <v>30.35526315789474</v>
      </c>
      <c r="O51" s="14">
        <f t="shared" si="3"/>
        <v>23.3502024291498</v>
      </c>
      <c r="P51" s="14">
        <f t="shared" si="4"/>
        <v>8.6582033235581584</v>
      </c>
      <c r="Q51" s="14">
        <f t="shared" si="5"/>
        <v>7.9744266074343289</v>
      </c>
      <c r="R51" s="14">
        <f t="shared" si="6"/>
        <v>9.6125000000000007</v>
      </c>
      <c r="S51" s="14">
        <f t="shared" si="7"/>
        <v>1.6271158854166672</v>
      </c>
      <c r="T51" s="14">
        <f t="shared" si="8"/>
        <v>6.132531645569621</v>
      </c>
      <c r="U51" s="4"/>
      <c r="V51" s="14">
        <f t="shared" si="10"/>
        <v>267.06439858237684</v>
      </c>
      <c r="W51" s="14">
        <f t="shared" si="11"/>
        <v>260.93186693680724</v>
      </c>
      <c r="X51" s="166"/>
      <c r="Y51" s="4">
        <v>0.85395814596701236</v>
      </c>
      <c r="Z51" s="4">
        <v>0.53380769797410221</v>
      </c>
      <c r="AA51" s="4">
        <v>2.8725193896893848</v>
      </c>
      <c r="AB51" s="4">
        <v>5.2380057175561729</v>
      </c>
      <c r="AC51" s="4">
        <v>5.4697109968676036</v>
      </c>
      <c r="AD51" s="4"/>
      <c r="AE51" s="4">
        <v>5.8312161509394196</v>
      </c>
      <c r="AF51" s="4">
        <v>8.466192217962984</v>
      </c>
      <c r="AG51" s="4"/>
      <c r="AH51" s="4"/>
      <c r="AI51" s="152">
        <f t="shared" si="12"/>
        <v>165.24090124461688</v>
      </c>
      <c r="AJ51" s="152">
        <f t="shared" si="13"/>
        <v>10.676153959482043</v>
      </c>
      <c r="AK51" s="152">
        <f t="shared" si="14"/>
        <v>14.362596948446924</v>
      </c>
      <c r="AL51" s="152">
        <f t="shared" si="15"/>
        <v>15.714017152668518</v>
      </c>
      <c r="AM51" s="152">
        <f t="shared" si="16"/>
        <v>7.1106242959278854</v>
      </c>
      <c r="AN51" s="152"/>
      <c r="AO51" s="152">
        <f t="shared" si="17"/>
        <v>7.5805809962212454</v>
      </c>
      <c r="AP51" s="152">
        <f t="shared" si="18"/>
        <v>11.00604988335188</v>
      </c>
      <c r="AS51" s="107"/>
      <c r="AT51" s="155">
        <v>1695</v>
      </c>
      <c r="AU51" s="107"/>
    </row>
    <row r="52" spans="1:47" x14ac:dyDescent="0.2">
      <c r="A52" s="155">
        <v>1696</v>
      </c>
      <c r="B52" s="56">
        <v>0.75936940914054707</v>
      </c>
      <c r="C52" s="56">
        <v>2.1859243941541391</v>
      </c>
      <c r="D52" s="56">
        <v>6.2267206477732806</v>
      </c>
      <c r="E52" s="57">
        <v>7.7834008097165999</v>
      </c>
      <c r="F52" s="57">
        <f t="shared" si="23"/>
        <v>6.7754187031606357</v>
      </c>
      <c r="G52" s="55">
        <f t="shared" si="24"/>
        <v>2.6230957028511162</v>
      </c>
      <c r="H52" s="55">
        <f>H51+($H$53-$H$49)/4</f>
        <v>7.588815789473685</v>
      </c>
      <c r="I52" s="113">
        <v>0.60078125000000004</v>
      </c>
      <c r="J52" s="109">
        <v>2.0441772151898738</v>
      </c>
      <c r="K52" s="8"/>
      <c r="L52" s="14">
        <f t="shared" si="0"/>
        <v>135.92712423615794</v>
      </c>
      <c r="M52" s="14">
        <f t="shared" si="1"/>
        <v>43.71848788308278</v>
      </c>
      <c r="N52" s="14">
        <f t="shared" si="2"/>
        <v>31.133603238866403</v>
      </c>
      <c r="O52" s="14">
        <f t="shared" si="3"/>
        <v>23.3502024291498</v>
      </c>
      <c r="P52" s="14">
        <f t="shared" si="4"/>
        <v>8.8080443141088267</v>
      </c>
      <c r="Q52" s="14">
        <f t="shared" si="5"/>
        <v>7.8692871085533485</v>
      </c>
      <c r="R52" s="14">
        <f t="shared" si="6"/>
        <v>9.8654605263157915</v>
      </c>
      <c r="S52" s="14">
        <f t="shared" si="7"/>
        <v>0.7810156250000001</v>
      </c>
      <c r="T52" s="14">
        <f t="shared" si="8"/>
        <v>6.132531645569621</v>
      </c>
      <c r="U52" s="4"/>
      <c r="V52" s="14">
        <f t="shared" si="10"/>
        <v>267.5857570068045</v>
      </c>
      <c r="W52" s="14">
        <f t="shared" si="11"/>
        <v>261.4532253612349</v>
      </c>
      <c r="X52" s="166"/>
      <c r="Y52" s="4">
        <v>1.0786671254964828</v>
      </c>
      <c r="Z52" s="4">
        <v>0.61014393579082182</v>
      </c>
      <c r="AA52" s="4">
        <v>3.0090027528631986</v>
      </c>
      <c r="AB52" s="4">
        <v>5.5679395669407956</v>
      </c>
      <c r="AC52" s="4">
        <v>5.3593034459488722</v>
      </c>
      <c r="AD52" s="4"/>
      <c r="AE52" s="4">
        <v>5.6935321071911735</v>
      </c>
      <c r="AF52" s="4">
        <v>10.922513067586365</v>
      </c>
      <c r="AG52" s="4"/>
      <c r="AH52" s="4"/>
      <c r="AI52" s="152">
        <f t="shared" si="12"/>
        <v>208.72208878356943</v>
      </c>
      <c r="AJ52" s="152">
        <f t="shared" si="13"/>
        <v>12.202878715816436</v>
      </c>
      <c r="AK52" s="152">
        <f t="shared" si="14"/>
        <v>15.045013764315993</v>
      </c>
      <c r="AL52" s="152">
        <f t="shared" si="15"/>
        <v>16.703818700822389</v>
      </c>
      <c r="AM52" s="152">
        <f t="shared" si="16"/>
        <v>6.9670944797335341</v>
      </c>
      <c r="AN52" s="152"/>
      <c r="AO52" s="152">
        <f t="shared" si="17"/>
        <v>7.4015917393485262</v>
      </c>
      <c r="AP52" s="152">
        <f t="shared" si="18"/>
        <v>14.199266987862275</v>
      </c>
      <c r="AS52" s="107"/>
      <c r="AT52" s="155">
        <v>1696</v>
      </c>
      <c r="AU52" s="107"/>
    </row>
    <row r="53" spans="1:47" x14ac:dyDescent="0.2">
      <c r="A53" s="155">
        <v>1697</v>
      </c>
      <c r="B53" s="56">
        <v>0.75936940914054707</v>
      </c>
      <c r="C53" s="57">
        <v>2.1403843026092613</v>
      </c>
      <c r="D53" s="56">
        <v>6.2267206477732806</v>
      </c>
      <c r="E53" s="56">
        <v>7.7834008097165999</v>
      </c>
      <c r="F53" s="56">
        <v>6.8906810035842296</v>
      </c>
      <c r="G53" s="109">
        <v>2.5880492032241236</v>
      </c>
      <c r="H53" s="109">
        <v>7.7834008097165999</v>
      </c>
      <c r="I53" s="113">
        <v>0.64083333333333348</v>
      </c>
      <c r="J53" s="109">
        <v>2.0441772151898738</v>
      </c>
      <c r="K53" s="8"/>
      <c r="L53" s="14">
        <f t="shared" si="0"/>
        <v>135.92712423615794</v>
      </c>
      <c r="M53" s="14">
        <f t="shared" si="1"/>
        <v>42.807686052185225</v>
      </c>
      <c r="N53" s="14">
        <f t="shared" si="2"/>
        <v>31.133603238866403</v>
      </c>
      <c r="O53" s="14">
        <f t="shared" si="3"/>
        <v>23.3502024291498</v>
      </c>
      <c r="P53" s="14">
        <f t="shared" si="4"/>
        <v>8.9578853046594986</v>
      </c>
      <c r="Q53" s="14">
        <f t="shared" si="5"/>
        <v>7.7641476096723707</v>
      </c>
      <c r="R53" s="14">
        <f t="shared" si="6"/>
        <v>10.118421052631581</v>
      </c>
      <c r="S53" s="14">
        <f t="shared" si="7"/>
        <v>0.83308333333333351</v>
      </c>
      <c r="T53" s="14">
        <f t="shared" si="8"/>
        <v>6.132531645569621</v>
      </c>
      <c r="U53" s="4"/>
      <c r="V53" s="14">
        <f t="shared" si="10"/>
        <v>267.02468490222572</v>
      </c>
      <c r="W53" s="14">
        <f t="shared" si="11"/>
        <v>260.89215325665612</v>
      </c>
      <c r="X53" s="166"/>
      <c r="Y53" s="4">
        <v>1.3441860598426327</v>
      </c>
      <c r="Z53" s="4">
        <v>0.58067395692916735</v>
      </c>
      <c r="AA53" s="4">
        <v>3.2963613750664686</v>
      </c>
      <c r="AB53" s="4">
        <v>5.9961320519679635</v>
      </c>
      <c r="AC53" s="4">
        <v>6.2367894984819374</v>
      </c>
      <c r="AD53" s="4"/>
      <c r="AE53" s="4">
        <v>6.1972729376967255</v>
      </c>
      <c r="AF53" s="4">
        <v>10.758634185470401</v>
      </c>
      <c r="AG53" s="4"/>
      <c r="AH53" s="4"/>
      <c r="AI53" s="152">
        <f t="shared" si="12"/>
        <v>260.10000257954943</v>
      </c>
      <c r="AJ53" s="152">
        <f t="shared" si="13"/>
        <v>11.613479138583347</v>
      </c>
      <c r="AK53" s="152">
        <f t="shared" si="14"/>
        <v>16.481806875332342</v>
      </c>
      <c r="AL53" s="152">
        <f t="shared" si="15"/>
        <v>17.988396155903892</v>
      </c>
      <c r="AM53" s="152">
        <f t="shared" si="16"/>
        <v>8.1078263480265189</v>
      </c>
      <c r="AN53" s="152"/>
      <c r="AO53" s="152">
        <f t="shared" si="17"/>
        <v>8.0564548190057437</v>
      </c>
      <c r="AP53" s="152">
        <f t="shared" si="18"/>
        <v>13.986224441111521</v>
      </c>
      <c r="AS53" s="107"/>
      <c r="AT53" s="155">
        <v>1697</v>
      </c>
      <c r="AU53" s="107"/>
    </row>
    <row r="54" spans="1:47" x14ac:dyDescent="0.2">
      <c r="A54" s="155">
        <v>1698</v>
      </c>
      <c r="B54" s="56">
        <v>0.75936940914054707</v>
      </c>
      <c r="C54" s="57">
        <v>2.0948442110643835</v>
      </c>
      <c r="D54" s="56">
        <v>6.2267206477732806</v>
      </c>
      <c r="E54" s="56">
        <v>8.5617408906882613</v>
      </c>
      <c r="F54" s="57">
        <f>F53+($F$56-$F$53)/3</f>
        <v>6.6693608849805797</v>
      </c>
      <c r="G54" s="109">
        <v>2.8792047385868376</v>
      </c>
      <c r="H54" s="109">
        <v>9.3400809716599191</v>
      </c>
      <c r="I54" s="113">
        <v>0.64083333333333348</v>
      </c>
      <c r="J54" s="55">
        <f>J53+($J$58-$J$53)/5</f>
        <v>2.0441772151898738</v>
      </c>
      <c r="K54" s="8"/>
      <c r="L54" s="14">
        <f t="shared" si="0"/>
        <v>135.92712423615794</v>
      </c>
      <c r="M54" s="14">
        <f t="shared" si="1"/>
        <v>41.896884221287671</v>
      </c>
      <c r="N54" s="14">
        <f t="shared" si="2"/>
        <v>31.133603238866403</v>
      </c>
      <c r="O54" s="14">
        <f t="shared" si="3"/>
        <v>25.685222672064782</v>
      </c>
      <c r="P54" s="14">
        <f t="shared" si="4"/>
        <v>8.670169150474754</v>
      </c>
      <c r="Q54" s="14">
        <f t="shared" si="5"/>
        <v>8.6376142157605127</v>
      </c>
      <c r="R54" s="14">
        <f t="shared" si="6"/>
        <v>12.142105263157895</v>
      </c>
      <c r="S54" s="14">
        <f t="shared" si="7"/>
        <v>0.83308333333333351</v>
      </c>
      <c r="T54" s="14">
        <f t="shared" si="8"/>
        <v>6.132531645569621</v>
      </c>
      <c r="U54" s="4"/>
      <c r="V54" s="14">
        <f t="shared" si="10"/>
        <v>271.05833797667287</v>
      </c>
      <c r="W54" s="14">
        <f t="shared" si="11"/>
        <v>264.92580633110327</v>
      </c>
      <c r="X54" s="166"/>
      <c r="Y54" s="4">
        <v>1.4553533546539599</v>
      </c>
      <c r="Z54" s="4">
        <v>0.62872972873986732</v>
      </c>
      <c r="AA54" s="4">
        <v>3.2477267926543596</v>
      </c>
      <c r="AB54" s="4">
        <v>5.7735067988801925</v>
      </c>
      <c r="AC54" s="4">
        <v>5.4605723113891669</v>
      </c>
      <c r="AD54" s="4"/>
      <c r="AE54" s="4">
        <v>5.8109984316489047</v>
      </c>
      <c r="AF54" s="4">
        <v>9.3611174487120081</v>
      </c>
      <c r="AG54" s="4"/>
      <c r="AH54" s="4"/>
      <c r="AI54" s="152">
        <f t="shared" si="12"/>
        <v>281.61087412554122</v>
      </c>
      <c r="AJ54" s="152">
        <f t="shared" si="13"/>
        <v>12.574594574797347</v>
      </c>
      <c r="AK54" s="152">
        <f t="shared" si="14"/>
        <v>16.238633963271798</v>
      </c>
      <c r="AL54" s="152">
        <f t="shared" si="15"/>
        <v>17.320520396640578</v>
      </c>
      <c r="AM54" s="152">
        <f t="shared" si="16"/>
        <v>7.0987440048059174</v>
      </c>
      <c r="AN54" s="152"/>
      <c r="AO54" s="152">
        <f t="shared" si="17"/>
        <v>7.5542979611435763</v>
      </c>
      <c r="AP54" s="152">
        <f t="shared" si="18"/>
        <v>12.169452683325611</v>
      </c>
      <c r="AS54" s="107"/>
      <c r="AT54" s="155">
        <v>1698</v>
      </c>
      <c r="AU54" s="107"/>
    </row>
    <row r="55" spans="1:47" x14ac:dyDescent="0.2">
      <c r="A55" s="155">
        <v>1699</v>
      </c>
      <c r="B55" s="56">
        <v>0.75936940914054707</v>
      </c>
      <c r="C55" s="57">
        <v>2.0493041195195056</v>
      </c>
      <c r="D55" s="57">
        <v>5.2654292294258997</v>
      </c>
      <c r="E55" s="56">
        <v>8.5617408906882613</v>
      </c>
      <c r="F55" s="57">
        <f>F54+($F$56-$F$53)/3</f>
        <v>6.4480407663769297</v>
      </c>
      <c r="G55" s="109">
        <v>2.8792047385868376</v>
      </c>
      <c r="H55" s="109">
        <v>9.3400809716599191</v>
      </c>
      <c r="I55" s="113">
        <v>0.64083333333333348</v>
      </c>
      <c r="J55" s="55">
        <f>J54+($J$58-$J$53)/5</f>
        <v>2.0441772151898738</v>
      </c>
      <c r="K55" s="8"/>
      <c r="L55" s="14">
        <f t="shared" si="0"/>
        <v>135.92712423615794</v>
      </c>
      <c r="M55" s="14">
        <f t="shared" si="1"/>
        <v>40.986082390390109</v>
      </c>
      <c r="N55" s="14">
        <f t="shared" si="2"/>
        <v>26.327146147129497</v>
      </c>
      <c r="O55" s="14">
        <f t="shared" si="3"/>
        <v>25.685222672064782</v>
      </c>
      <c r="P55" s="14">
        <f t="shared" si="4"/>
        <v>8.3824529962900094</v>
      </c>
      <c r="Q55" s="14">
        <f t="shared" si="5"/>
        <v>8.6376142157605127</v>
      </c>
      <c r="R55" s="14">
        <f t="shared" si="6"/>
        <v>12.142105263157895</v>
      </c>
      <c r="S55" s="14">
        <f t="shared" si="7"/>
        <v>0.83308333333333351</v>
      </c>
      <c r="T55" s="14">
        <f t="shared" si="8"/>
        <v>6.132531645569621</v>
      </c>
      <c r="U55" s="4"/>
      <c r="V55" s="14">
        <f t="shared" si="10"/>
        <v>265.05336289985365</v>
      </c>
      <c r="W55" s="14">
        <f t="shared" si="11"/>
        <v>258.92083125428405</v>
      </c>
      <c r="X55" s="166"/>
      <c r="Y55" s="4">
        <v>1.2356707752354332</v>
      </c>
      <c r="Z55" s="4">
        <v>0.61944797233594573</v>
      </c>
      <c r="AA55" s="4">
        <v>3.2187385788486238</v>
      </c>
      <c r="AB55" s="4">
        <v>5.7030144955680404</v>
      </c>
      <c r="AC55" s="4">
        <v>6.0972865058531616</v>
      </c>
      <c r="AD55" s="4"/>
      <c r="AE55" s="4">
        <v>5.8789879932401528</v>
      </c>
      <c r="AF55" s="4">
        <v>7.5689693038922243</v>
      </c>
      <c r="AG55" s="4"/>
      <c r="AH55" s="4"/>
      <c r="AI55" s="152">
        <f t="shared" si="12"/>
        <v>239.10229500805633</v>
      </c>
      <c r="AJ55" s="152">
        <f t="shared" si="13"/>
        <v>12.388959446718914</v>
      </c>
      <c r="AK55" s="152">
        <f t="shared" si="14"/>
        <v>16.093692894243119</v>
      </c>
      <c r="AL55" s="152">
        <f t="shared" si="15"/>
        <v>17.10904348670412</v>
      </c>
      <c r="AM55" s="152">
        <f t="shared" si="16"/>
        <v>7.9264724576091101</v>
      </c>
      <c r="AN55" s="152"/>
      <c r="AO55" s="152">
        <f t="shared" si="17"/>
        <v>7.6426843912121987</v>
      </c>
      <c r="AP55" s="152">
        <f t="shared" si="18"/>
        <v>9.8396600950598927</v>
      </c>
      <c r="AS55" s="107"/>
      <c r="AT55" s="155">
        <v>1699</v>
      </c>
      <c r="AU55" s="107"/>
    </row>
    <row r="56" spans="1:47" x14ac:dyDescent="0.2">
      <c r="A56" s="155">
        <v>1700</v>
      </c>
      <c r="B56" s="56">
        <v>0.59707280993207712</v>
      </c>
      <c r="C56" s="57">
        <v>2.0037640279746278</v>
      </c>
      <c r="D56" s="57">
        <v>4.3041378110785189</v>
      </c>
      <c r="E56" s="56">
        <v>7.7834008097165999</v>
      </c>
      <c r="F56" s="56">
        <v>6.2267206477732797</v>
      </c>
      <c r="G56" s="55">
        <f t="shared" ref="G56:G63" si="25">G55+($G$64-$G$55)/9</f>
        <v>3.0313724463689966</v>
      </c>
      <c r="H56" s="109">
        <v>7.3942307692307701</v>
      </c>
      <c r="I56" s="113">
        <v>0.56072916666666672</v>
      </c>
      <c r="J56" s="55">
        <f>J55+($J$58-$J$53)/5</f>
        <v>2.0441772151898738</v>
      </c>
      <c r="K56" s="8"/>
      <c r="L56" s="14">
        <f t="shared" si="0"/>
        <v>106.8760329778418</v>
      </c>
      <c r="M56" s="14">
        <f t="shared" si="1"/>
        <v>40.075280559492555</v>
      </c>
      <c r="N56" s="14">
        <f t="shared" si="2"/>
        <v>21.520689055392594</v>
      </c>
      <c r="O56" s="14">
        <f t="shared" si="3"/>
        <v>23.3502024291498</v>
      </c>
      <c r="P56" s="14">
        <f t="shared" si="4"/>
        <v>8.0947368421052648</v>
      </c>
      <c r="Q56" s="14">
        <f t="shared" si="5"/>
        <v>9.0941173391069903</v>
      </c>
      <c r="R56" s="14">
        <f t="shared" si="6"/>
        <v>9.6125000000000007</v>
      </c>
      <c r="S56" s="14">
        <f t="shared" si="7"/>
        <v>0.72894791666666681</v>
      </c>
      <c r="T56" s="14">
        <f t="shared" si="8"/>
        <v>6.132531645569621</v>
      </c>
      <c r="V56" s="14">
        <f t="shared" si="10"/>
        <v>225.4850387653253</v>
      </c>
      <c r="W56" s="14">
        <f t="shared" si="11"/>
        <v>219.35250711975567</v>
      </c>
      <c r="X56" s="163"/>
      <c r="Y56" s="4">
        <v>0.92986935226021961</v>
      </c>
      <c r="Z56" s="4">
        <v>0.56802223813814523</v>
      </c>
      <c r="AA56" s="4">
        <v>3.0527914222930228</v>
      </c>
      <c r="AB56" s="4">
        <v>5.4204224178926514</v>
      </c>
      <c r="AC56" s="4">
        <v>4.7700352389066234</v>
      </c>
      <c r="AD56" s="5"/>
      <c r="AE56" s="4">
        <v>5.5889391483994748</v>
      </c>
      <c r="AF56" s="4">
        <v>6.7366499290842663</v>
      </c>
      <c r="AG56" s="5"/>
      <c r="AH56" s="5"/>
      <c r="AI56" s="152">
        <f t="shared" si="12"/>
        <v>179.92971966235248</v>
      </c>
      <c r="AJ56" s="152">
        <f t="shared" si="13"/>
        <v>11.360444762762905</v>
      </c>
      <c r="AK56" s="152">
        <f t="shared" si="14"/>
        <v>15.263957111465114</v>
      </c>
      <c r="AL56" s="152">
        <f t="shared" si="15"/>
        <v>16.261267253677953</v>
      </c>
      <c r="AM56" s="152">
        <f t="shared" si="16"/>
        <v>6.201045810578611</v>
      </c>
      <c r="AN56" s="152"/>
      <c r="AO56" s="152">
        <f t="shared" si="17"/>
        <v>7.2656208929193173</v>
      </c>
      <c r="AP56" s="152">
        <f t="shared" si="18"/>
        <v>8.7576449078095457</v>
      </c>
      <c r="AS56" s="107"/>
      <c r="AT56" s="155">
        <v>1700</v>
      </c>
      <c r="AU56" s="107"/>
    </row>
    <row r="57" spans="1:47" x14ac:dyDescent="0.2">
      <c r="A57" s="156">
        <v>1701</v>
      </c>
      <c r="B57" s="56">
        <v>0.77187666999697935</v>
      </c>
      <c r="C57" s="57">
        <v>1.95822393642975</v>
      </c>
      <c r="D57" s="57">
        <v>3.342846392731138</v>
      </c>
      <c r="E57" s="57">
        <v>7.0050607287449402</v>
      </c>
      <c r="F57" s="57">
        <f>F56+($F$58-$F$56)/2</f>
        <v>6.2267206477732806</v>
      </c>
      <c r="G57" s="55">
        <f t="shared" si="25"/>
        <v>3.1835401541511557</v>
      </c>
      <c r="H57" s="109">
        <v>8.8730769230769244</v>
      </c>
      <c r="I57" s="113">
        <v>1.9625520833333332</v>
      </c>
      <c r="J57" s="55">
        <f>J56+($J$58-$J$53)/5</f>
        <v>2.0441772151898738</v>
      </c>
      <c r="K57" s="8"/>
      <c r="L57" s="14">
        <f t="shared" si="0"/>
        <v>138.1659239294593</v>
      </c>
      <c r="M57" s="14">
        <f t="shared" si="1"/>
        <v>39.164478728595</v>
      </c>
      <c r="N57" s="14">
        <f t="shared" si="2"/>
        <v>16.714231963655692</v>
      </c>
      <c r="O57" s="14">
        <f t="shared" si="3"/>
        <v>21.015182186234821</v>
      </c>
      <c r="P57" s="14">
        <f t="shared" si="4"/>
        <v>8.0947368421052648</v>
      </c>
      <c r="Q57" s="14">
        <f t="shared" si="5"/>
        <v>9.5506204624534661</v>
      </c>
      <c r="R57" s="14">
        <f t="shared" si="6"/>
        <v>11.535000000000002</v>
      </c>
      <c r="S57" s="14">
        <f t="shared" si="7"/>
        <v>2.5513177083333334</v>
      </c>
      <c r="T57" s="14">
        <f t="shared" si="8"/>
        <v>6.132531645569621</v>
      </c>
      <c r="V57" s="14">
        <f t="shared" si="10"/>
        <v>252.92402346640654</v>
      </c>
      <c r="W57" s="14">
        <f t="shared" si="11"/>
        <v>246.79149182083691</v>
      </c>
      <c r="X57" s="163"/>
      <c r="Y57" s="4">
        <v>0.74370388669800691</v>
      </c>
      <c r="Z57" s="4">
        <v>0.35500768198212573</v>
      </c>
      <c r="AA57" s="4">
        <v>3.1396591764764121</v>
      </c>
      <c r="AB57" s="4">
        <v>5.3810074139956692</v>
      </c>
      <c r="AC57" s="4">
        <v>3.7979693848839333</v>
      </c>
      <c r="AD57" s="5"/>
      <c r="AE57" s="4">
        <v>5.8299845571850728</v>
      </c>
      <c r="AF57" s="4">
        <v>7.3831813075824124</v>
      </c>
      <c r="AG57" s="5"/>
      <c r="AH57" s="5"/>
      <c r="AI57" s="152">
        <f t="shared" si="12"/>
        <v>143.90670207606433</v>
      </c>
      <c r="AJ57" s="152">
        <f t="shared" si="13"/>
        <v>7.1001536396425147</v>
      </c>
      <c r="AK57" s="152">
        <f t="shared" si="14"/>
        <v>15.698295882382061</v>
      </c>
      <c r="AL57" s="152">
        <f t="shared" si="15"/>
        <v>16.143022241987008</v>
      </c>
      <c r="AM57" s="152">
        <f t="shared" si="16"/>
        <v>4.9373602003491133</v>
      </c>
      <c r="AN57" s="152"/>
      <c r="AO57" s="152">
        <f t="shared" si="17"/>
        <v>7.5789799243405946</v>
      </c>
      <c r="AP57" s="152">
        <f t="shared" si="18"/>
        <v>9.5981356998571368</v>
      </c>
      <c r="AS57" s="107"/>
      <c r="AT57" s="156">
        <v>1701</v>
      </c>
      <c r="AU57" s="107"/>
    </row>
    <row r="58" spans="1:47" x14ac:dyDescent="0.2">
      <c r="A58" s="156">
        <v>1702</v>
      </c>
      <c r="B58" s="56">
        <v>0.75936940914054707</v>
      </c>
      <c r="C58" s="56">
        <v>1.9126838448848715</v>
      </c>
      <c r="D58" s="56">
        <v>2.3815549743837567</v>
      </c>
      <c r="E58" s="56">
        <v>6.2267206477732797</v>
      </c>
      <c r="F58" s="56">
        <v>6.2267206477732806</v>
      </c>
      <c r="G58" s="55">
        <f t="shared" si="25"/>
        <v>3.3357078619333147</v>
      </c>
      <c r="H58" s="109">
        <v>7.0050607287449402</v>
      </c>
      <c r="I58" s="113">
        <v>0.64083333333333348</v>
      </c>
      <c r="J58" s="109">
        <v>2.0441772151898738</v>
      </c>
      <c r="K58" s="8"/>
      <c r="L58" s="14">
        <f t="shared" si="0"/>
        <v>135.92712423615794</v>
      </c>
      <c r="M58" s="14">
        <f t="shared" si="1"/>
        <v>38.253676897697432</v>
      </c>
      <c r="N58" s="14">
        <f t="shared" si="2"/>
        <v>11.907774871918784</v>
      </c>
      <c r="O58" s="14">
        <f t="shared" si="3"/>
        <v>18.680161943319838</v>
      </c>
      <c r="P58" s="14">
        <f t="shared" si="4"/>
        <v>8.0947368421052648</v>
      </c>
      <c r="Q58" s="14">
        <f t="shared" si="5"/>
        <v>10.007123585799944</v>
      </c>
      <c r="R58" s="14">
        <f t="shared" si="6"/>
        <v>9.1065789473684227</v>
      </c>
      <c r="S58" s="14">
        <f t="shared" si="7"/>
        <v>0.83308333333333351</v>
      </c>
      <c r="T58" s="14">
        <f t="shared" si="8"/>
        <v>6.132531645569621</v>
      </c>
      <c r="V58" s="14">
        <f t="shared" si="10"/>
        <v>238.94279230327058</v>
      </c>
      <c r="W58" s="14">
        <f t="shared" si="11"/>
        <v>232.81026065770095</v>
      </c>
      <c r="X58" s="163"/>
      <c r="Y58" s="4">
        <v>0.64181291596002954</v>
      </c>
      <c r="Z58" s="4">
        <v>0.4193162161757929</v>
      </c>
      <c r="AA58" s="4">
        <v>3.0765601877216362</v>
      </c>
      <c r="AB58" s="4">
        <v>5.6330301231383197</v>
      </c>
      <c r="AC58" s="4">
        <v>3.9155055423852718</v>
      </c>
      <c r="AD58" s="5"/>
      <c r="AE58" s="4">
        <v>6.0199096488208541</v>
      </c>
      <c r="AF58" s="4">
        <v>6.8448361167575262</v>
      </c>
      <c r="AG58" s="5"/>
      <c r="AH58" s="5"/>
      <c r="AI58" s="152">
        <f t="shared" si="12"/>
        <v>124.19079923826571</v>
      </c>
      <c r="AJ58" s="152">
        <f t="shared" si="13"/>
        <v>8.3863243235158578</v>
      </c>
      <c r="AK58" s="152">
        <f t="shared" si="14"/>
        <v>15.382800938608181</v>
      </c>
      <c r="AL58" s="152">
        <f t="shared" si="15"/>
        <v>16.89909036941496</v>
      </c>
      <c r="AM58" s="152">
        <f t="shared" si="16"/>
        <v>5.0901572051008532</v>
      </c>
      <c r="AN58" s="152"/>
      <c r="AO58" s="152">
        <f t="shared" si="17"/>
        <v>7.8258825434671104</v>
      </c>
      <c r="AP58" s="152">
        <f t="shared" si="18"/>
        <v>8.8982869517847849</v>
      </c>
      <c r="AS58" s="107"/>
      <c r="AT58" s="156">
        <v>1702</v>
      </c>
      <c r="AU58" s="107"/>
    </row>
    <row r="59" spans="1:47" x14ac:dyDescent="0.2">
      <c r="A59" s="156">
        <v>1703</v>
      </c>
      <c r="B59" s="56">
        <v>0.78170380352703372</v>
      </c>
      <c r="C59" s="56">
        <v>1.9126838448848715</v>
      </c>
      <c r="D59" s="56">
        <v>2.1319831706344865</v>
      </c>
      <c r="E59" s="56">
        <v>5.4483805668016192</v>
      </c>
      <c r="F59" s="57">
        <f>F58+($F$63-$F$58)/5</f>
        <v>5.4223801024480149</v>
      </c>
      <c r="G59" s="55">
        <f t="shared" si="25"/>
        <v>3.4878755697154737</v>
      </c>
      <c r="H59" s="109">
        <v>9.4639078027235932</v>
      </c>
      <c r="I59" s="113">
        <v>0.64083333333333337</v>
      </c>
      <c r="J59" s="109">
        <v>2.0441772151898738</v>
      </c>
      <c r="K59" s="8"/>
      <c r="L59" s="14">
        <f t="shared" si="0"/>
        <v>139.92498083133904</v>
      </c>
      <c r="M59" s="14">
        <f t="shared" si="1"/>
        <v>38.253676897697432</v>
      </c>
      <c r="N59" s="14">
        <f t="shared" si="2"/>
        <v>10.659915853172432</v>
      </c>
      <c r="O59" s="14">
        <f t="shared" si="3"/>
        <v>16.345141700404859</v>
      </c>
      <c r="P59" s="14">
        <f t="shared" si="4"/>
        <v>7.04909413318242</v>
      </c>
      <c r="Q59" s="14">
        <f t="shared" si="5"/>
        <v>10.463626709146421</v>
      </c>
      <c r="R59" s="14">
        <f t="shared" si="6"/>
        <v>12.303080143540672</v>
      </c>
      <c r="S59" s="14">
        <f t="shared" si="7"/>
        <v>0.8330833333333334</v>
      </c>
      <c r="T59" s="14">
        <f t="shared" si="8"/>
        <v>6.132531645569621</v>
      </c>
      <c r="V59" s="14">
        <f t="shared" si="10"/>
        <v>241.96513124738624</v>
      </c>
      <c r="W59" s="14">
        <f t="shared" si="11"/>
        <v>235.83259960181661</v>
      </c>
      <c r="X59" s="163"/>
      <c r="Y59" s="4">
        <v>0.62997928754761434</v>
      </c>
      <c r="Z59" s="4">
        <v>0.41849770946169634</v>
      </c>
      <c r="AA59" s="4">
        <v>3.0878135133449005</v>
      </c>
      <c r="AB59" s="4">
        <v>5.4907650346868619</v>
      </c>
      <c r="AC59" s="4">
        <v>4.4390551048932787</v>
      </c>
      <c r="AD59" s="5"/>
      <c r="AE59" s="4">
        <v>5.6875884714891578</v>
      </c>
      <c r="AF59" s="4">
        <v>7.9838648023555008</v>
      </c>
      <c r="AG59" s="5"/>
      <c r="AH59" s="5"/>
      <c r="AI59" s="152">
        <f t="shared" si="12"/>
        <v>121.90099214046337</v>
      </c>
      <c r="AJ59" s="152">
        <f t="shared" si="13"/>
        <v>8.3699541892339262</v>
      </c>
      <c r="AK59" s="152">
        <f t="shared" si="14"/>
        <v>15.439067566724503</v>
      </c>
      <c r="AL59" s="152">
        <f t="shared" si="15"/>
        <v>16.472295104060585</v>
      </c>
      <c r="AM59" s="152">
        <f t="shared" si="16"/>
        <v>5.7707716363612622</v>
      </c>
      <c r="AN59" s="152"/>
      <c r="AO59" s="152">
        <f t="shared" si="17"/>
        <v>7.3938650129359056</v>
      </c>
      <c r="AP59" s="152">
        <f t="shared" si="18"/>
        <v>10.379024243062151</v>
      </c>
      <c r="AS59" s="107"/>
      <c r="AT59" s="156">
        <v>1703</v>
      </c>
      <c r="AU59" s="107"/>
    </row>
    <row r="60" spans="1:47" x14ac:dyDescent="0.2">
      <c r="A60" s="156">
        <v>1704</v>
      </c>
      <c r="B60" s="56">
        <v>0.75936940914054707</v>
      </c>
      <c r="C60" s="56">
        <v>1.9126838448848715</v>
      </c>
      <c r="D60" s="56">
        <v>2.4323127530364372</v>
      </c>
      <c r="E60" s="57">
        <v>5.4094082042835501</v>
      </c>
      <c r="F60" s="57">
        <f>F59+($F$63-$F$58)/5</f>
        <v>4.6180395571227493</v>
      </c>
      <c r="G60" s="55">
        <f t="shared" si="25"/>
        <v>3.6400432774976328</v>
      </c>
      <c r="H60" s="55">
        <f>H59+($H$64-$H$59)/5</f>
        <v>9.3418499263894006</v>
      </c>
      <c r="I60" s="113">
        <v>0.64083333333333348</v>
      </c>
      <c r="J60" s="109">
        <v>2.0441772151898738</v>
      </c>
      <c r="K60" s="8"/>
      <c r="L60" s="14">
        <f t="shared" si="0"/>
        <v>135.92712423615794</v>
      </c>
      <c r="M60" s="14">
        <f t="shared" si="1"/>
        <v>38.253676897697432</v>
      </c>
      <c r="N60" s="14">
        <f t="shared" si="2"/>
        <v>12.161563765182187</v>
      </c>
      <c r="O60" s="14">
        <f t="shared" si="3"/>
        <v>16.228224612850649</v>
      </c>
      <c r="P60" s="14">
        <f t="shared" si="4"/>
        <v>6.0034514242595742</v>
      </c>
      <c r="Q60" s="14">
        <f t="shared" si="5"/>
        <v>10.920129832492899</v>
      </c>
      <c r="R60" s="14">
        <f t="shared" si="6"/>
        <v>12.144404904306221</v>
      </c>
      <c r="S60" s="14">
        <f t="shared" si="7"/>
        <v>0.83308333333333351</v>
      </c>
      <c r="T60" s="14">
        <f t="shared" si="8"/>
        <v>6.132531645569621</v>
      </c>
      <c r="V60" s="14">
        <f t="shared" si="10"/>
        <v>238.60419065184985</v>
      </c>
      <c r="W60" s="14">
        <f t="shared" si="11"/>
        <v>232.47165900628022</v>
      </c>
      <c r="X60" s="163"/>
      <c r="Y60" s="4">
        <v>0.8122971370632367</v>
      </c>
      <c r="Z60" s="4">
        <v>0.43549167508084946</v>
      </c>
      <c r="AA60" s="4">
        <v>3.0377724594089295</v>
      </c>
      <c r="AB60" s="4">
        <v>4.8918123572445777</v>
      </c>
      <c r="AC60" s="4">
        <v>4.8534985878485948</v>
      </c>
      <c r="AD60" s="5"/>
      <c r="AE60" s="4">
        <v>5.0548521471651187</v>
      </c>
      <c r="AF60" s="4">
        <v>7.4946307856869661</v>
      </c>
      <c r="AG60" s="5"/>
      <c r="AH60" s="5"/>
      <c r="AI60" s="152">
        <f t="shared" si="12"/>
        <v>157.1794960217363</v>
      </c>
      <c r="AJ60" s="152">
        <f t="shared" si="13"/>
        <v>8.7098335016169894</v>
      </c>
      <c r="AK60" s="152">
        <f t="shared" si="14"/>
        <v>15.188862297044647</v>
      </c>
      <c r="AL60" s="152">
        <f t="shared" si="15"/>
        <v>14.675437071733732</v>
      </c>
      <c r="AM60" s="152">
        <f t="shared" si="16"/>
        <v>6.3095481642031732</v>
      </c>
      <c r="AN60" s="152"/>
      <c r="AO60" s="152">
        <f t="shared" si="17"/>
        <v>6.5713077913146547</v>
      </c>
      <c r="AP60" s="152">
        <f t="shared" si="18"/>
        <v>9.7430200213930558</v>
      </c>
      <c r="AS60" s="107"/>
      <c r="AT60" s="156">
        <v>1704</v>
      </c>
      <c r="AU60" s="107"/>
    </row>
    <row r="61" spans="1:47" x14ac:dyDescent="0.2">
      <c r="A61" s="156">
        <v>1705</v>
      </c>
      <c r="B61" s="56">
        <v>0.98271335300541374</v>
      </c>
      <c r="C61" s="56">
        <v>1.9126838448848715</v>
      </c>
      <c r="D61" s="56">
        <v>2.4323127530364372</v>
      </c>
      <c r="E61" s="57">
        <v>5.3704358417654809</v>
      </c>
      <c r="F61" s="57">
        <f>F60+($F$63-$F$58)/5</f>
        <v>3.8136990117974841</v>
      </c>
      <c r="G61" s="55">
        <f t="shared" si="25"/>
        <v>3.7922109852797918</v>
      </c>
      <c r="H61" s="55">
        <f>H60+($H$64-$H$59)/5</f>
        <v>9.219792050055208</v>
      </c>
      <c r="I61" s="113">
        <v>0.64083333333333337</v>
      </c>
      <c r="J61" s="109">
        <v>2.0441772151898738</v>
      </c>
      <c r="K61" s="8"/>
      <c r="L61" s="14">
        <f t="shared" si="0"/>
        <v>175.90569018796907</v>
      </c>
      <c r="M61" s="14">
        <f t="shared" si="1"/>
        <v>38.253676897697432</v>
      </c>
      <c r="N61" s="14">
        <f t="shared" si="2"/>
        <v>12.161563765182187</v>
      </c>
      <c r="O61" s="14">
        <f t="shared" si="3"/>
        <v>16.111307525296443</v>
      </c>
      <c r="P61" s="14">
        <f t="shared" si="4"/>
        <v>4.9578087153367294</v>
      </c>
      <c r="Q61" s="14">
        <f t="shared" si="5"/>
        <v>11.376632955839376</v>
      </c>
      <c r="R61" s="14">
        <f t="shared" si="6"/>
        <v>11.985729665071771</v>
      </c>
      <c r="S61" s="14">
        <f t="shared" si="7"/>
        <v>0.8330833333333334</v>
      </c>
      <c r="T61" s="14">
        <f t="shared" si="8"/>
        <v>6.132531645569621</v>
      </c>
      <c r="V61" s="14">
        <f t="shared" si="10"/>
        <v>277.71802469129591</v>
      </c>
      <c r="W61" s="14">
        <f t="shared" si="11"/>
        <v>271.58549304572631</v>
      </c>
      <c r="X61" s="163"/>
      <c r="Y61" s="4">
        <v>0.67698331624286112</v>
      </c>
      <c r="Z61" s="4">
        <v>0.42197206017067534</v>
      </c>
      <c r="AA61" s="4">
        <v>2.9787058468074346</v>
      </c>
      <c r="AB61" s="4">
        <v>4.680838606998309</v>
      </c>
      <c r="AC61" s="4">
        <v>4.5334726109054229</v>
      </c>
      <c r="AD61" s="5"/>
      <c r="AE61" s="4">
        <v>4.591896073096688</v>
      </c>
      <c r="AF61" s="4">
        <v>8.3126403687547104</v>
      </c>
      <c r="AG61" s="5"/>
      <c r="AH61" s="5"/>
      <c r="AI61" s="152">
        <f t="shared" si="12"/>
        <v>130.99627169299362</v>
      </c>
      <c r="AJ61" s="152">
        <f t="shared" si="13"/>
        <v>8.4394412034135069</v>
      </c>
      <c r="AK61" s="152">
        <f t="shared" si="14"/>
        <v>14.893529234037173</v>
      </c>
      <c r="AL61" s="152">
        <f t="shared" si="15"/>
        <v>14.042515820994927</v>
      </c>
      <c r="AM61" s="152">
        <f t="shared" si="16"/>
        <v>5.8935143941770498</v>
      </c>
      <c r="AN61" s="152"/>
      <c r="AO61" s="152">
        <f t="shared" si="17"/>
        <v>5.9694648950256948</v>
      </c>
      <c r="AP61" s="152">
        <f t="shared" si="18"/>
        <v>10.806432479381124</v>
      </c>
      <c r="AS61" s="107"/>
      <c r="AT61" s="156">
        <v>1705</v>
      </c>
      <c r="AU61" s="107"/>
    </row>
    <row r="62" spans="1:47" x14ac:dyDescent="0.2">
      <c r="A62" s="156">
        <v>1706</v>
      </c>
      <c r="B62" s="56">
        <v>0.75936940914054707</v>
      </c>
      <c r="C62" s="56">
        <v>1.9126838448848715</v>
      </c>
      <c r="D62" s="56">
        <v>1.7027203439185448</v>
      </c>
      <c r="E62" s="57">
        <v>5.3314634792474118</v>
      </c>
      <c r="F62" s="57">
        <f>F61+($F$63-$F$58)/5</f>
        <v>3.0093584664722188</v>
      </c>
      <c r="G62" s="55">
        <f t="shared" si="25"/>
        <v>3.9443786930619509</v>
      </c>
      <c r="H62" s="55">
        <f>H61+($H$64-$H$59)/5</f>
        <v>9.0977341737210153</v>
      </c>
      <c r="I62" s="113">
        <v>0.64083333333333337</v>
      </c>
      <c r="J62" s="109">
        <v>2.0441772151898738</v>
      </c>
      <c r="K62" s="8"/>
      <c r="L62" s="14">
        <f t="shared" si="0"/>
        <v>135.92712423615794</v>
      </c>
      <c r="M62" s="14">
        <f t="shared" si="1"/>
        <v>38.253676897697432</v>
      </c>
      <c r="N62" s="14">
        <f t="shared" si="2"/>
        <v>8.5136017195927245</v>
      </c>
      <c r="O62" s="14">
        <f t="shared" si="3"/>
        <v>15.994390437742236</v>
      </c>
      <c r="P62" s="14">
        <f t="shared" si="4"/>
        <v>3.9121660064138846</v>
      </c>
      <c r="Q62" s="14">
        <f t="shared" si="5"/>
        <v>11.833136079185852</v>
      </c>
      <c r="R62" s="14">
        <f t="shared" si="6"/>
        <v>11.82705442583732</v>
      </c>
      <c r="S62" s="14">
        <f t="shared" si="7"/>
        <v>0.8330833333333334</v>
      </c>
      <c r="T62" s="14">
        <f t="shared" si="8"/>
        <v>6.132531645569621</v>
      </c>
      <c r="V62" s="14">
        <f t="shared" si="10"/>
        <v>233.22676478153033</v>
      </c>
      <c r="W62" s="14">
        <f t="shared" si="11"/>
        <v>227.09423313596071</v>
      </c>
      <c r="X62" s="163"/>
      <c r="Y62" s="4">
        <v>0.6284108655085423</v>
      </c>
      <c r="Z62" s="4">
        <v>0.44814537240403057</v>
      </c>
      <c r="AA62" s="4">
        <v>2.9792586506860768</v>
      </c>
      <c r="AB62" s="4">
        <v>5.6068151643632893</v>
      </c>
      <c r="AC62" s="4">
        <v>4.8017805383979058</v>
      </c>
      <c r="AD62" s="5"/>
      <c r="AE62" s="4">
        <v>4.123031091270084</v>
      </c>
      <c r="AF62" s="4">
        <v>9.2596000848147337</v>
      </c>
      <c r="AG62" s="5"/>
      <c r="AH62" s="5"/>
      <c r="AI62" s="152">
        <f t="shared" si="12"/>
        <v>121.59750247590294</v>
      </c>
      <c r="AJ62" s="152">
        <f t="shared" si="13"/>
        <v>8.9629074480806121</v>
      </c>
      <c r="AK62" s="152">
        <f t="shared" si="14"/>
        <v>14.896293253430384</v>
      </c>
      <c r="AL62" s="152">
        <f t="shared" si="15"/>
        <v>16.820445493089867</v>
      </c>
      <c r="AM62" s="152">
        <f t="shared" si="16"/>
        <v>6.2423146999172774</v>
      </c>
      <c r="AN62" s="152"/>
      <c r="AO62" s="152">
        <f t="shared" si="17"/>
        <v>5.3599404186511093</v>
      </c>
      <c r="AP62" s="152">
        <f t="shared" si="18"/>
        <v>12.037480110259155</v>
      </c>
      <c r="AS62" s="107"/>
      <c r="AT62" s="156">
        <v>1706</v>
      </c>
      <c r="AU62" s="107"/>
    </row>
    <row r="63" spans="1:47" x14ac:dyDescent="0.2">
      <c r="A63" s="156">
        <v>1707</v>
      </c>
      <c r="B63" s="56">
        <v>0.6074955273124375</v>
      </c>
      <c r="C63" s="56">
        <v>1.9126838448848715</v>
      </c>
      <c r="D63" s="56">
        <v>1.7025035605127139</v>
      </c>
      <c r="E63" s="57">
        <v>5.2924911167293427</v>
      </c>
      <c r="F63" s="56">
        <v>2.2050179211469541</v>
      </c>
      <c r="G63" s="55">
        <f t="shared" si="25"/>
        <v>4.0965464008441099</v>
      </c>
      <c r="H63" s="55">
        <f>H62+($H$64-$H$59)/5</f>
        <v>8.9756762973868227</v>
      </c>
      <c r="I63" s="55">
        <f>I62+($I$64-$I$62)/2</f>
        <v>0.96125000000000016</v>
      </c>
      <c r="J63" s="55">
        <f t="shared" ref="J63:J72" si="26">J62+($J$73-$J$62)/11</f>
        <v>2.0441772151898738</v>
      </c>
      <c r="K63" s="8"/>
      <c r="L63" s="14">
        <f t="shared" si="0"/>
        <v>108.74169938892631</v>
      </c>
      <c r="M63" s="14">
        <f t="shared" si="1"/>
        <v>38.253676897697432</v>
      </c>
      <c r="N63" s="14">
        <f t="shared" si="2"/>
        <v>8.5125178025635702</v>
      </c>
      <c r="O63" s="14">
        <f t="shared" si="3"/>
        <v>15.877473350188028</v>
      </c>
      <c r="P63" s="14">
        <f t="shared" si="4"/>
        <v>2.8665232974910402</v>
      </c>
      <c r="Q63" s="14">
        <f t="shared" si="5"/>
        <v>12.28963920253233</v>
      </c>
      <c r="R63" s="14">
        <f t="shared" si="6"/>
        <v>11.66837918660287</v>
      </c>
      <c r="S63" s="14">
        <f t="shared" si="7"/>
        <v>1.2496250000000002</v>
      </c>
      <c r="T63" s="14">
        <f t="shared" si="8"/>
        <v>6.132531645569621</v>
      </c>
      <c r="V63" s="14">
        <f t="shared" si="10"/>
        <v>205.59206577157121</v>
      </c>
      <c r="W63" s="14">
        <f t="shared" si="11"/>
        <v>199.45953412600159</v>
      </c>
      <c r="X63" s="163"/>
      <c r="Y63" s="4">
        <v>0.64424294225059398</v>
      </c>
      <c r="Z63" s="4">
        <v>0.45872888417135604</v>
      </c>
      <c r="AA63" s="4">
        <v>2.9289710741810739</v>
      </c>
      <c r="AB63" s="4">
        <v>5.0926002204955259</v>
      </c>
      <c r="AC63" s="4">
        <v>4.6360489872743802</v>
      </c>
      <c r="AD63" s="5"/>
      <c r="AE63" s="4">
        <v>4.1349791747761815</v>
      </c>
      <c r="AF63" s="4">
        <v>8.9095127820959323</v>
      </c>
      <c r="AG63" s="5"/>
      <c r="AH63" s="5"/>
      <c r="AI63" s="152">
        <f t="shared" si="12"/>
        <v>124.66100932548993</v>
      </c>
      <c r="AJ63" s="152">
        <f t="shared" si="13"/>
        <v>9.1745776834271204</v>
      </c>
      <c r="AK63" s="152">
        <f t="shared" si="14"/>
        <v>14.64485537090537</v>
      </c>
      <c r="AL63" s="152">
        <f t="shared" si="15"/>
        <v>15.277800661486577</v>
      </c>
      <c r="AM63" s="152">
        <f t="shared" si="16"/>
        <v>6.0268636834566944</v>
      </c>
      <c r="AN63" s="152"/>
      <c r="AO63" s="152">
        <f t="shared" si="17"/>
        <v>5.375472927209036</v>
      </c>
      <c r="AP63" s="152">
        <f t="shared" si="18"/>
        <v>11.582366616724713</v>
      </c>
      <c r="AS63" s="107"/>
      <c r="AT63" s="156">
        <v>1707</v>
      </c>
      <c r="AU63" s="107"/>
    </row>
    <row r="64" spans="1:47" x14ac:dyDescent="0.2">
      <c r="A64" s="156">
        <v>1708</v>
      </c>
      <c r="B64" s="56">
        <v>0.90342625293338596</v>
      </c>
      <c r="C64" s="56">
        <v>1.9124744651536307</v>
      </c>
      <c r="D64" s="56">
        <v>1.5810642496930587</v>
      </c>
      <c r="E64" s="56">
        <v>5.2535187542112753</v>
      </c>
      <c r="F64" s="56">
        <v>3.1133603238866403</v>
      </c>
      <c r="G64" s="109">
        <v>4.2487141086262694</v>
      </c>
      <c r="H64" s="109">
        <v>8.8536184210526301</v>
      </c>
      <c r="I64" s="113">
        <v>1.281666666666667</v>
      </c>
      <c r="J64" s="55">
        <f t="shared" si="26"/>
        <v>2.0441772151898738</v>
      </c>
      <c r="K64" s="8"/>
      <c r="L64" s="14">
        <f t="shared" si="0"/>
        <v>161.71329927507608</v>
      </c>
      <c r="M64" s="14">
        <f t="shared" si="1"/>
        <v>38.249489303072615</v>
      </c>
      <c r="N64" s="14">
        <f t="shared" si="2"/>
        <v>7.9053212484652935</v>
      </c>
      <c r="O64" s="14">
        <f t="shared" si="3"/>
        <v>15.760556262633827</v>
      </c>
      <c r="P64" s="14">
        <f t="shared" si="4"/>
        <v>4.0473684210526324</v>
      </c>
      <c r="Q64" s="14">
        <f t="shared" si="5"/>
        <v>12.746142325878807</v>
      </c>
      <c r="R64" s="14">
        <f t="shared" si="6"/>
        <v>11.50970394736842</v>
      </c>
      <c r="S64" s="14">
        <f t="shared" si="7"/>
        <v>1.666166666666667</v>
      </c>
      <c r="T64" s="14">
        <f t="shared" si="8"/>
        <v>6.132531645569621</v>
      </c>
      <c r="V64" s="14">
        <f t="shared" si="10"/>
        <v>259.73057909578392</v>
      </c>
      <c r="W64" s="14">
        <f t="shared" si="11"/>
        <v>253.5980474502143</v>
      </c>
      <c r="X64" s="163"/>
      <c r="Y64" s="4">
        <v>0.84458020591965233</v>
      </c>
      <c r="Z64" s="4">
        <v>0.53606272632649699</v>
      </c>
      <c r="AA64" s="4">
        <v>2.9484364232762825</v>
      </c>
      <c r="AB64" s="4">
        <v>4.803089518948167</v>
      </c>
      <c r="AC64" s="4">
        <v>4.3832975386297592</v>
      </c>
      <c r="AD64" s="5"/>
      <c r="AE64" s="4">
        <v>4.3287945304948003</v>
      </c>
      <c r="AF64" s="4">
        <v>8.2446159034936919</v>
      </c>
      <c r="AG64" s="5"/>
      <c r="AH64" s="5"/>
      <c r="AI64" s="152">
        <f t="shared" si="12"/>
        <v>163.42626984545274</v>
      </c>
      <c r="AJ64" s="152">
        <f t="shared" si="13"/>
        <v>10.72125452652994</v>
      </c>
      <c r="AK64" s="152">
        <f t="shared" si="14"/>
        <v>14.742182116381413</v>
      </c>
      <c r="AL64" s="152">
        <f t="shared" si="15"/>
        <v>14.409268556844502</v>
      </c>
      <c r="AM64" s="152">
        <f t="shared" si="16"/>
        <v>5.6982868002186873</v>
      </c>
      <c r="AN64" s="152"/>
      <c r="AO64" s="152">
        <f t="shared" si="17"/>
        <v>5.6274328896432406</v>
      </c>
      <c r="AP64" s="152">
        <f t="shared" si="18"/>
        <v>10.7180006745418</v>
      </c>
      <c r="AS64" s="107"/>
      <c r="AT64" s="156">
        <v>1708</v>
      </c>
      <c r="AU64" s="107"/>
    </row>
    <row r="65" spans="1:47" x14ac:dyDescent="0.2">
      <c r="A65" s="156">
        <v>1709</v>
      </c>
      <c r="B65" s="56">
        <v>0.40201909895676019</v>
      </c>
      <c r="C65" s="56">
        <v>1.6394432956156044</v>
      </c>
      <c r="D65" s="56">
        <v>1.5809746403246498</v>
      </c>
      <c r="E65" s="57">
        <v>6.9723992317482626</v>
      </c>
      <c r="F65" s="57">
        <f>F64+($F$70-$F$64)/6</f>
        <v>3.528475033738192</v>
      </c>
      <c r="G65" s="109">
        <v>3.2350615040301549</v>
      </c>
      <c r="H65" s="55">
        <f t="shared" ref="H65:H71" si="27">H64+($H$72-$H$64)/8</f>
        <v>9.3161053173799875</v>
      </c>
      <c r="I65" s="55">
        <f>I64+($I$67-$I$64)/3</f>
        <v>1.0680555555555558</v>
      </c>
      <c r="J65" s="55">
        <f t="shared" si="26"/>
        <v>2.0441772151898738</v>
      </c>
      <c r="K65" s="8"/>
      <c r="L65" s="14">
        <f t="shared" si="0"/>
        <v>71.961418713260073</v>
      </c>
      <c r="M65" s="14">
        <f t="shared" si="1"/>
        <v>32.78886591231209</v>
      </c>
      <c r="N65" s="14">
        <f t="shared" si="2"/>
        <v>7.904873201623249</v>
      </c>
      <c r="O65" s="14">
        <f t="shared" si="3"/>
        <v>20.917197695244788</v>
      </c>
      <c r="P65" s="14">
        <f t="shared" si="4"/>
        <v>4.5870175438596501</v>
      </c>
      <c r="Q65" s="14">
        <f t="shared" si="5"/>
        <v>9.7051845120904652</v>
      </c>
      <c r="R65" s="14">
        <f t="shared" si="6"/>
        <v>12.110936912593985</v>
      </c>
      <c r="S65" s="14">
        <f t="shared" si="7"/>
        <v>1.3884722222222226</v>
      </c>
      <c r="T65" s="14">
        <f t="shared" si="8"/>
        <v>6.132531645569621</v>
      </c>
      <c r="V65" s="14">
        <f t="shared" si="10"/>
        <v>167.49649835877614</v>
      </c>
      <c r="W65" s="14">
        <f t="shared" si="11"/>
        <v>161.36396671320651</v>
      </c>
      <c r="X65" s="163"/>
      <c r="Y65" s="4">
        <v>1.4357557099398262</v>
      </c>
      <c r="Z65" s="4">
        <v>0.46151017043462972</v>
      </c>
      <c r="AA65" s="4">
        <v>2.9671886272278996</v>
      </c>
      <c r="AB65" s="4">
        <v>5.1371388019811786</v>
      </c>
      <c r="AC65" s="4">
        <v>4.3807380482345453</v>
      </c>
      <c r="AD65" s="5"/>
      <c r="AE65" s="4">
        <v>4.9885286888703515</v>
      </c>
      <c r="AF65" s="4">
        <v>8.2900771878810815</v>
      </c>
      <c r="AG65" s="5"/>
      <c r="AH65" s="5"/>
      <c r="AI65" s="152">
        <f t="shared" si="12"/>
        <v>277.81872987335635</v>
      </c>
      <c r="AJ65" s="152">
        <f t="shared" si="13"/>
        <v>9.2302034086925939</v>
      </c>
      <c r="AK65" s="152">
        <f t="shared" si="14"/>
        <v>14.835943136139498</v>
      </c>
      <c r="AL65" s="152">
        <f t="shared" si="15"/>
        <v>15.411416405943536</v>
      </c>
      <c r="AM65" s="152">
        <f t="shared" si="16"/>
        <v>5.6949594627049089</v>
      </c>
      <c r="AN65" s="152"/>
      <c r="AO65" s="152">
        <f t="shared" si="17"/>
        <v>6.4850872955314571</v>
      </c>
      <c r="AP65" s="152">
        <f t="shared" si="18"/>
        <v>10.777100344245406</v>
      </c>
      <c r="AS65" s="107"/>
      <c r="AT65" s="156">
        <v>1709</v>
      </c>
      <c r="AU65" s="107"/>
    </row>
    <row r="66" spans="1:47" x14ac:dyDescent="0.2">
      <c r="A66" s="156">
        <v>1710</v>
      </c>
      <c r="B66" s="56">
        <v>0.87104138107298035</v>
      </c>
      <c r="C66" s="56">
        <v>1.6394432956156044</v>
      </c>
      <c r="D66" s="56">
        <v>1.5808579321378453</v>
      </c>
      <c r="E66" s="57">
        <v>8.6912797092852507</v>
      </c>
      <c r="F66" s="57">
        <f>F65+($F$70-$F$64)/6</f>
        <v>3.9435897435897438</v>
      </c>
      <c r="G66" s="55">
        <f>G65+($G$68-$G$65)/3</f>
        <v>3.7095371912879105</v>
      </c>
      <c r="H66" s="55">
        <f t="shared" si="27"/>
        <v>9.7785922137073449</v>
      </c>
      <c r="I66" s="55">
        <f>I65+($I$67-$I$64)/3</f>
        <v>0.85444444444444456</v>
      </c>
      <c r="J66" s="55">
        <f t="shared" si="26"/>
        <v>2.0441772151898738</v>
      </c>
      <c r="K66" s="3"/>
      <c r="L66" s="14">
        <f t="shared" si="0"/>
        <v>155.91640721206349</v>
      </c>
      <c r="M66" s="14">
        <f t="shared" si="1"/>
        <v>32.78886591231209</v>
      </c>
      <c r="N66" s="14">
        <f t="shared" si="2"/>
        <v>7.9042896606892263</v>
      </c>
      <c r="O66" s="14">
        <f t="shared" si="3"/>
        <v>26.073839127855752</v>
      </c>
      <c r="P66" s="14">
        <f t="shared" si="4"/>
        <v>5.1266666666666669</v>
      </c>
      <c r="Q66" s="14">
        <f t="shared" si="5"/>
        <v>11.128611573863731</v>
      </c>
      <c r="R66" s="14">
        <f t="shared" si="6"/>
        <v>12.712169877819548</v>
      </c>
      <c r="S66" s="14">
        <f t="shared" si="7"/>
        <v>1.1107777777777779</v>
      </c>
      <c r="T66" s="14">
        <f t="shared" si="8"/>
        <v>6.132531645569621</v>
      </c>
      <c r="V66" s="14">
        <f t="shared" si="10"/>
        <v>258.89415945461792</v>
      </c>
      <c r="W66" s="14">
        <f t="shared" si="11"/>
        <v>252.76162780904829</v>
      </c>
      <c r="X66" s="163"/>
      <c r="Y66" s="4">
        <v>1.4948449748791519</v>
      </c>
      <c r="Z66" s="4">
        <v>0.51287043990546721</v>
      </c>
      <c r="AA66" s="4">
        <v>3.0399956435099962</v>
      </c>
      <c r="AB66" s="4">
        <v>5.3323201261231281</v>
      </c>
      <c r="AC66" s="4">
        <v>6.3191732350415331</v>
      </c>
      <c r="AD66" s="5"/>
      <c r="AE66" s="4">
        <v>4.9629393810766276</v>
      </c>
      <c r="AF66" s="4">
        <v>9.4455567719397724</v>
      </c>
      <c r="AG66" s="5"/>
      <c r="AH66" s="5"/>
      <c r="AI66" s="152">
        <f t="shared" si="12"/>
        <v>289.2525026391159</v>
      </c>
      <c r="AJ66" s="152">
        <f t="shared" si="13"/>
        <v>10.257408798109344</v>
      </c>
      <c r="AK66" s="152">
        <f t="shared" si="14"/>
        <v>15.199978217549981</v>
      </c>
      <c r="AL66" s="152">
        <f t="shared" si="15"/>
        <v>15.996960378369383</v>
      </c>
      <c r="AM66" s="152">
        <f t="shared" si="16"/>
        <v>8.2149252055539925</v>
      </c>
      <c r="AN66" s="152"/>
      <c r="AO66" s="152">
        <f t="shared" si="17"/>
        <v>6.4518211953996163</v>
      </c>
      <c r="AP66" s="152">
        <f t="shared" si="18"/>
        <v>12.279223803521704</v>
      </c>
      <c r="AS66" s="107"/>
      <c r="AT66" s="156">
        <v>1710</v>
      </c>
      <c r="AU66" s="107"/>
    </row>
    <row r="67" spans="1:47" x14ac:dyDescent="0.2">
      <c r="A67" s="156">
        <v>1711</v>
      </c>
      <c r="B67" s="56">
        <v>0.71470062036757365</v>
      </c>
      <c r="C67" s="56">
        <v>1.6394432956156044</v>
      </c>
      <c r="D67" s="56">
        <v>1.5809693660043251</v>
      </c>
      <c r="E67" s="57">
        <v>10.410160186822239</v>
      </c>
      <c r="F67" s="57">
        <f>F66+($F$70-$F$64)/6</f>
        <v>4.3587044534412955</v>
      </c>
      <c r="G67" s="55">
        <f>G66+($G$68-$G$65)/3</f>
        <v>4.1840128785456665</v>
      </c>
      <c r="H67" s="55">
        <f t="shared" si="27"/>
        <v>10.241079110034702</v>
      </c>
      <c r="I67" s="113">
        <v>0.64083333333333337</v>
      </c>
      <c r="J67" s="55">
        <f t="shared" si="26"/>
        <v>2.0441772151898738</v>
      </c>
      <c r="K67" s="3"/>
      <c r="L67" s="14">
        <f t="shared" si="0"/>
        <v>127.93141104579568</v>
      </c>
      <c r="M67" s="14">
        <f t="shared" si="1"/>
        <v>32.78886591231209</v>
      </c>
      <c r="N67" s="14">
        <f t="shared" si="2"/>
        <v>7.9048468300216257</v>
      </c>
      <c r="O67" s="14">
        <f t="shared" si="3"/>
        <v>31.230480560466717</v>
      </c>
      <c r="P67" s="14">
        <f t="shared" si="4"/>
        <v>5.6663157894736846</v>
      </c>
      <c r="Q67" s="14">
        <f t="shared" si="5"/>
        <v>12.552038635637</v>
      </c>
      <c r="R67" s="14">
        <f t="shared" si="6"/>
        <v>13.313402843045113</v>
      </c>
      <c r="S67" s="14">
        <f t="shared" si="7"/>
        <v>0.8330833333333334</v>
      </c>
      <c r="T67" s="14">
        <f t="shared" si="8"/>
        <v>6.132531645569621</v>
      </c>
      <c r="V67" s="14">
        <f t="shared" si="10"/>
        <v>238.35297659565484</v>
      </c>
      <c r="W67" s="14">
        <f t="shared" si="11"/>
        <v>232.22044495008521</v>
      </c>
      <c r="X67" s="163"/>
      <c r="Y67" s="4">
        <v>1.0259637737882223</v>
      </c>
      <c r="Z67" s="4">
        <v>0.51653352354793025</v>
      </c>
      <c r="AA67" s="4">
        <v>3.1489057595112975</v>
      </c>
      <c r="AB67" s="4">
        <v>6.6886721482345957</v>
      </c>
      <c r="AC67" s="4">
        <v>4.698843029868395</v>
      </c>
      <c r="AD67" s="5"/>
      <c r="AE67" s="4">
        <v>5.9695712926815299</v>
      </c>
      <c r="AF67" s="4">
        <v>9.8615798134249406</v>
      </c>
      <c r="AG67" s="5"/>
      <c r="AH67" s="5"/>
      <c r="AI67" s="152">
        <f t="shared" si="12"/>
        <v>198.52399022802103</v>
      </c>
      <c r="AJ67" s="152">
        <f t="shared" si="13"/>
        <v>10.330670470958605</v>
      </c>
      <c r="AK67" s="152">
        <f t="shared" si="14"/>
        <v>15.744528797556487</v>
      </c>
      <c r="AL67" s="152">
        <f t="shared" si="15"/>
        <v>20.066016444703788</v>
      </c>
      <c r="AM67" s="152">
        <f t="shared" si="16"/>
        <v>6.1084959388289137</v>
      </c>
      <c r="AN67" s="152"/>
      <c r="AO67" s="152">
        <f t="shared" si="17"/>
        <v>7.7604426804859887</v>
      </c>
      <c r="AP67" s="152">
        <f t="shared" si="18"/>
        <v>12.820053757452424</v>
      </c>
      <c r="AS67" s="107"/>
      <c r="AT67" s="156">
        <v>1711</v>
      </c>
      <c r="AU67" s="107"/>
    </row>
    <row r="68" spans="1:47" x14ac:dyDescent="0.2">
      <c r="A68" s="156">
        <v>1712</v>
      </c>
      <c r="B68" s="57">
        <v>0.55835985966216695</v>
      </c>
      <c r="C68" s="56">
        <v>1.6394432956156044</v>
      </c>
      <c r="D68" s="56">
        <v>1.5784824051077921</v>
      </c>
      <c r="E68" s="57">
        <v>12.129040664359227</v>
      </c>
      <c r="F68" s="57">
        <f>F67+($F$70-$F$64)/6</f>
        <v>4.7738191632928473</v>
      </c>
      <c r="G68" s="109">
        <v>4.6584885658034221</v>
      </c>
      <c r="H68" s="55">
        <f t="shared" si="27"/>
        <v>10.70356600636206</v>
      </c>
      <c r="I68" s="113">
        <v>0.64083333333333337</v>
      </c>
      <c r="J68" s="55">
        <f t="shared" si="26"/>
        <v>2.0441772151898738</v>
      </c>
      <c r="K68" s="3"/>
      <c r="L68" s="14">
        <f t="shared" si="0"/>
        <v>99.946414879527879</v>
      </c>
      <c r="M68" s="14">
        <f t="shared" si="1"/>
        <v>32.78886591231209</v>
      </c>
      <c r="N68" s="14">
        <f t="shared" si="2"/>
        <v>7.8924120255389605</v>
      </c>
      <c r="O68" s="14">
        <f t="shared" si="3"/>
        <v>36.387121993077685</v>
      </c>
      <c r="P68" s="14">
        <f t="shared" si="4"/>
        <v>6.2059649122807015</v>
      </c>
      <c r="Q68" s="14">
        <f t="shared" si="5"/>
        <v>13.975465697410266</v>
      </c>
      <c r="R68" s="14">
        <f t="shared" si="6"/>
        <v>13.914635808270678</v>
      </c>
      <c r="S68" s="14">
        <f t="shared" si="7"/>
        <v>0.8330833333333334</v>
      </c>
      <c r="T68" s="14">
        <f t="shared" si="8"/>
        <v>6.132531645569621</v>
      </c>
      <c r="V68" s="14">
        <f t="shared" si="10"/>
        <v>218.07649620732118</v>
      </c>
      <c r="W68" s="14">
        <f t="shared" si="11"/>
        <v>211.94396456175156</v>
      </c>
      <c r="X68" s="163"/>
      <c r="Y68" s="4">
        <v>0.88359253695739393</v>
      </c>
      <c r="Z68" s="4">
        <v>0.48383769041930214</v>
      </c>
      <c r="AA68" s="4">
        <v>3.2023609126489978</v>
      </c>
      <c r="AB68" s="4">
        <v>5.2852857172929557</v>
      </c>
      <c r="AC68" s="4">
        <v>5.2364962650557558</v>
      </c>
      <c r="AD68" s="5"/>
      <c r="AE68" s="4">
        <v>6.2668474112886754</v>
      </c>
      <c r="AF68" s="4">
        <v>9.0087082124028388</v>
      </c>
      <c r="AG68" s="5"/>
      <c r="AH68" s="5"/>
      <c r="AI68" s="152">
        <f t="shared" si="12"/>
        <v>170.97515590125573</v>
      </c>
      <c r="AJ68" s="152">
        <f t="shared" si="13"/>
        <v>9.6767538083860423</v>
      </c>
      <c r="AK68" s="152">
        <f t="shared" si="14"/>
        <v>16.01180456324499</v>
      </c>
      <c r="AL68" s="152">
        <f t="shared" si="15"/>
        <v>15.855857151878867</v>
      </c>
      <c r="AM68" s="152">
        <f t="shared" si="16"/>
        <v>6.8074451445724824</v>
      </c>
      <c r="AN68" s="152"/>
      <c r="AO68" s="152">
        <f t="shared" si="17"/>
        <v>8.1469016346752792</v>
      </c>
      <c r="AP68" s="152">
        <f t="shared" si="18"/>
        <v>11.711320676123691</v>
      </c>
      <c r="AS68" s="107"/>
      <c r="AT68" s="156">
        <v>1712</v>
      </c>
      <c r="AU68" s="107"/>
    </row>
    <row r="69" spans="1:47" x14ac:dyDescent="0.2">
      <c r="A69" s="156">
        <v>1713</v>
      </c>
      <c r="B69" s="56">
        <v>0.40201909895676019</v>
      </c>
      <c r="C69" s="56">
        <v>1.6394432956156044</v>
      </c>
      <c r="D69" s="56">
        <v>1.3959381502670363</v>
      </c>
      <c r="E69" s="57">
        <v>13.847921141896215</v>
      </c>
      <c r="F69" s="57">
        <f>F68+($F$70-$F$64)/6</f>
        <v>5.188933873144399</v>
      </c>
      <c r="G69" s="109">
        <v>3.6987536529411429</v>
      </c>
      <c r="H69" s="55">
        <f t="shared" si="27"/>
        <v>11.166052902689417</v>
      </c>
      <c r="I69" s="113">
        <v>0.64083333333333337</v>
      </c>
      <c r="J69" s="55">
        <f t="shared" si="26"/>
        <v>2.0441772151898738</v>
      </c>
      <c r="K69" s="3"/>
      <c r="L69" s="14">
        <f t="shared" si="0"/>
        <v>71.961418713260073</v>
      </c>
      <c r="M69" s="14">
        <f t="shared" si="1"/>
        <v>32.78886591231209</v>
      </c>
      <c r="N69" s="14">
        <f t="shared" si="2"/>
        <v>6.9796907513351814</v>
      </c>
      <c r="O69" s="14">
        <f t="shared" si="3"/>
        <v>41.543763425688645</v>
      </c>
      <c r="P69" s="14">
        <f t="shared" si="4"/>
        <v>6.7456140350877192</v>
      </c>
      <c r="Q69" s="14">
        <f t="shared" si="5"/>
        <v>11.096260958823429</v>
      </c>
      <c r="R69" s="14">
        <f t="shared" si="6"/>
        <v>14.515868773496242</v>
      </c>
      <c r="S69" s="14">
        <f t="shared" si="7"/>
        <v>0.8330833333333334</v>
      </c>
      <c r="T69" s="14">
        <f t="shared" si="8"/>
        <v>6.132531645569621</v>
      </c>
      <c r="V69" s="14">
        <f t="shared" si="10"/>
        <v>192.59709754890633</v>
      </c>
      <c r="W69" s="14">
        <f t="shared" si="11"/>
        <v>186.46456590333671</v>
      </c>
      <c r="X69" s="163"/>
      <c r="Y69" s="4">
        <v>0.93651593288290635</v>
      </c>
      <c r="Z69" s="4">
        <v>0.42288573381557365</v>
      </c>
      <c r="AA69" s="4">
        <v>3.1940472166611089</v>
      </c>
      <c r="AB69" s="4">
        <v>4.951513014736272</v>
      </c>
      <c r="AC69" s="4">
        <v>5.8252512560545533</v>
      </c>
      <c r="AD69" s="5"/>
      <c r="AE69" s="4">
        <v>6.1999791714889358</v>
      </c>
      <c r="AF69" s="4">
        <v>8.2695260539505266</v>
      </c>
      <c r="AG69" s="5"/>
      <c r="AH69" s="5"/>
      <c r="AI69" s="152">
        <f t="shared" si="12"/>
        <v>181.21583301284238</v>
      </c>
      <c r="AJ69" s="152">
        <f t="shared" si="13"/>
        <v>8.4577146763114737</v>
      </c>
      <c r="AK69" s="152">
        <f t="shared" si="14"/>
        <v>15.970236083305544</v>
      </c>
      <c r="AL69" s="152">
        <f t="shared" si="15"/>
        <v>14.854539044208817</v>
      </c>
      <c r="AM69" s="152">
        <f t="shared" si="16"/>
        <v>7.5728266328709193</v>
      </c>
      <c r="AN69" s="152"/>
      <c r="AO69" s="152">
        <f t="shared" si="17"/>
        <v>8.0599729229356161</v>
      </c>
      <c r="AP69" s="152">
        <f t="shared" si="18"/>
        <v>10.750383870135686</v>
      </c>
      <c r="AS69" s="107"/>
      <c r="AT69" s="156">
        <v>1713</v>
      </c>
      <c r="AU69" s="107"/>
    </row>
    <row r="70" spans="1:47" x14ac:dyDescent="0.2">
      <c r="A70" s="156">
        <v>1714</v>
      </c>
      <c r="B70" s="56">
        <v>0.75936940914054707</v>
      </c>
      <c r="C70" s="56">
        <v>1.6394432956156044</v>
      </c>
      <c r="D70" s="56">
        <v>1.5870466127409824</v>
      </c>
      <c r="E70" s="56">
        <v>15.5668016194332</v>
      </c>
      <c r="F70" s="56">
        <v>5.6040485829959517</v>
      </c>
      <c r="G70" s="55">
        <f>G69+($G$75-$G$69)/6</f>
        <v>3.9449777785256601</v>
      </c>
      <c r="H70" s="55">
        <f t="shared" si="27"/>
        <v>11.628539799016774</v>
      </c>
      <c r="I70" s="113">
        <v>0.64083333333333337</v>
      </c>
      <c r="J70" s="55">
        <f t="shared" si="26"/>
        <v>2.0441772151898738</v>
      </c>
      <c r="K70" s="3"/>
      <c r="L70" s="14">
        <f t="shared" si="0"/>
        <v>135.92712423615794</v>
      </c>
      <c r="M70" s="14">
        <f t="shared" si="1"/>
        <v>32.78886591231209</v>
      </c>
      <c r="N70" s="14">
        <f t="shared" si="2"/>
        <v>7.9352330637049118</v>
      </c>
      <c r="O70" s="14">
        <f t="shared" si="3"/>
        <v>46.700404858299599</v>
      </c>
      <c r="P70" s="14">
        <f t="shared" si="4"/>
        <v>7.2852631578947378</v>
      </c>
      <c r="Q70" s="14">
        <f t="shared" si="5"/>
        <v>11.834933335576981</v>
      </c>
      <c r="R70" s="14">
        <f t="shared" si="6"/>
        <v>15.117101738721807</v>
      </c>
      <c r="S70" s="14">
        <f t="shared" si="7"/>
        <v>0.8330833333333334</v>
      </c>
      <c r="T70" s="14">
        <f t="shared" si="8"/>
        <v>6.132531645569621</v>
      </c>
      <c r="V70" s="14">
        <f t="shared" si="10"/>
        <v>264.55454128157101</v>
      </c>
      <c r="W70" s="14">
        <f t="shared" si="11"/>
        <v>258.42200963600141</v>
      </c>
      <c r="X70" s="163"/>
      <c r="Y70" s="4">
        <v>1.1076844877640137</v>
      </c>
      <c r="Z70" s="4">
        <v>0.52508887983587038</v>
      </c>
      <c r="AA70" s="4">
        <v>3.1118592155271476</v>
      </c>
      <c r="AB70" s="4">
        <v>4.3503083292545659</v>
      </c>
      <c r="AC70" s="4">
        <v>6.2220763294186439</v>
      </c>
      <c r="AD70" s="5"/>
      <c r="AE70" s="4">
        <v>6.1626967514142414</v>
      </c>
      <c r="AF70" s="4">
        <v>7.1888249627408447</v>
      </c>
      <c r="AG70" s="5"/>
      <c r="AH70" s="5"/>
      <c r="AI70" s="152">
        <f t="shared" si="12"/>
        <v>214.33694838233666</v>
      </c>
      <c r="AJ70" s="152">
        <f t="shared" si="13"/>
        <v>10.501777596717407</v>
      </c>
      <c r="AK70" s="152">
        <f t="shared" si="14"/>
        <v>15.559296077635738</v>
      </c>
      <c r="AL70" s="152">
        <f t="shared" si="15"/>
        <v>13.050924987763697</v>
      </c>
      <c r="AM70" s="152">
        <f t="shared" si="16"/>
        <v>8.0886992282442378</v>
      </c>
      <c r="AN70" s="152"/>
      <c r="AO70" s="152">
        <f t="shared" si="17"/>
        <v>8.0115057768385149</v>
      </c>
      <c r="AP70" s="152">
        <f t="shared" si="18"/>
        <v>9.3454724515630989</v>
      </c>
      <c r="AS70" s="107"/>
      <c r="AT70" s="156">
        <v>1714</v>
      </c>
      <c r="AU70" s="107"/>
    </row>
    <row r="71" spans="1:47" x14ac:dyDescent="0.2">
      <c r="A71" s="156">
        <v>1715</v>
      </c>
      <c r="B71" s="57">
        <v>0.59186145124189693</v>
      </c>
      <c r="C71" s="57">
        <v>1.6394432956156044</v>
      </c>
      <c r="D71" s="56">
        <v>1.5809520397317327</v>
      </c>
      <c r="E71" s="56">
        <v>5.188933873144399</v>
      </c>
      <c r="F71" s="57">
        <f>F70+($F$72-$F$70)/2</f>
        <v>6.6937246963562753</v>
      </c>
      <c r="G71" s="55">
        <f>G70+($G$75-$G$69)/6</f>
        <v>4.1912019041101773</v>
      </c>
      <c r="H71" s="55">
        <f t="shared" si="27"/>
        <v>12.091026695344132</v>
      </c>
      <c r="I71" s="113">
        <v>0.64083333333333337</v>
      </c>
      <c r="J71" s="55">
        <f t="shared" si="26"/>
        <v>2.0441772151898738</v>
      </c>
      <c r="K71" s="3"/>
      <c r="L71" s="14">
        <f t="shared" si="0"/>
        <v>105.94319977229955</v>
      </c>
      <c r="M71" s="14">
        <f t="shared" si="1"/>
        <v>32.78886591231209</v>
      </c>
      <c r="N71" s="14">
        <f t="shared" si="2"/>
        <v>7.9047601986586633</v>
      </c>
      <c r="O71" s="14">
        <f t="shared" si="3"/>
        <v>15.566801619433196</v>
      </c>
      <c r="P71" s="14">
        <f t="shared" si="4"/>
        <v>8.7018421052631574</v>
      </c>
      <c r="Q71" s="14">
        <f t="shared" si="5"/>
        <v>12.573605712330533</v>
      </c>
      <c r="R71" s="14">
        <f t="shared" si="6"/>
        <v>15.718334703947372</v>
      </c>
      <c r="S71" s="14">
        <f t="shared" si="7"/>
        <v>0.8330833333333334</v>
      </c>
      <c r="T71" s="14">
        <f t="shared" si="8"/>
        <v>6.132531645569621</v>
      </c>
      <c r="V71" s="14">
        <f t="shared" si="10"/>
        <v>206.16302500314751</v>
      </c>
      <c r="W71" s="14">
        <f t="shared" si="11"/>
        <v>200.03049335757788</v>
      </c>
      <c r="X71" s="163"/>
      <c r="Y71" s="4">
        <v>0.77870824130072802</v>
      </c>
      <c r="Z71" s="4">
        <v>0.57512299409900447</v>
      </c>
      <c r="AA71" s="4">
        <v>3.0454563043562382</v>
      </c>
      <c r="AB71" s="4">
        <v>3.9085055958614161</v>
      </c>
      <c r="AC71" s="4">
        <v>6.9759257546569833</v>
      </c>
      <c r="AD71" s="5"/>
      <c r="AE71" s="4">
        <v>6.1491252970573571</v>
      </c>
      <c r="AF71" s="4">
        <v>8.227277099124148</v>
      </c>
      <c r="AG71" s="5"/>
      <c r="AH71" s="5"/>
      <c r="AI71" s="152">
        <f t="shared" si="12"/>
        <v>150.68004469169088</v>
      </c>
      <c r="AJ71" s="152">
        <f t="shared" si="13"/>
        <v>11.502459881980089</v>
      </c>
      <c r="AK71" s="152">
        <f t="shared" si="14"/>
        <v>15.22728152178119</v>
      </c>
      <c r="AL71" s="152">
        <f t="shared" si="15"/>
        <v>11.725516787584247</v>
      </c>
      <c r="AM71" s="152">
        <f t="shared" si="16"/>
        <v>9.0687034810540794</v>
      </c>
      <c r="AN71" s="152"/>
      <c r="AO71" s="152">
        <f t="shared" si="17"/>
        <v>7.9938628861745649</v>
      </c>
      <c r="AP71" s="152">
        <f t="shared" si="18"/>
        <v>10.695460228861393</v>
      </c>
      <c r="AS71" s="107"/>
      <c r="AT71" s="156">
        <v>1715</v>
      </c>
      <c r="AU71" s="107"/>
    </row>
    <row r="72" spans="1:47" x14ac:dyDescent="0.2">
      <c r="A72" s="156">
        <v>1716</v>
      </c>
      <c r="B72" s="56">
        <v>0.42435349334324685</v>
      </c>
      <c r="C72" s="57">
        <v>1.6394432956156044</v>
      </c>
      <c r="D72" s="56">
        <v>3.7457616396761133</v>
      </c>
      <c r="E72" s="56">
        <v>6.4083333333333341</v>
      </c>
      <c r="F72" s="56">
        <v>7.7834008097165999</v>
      </c>
      <c r="G72" s="55">
        <f>G71+($G$75-$G$69)/6</f>
        <v>4.437426029694695</v>
      </c>
      <c r="H72" s="109">
        <v>12.553513591671488</v>
      </c>
      <c r="I72" s="55">
        <f>I71+($I$73-$I$71)/2</f>
        <v>0.64083333333333337</v>
      </c>
      <c r="J72" s="55">
        <f t="shared" si="26"/>
        <v>2.0441772151898738</v>
      </c>
      <c r="K72" s="3"/>
      <c r="L72" s="14">
        <f t="shared" si="0"/>
        <v>75.959275308441192</v>
      </c>
      <c r="M72" s="14">
        <f t="shared" si="1"/>
        <v>32.78886591231209</v>
      </c>
      <c r="N72" s="14">
        <f t="shared" si="2"/>
        <v>18.728808198380566</v>
      </c>
      <c r="O72" s="14">
        <f t="shared" si="3"/>
        <v>19.225000000000001</v>
      </c>
      <c r="P72" s="14">
        <f t="shared" si="4"/>
        <v>10.118421052631581</v>
      </c>
      <c r="Q72" s="14">
        <f t="shared" si="5"/>
        <v>13.312278089084085</v>
      </c>
      <c r="R72" s="14">
        <f t="shared" si="6"/>
        <v>16.319567669172933</v>
      </c>
      <c r="S72" s="14">
        <f t="shared" si="7"/>
        <v>0.8330833333333334</v>
      </c>
      <c r="T72" s="14">
        <f t="shared" si="8"/>
        <v>6.132531645569621</v>
      </c>
      <c r="V72" s="14">
        <f t="shared" si="10"/>
        <v>193.41783120892541</v>
      </c>
      <c r="W72" s="14">
        <f t="shared" si="11"/>
        <v>187.28529956335578</v>
      </c>
      <c r="X72" s="163"/>
      <c r="Y72" s="4">
        <v>0.92034397432480497</v>
      </c>
      <c r="Z72" s="4">
        <v>0.50033404235817136</v>
      </c>
      <c r="AA72" s="4">
        <v>3.0750057861985338</v>
      </c>
      <c r="AB72" s="4">
        <v>4.3820959606492913</v>
      </c>
      <c r="AC72" s="4">
        <v>5.9167427300116104</v>
      </c>
      <c r="AD72" s="5"/>
      <c r="AE72" s="4">
        <v>6.1390062648645536</v>
      </c>
      <c r="AF72" s="4">
        <v>8.1181650425734215</v>
      </c>
      <c r="AG72" s="5"/>
      <c r="AH72" s="5"/>
      <c r="AI72" s="152">
        <f t="shared" si="12"/>
        <v>178.08655903184976</v>
      </c>
      <c r="AJ72" s="152">
        <f t="shared" si="13"/>
        <v>10.006680847163427</v>
      </c>
      <c r="AK72" s="152">
        <f t="shared" si="14"/>
        <v>15.37502893099267</v>
      </c>
      <c r="AL72" s="152">
        <f t="shared" si="15"/>
        <v>13.146287881947874</v>
      </c>
      <c r="AM72" s="152">
        <f t="shared" si="16"/>
        <v>7.691765549015094</v>
      </c>
      <c r="AN72" s="152"/>
      <c r="AO72" s="152">
        <f t="shared" si="17"/>
        <v>7.9807081443239198</v>
      </c>
      <c r="AP72" s="152">
        <f t="shared" si="18"/>
        <v>10.553614555345449</v>
      </c>
      <c r="AS72" s="107"/>
      <c r="AT72" s="156">
        <v>1716</v>
      </c>
      <c r="AU72" s="107"/>
    </row>
    <row r="73" spans="1:47" x14ac:dyDescent="0.2">
      <c r="A73" s="156">
        <v>1717</v>
      </c>
      <c r="B73" s="56">
        <v>0.71470062036757365</v>
      </c>
      <c r="C73" s="56">
        <v>1.6394432956156044</v>
      </c>
      <c r="D73" s="56">
        <v>1.94585020242915</v>
      </c>
      <c r="E73" s="56">
        <v>6.6645369433198383</v>
      </c>
      <c r="F73" s="57">
        <f>F72+($F$74-$F$72)/2</f>
        <v>6.8104757085020253</v>
      </c>
      <c r="G73" s="55">
        <f>G72+($G$75-$G$69)/6</f>
        <v>4.6836501552792127</v>
      </c>
      <c r="H73" s="109">
        <v>11.383223684210526</v>
      </c>
      <c r="I73" s="113">
        <v>0.64083333333333348</v>
      </c>
      <c r="J73" s="109">
        <v>2.0441772151898738</v>
      </c>
      <c r="K73" s="3"/>
      <c r="L73" s="14">
        <f t="shared" ref="L73:L136" si="28">B73*179</f>
        <v>127.93141104579568</v>
      </c>
      <c r="M73" s="14">
        <f t="shared" ref="M73:M136" si="29">C73*20</f>
        <v>32.78886591231209</v>
      </c>
      <c r="N73" s="14">
        <f t="shared" ref="N73:N136" si="30">D73*5</f>
        <v>9.7292510121457489</v>
      </c>
      <c r="O73" s="14">
        <f t="shared" ref="O73:O136" si="31">E73*3</f>
        <v>19.993610829959515</v>
      </c>
      <c r="P73" s="14">
        <f t="shared" ref="P73:P136" si="32">F73*1.3</f>
        <v>8.8536184210526336</v>
      </c>
      <c r="Q73" s="14">
        <f t="shared" ref="Q73:Q136" si="33">G73*3</f>
        <v>14.050950465837637</v>
      </c>
      <c r="R73" s="14">
        <f t="shared" ref="R73:R136" si="34">H73*1.3</f>
        <v>14.798190789473685</v>
      </c>
      <c r="S73" s="14">
        <f t="shared" ref="S73:S136" si="35">I73*1.3</f>
        <v>0.83308333333333351</v>
      </c>
      <c r="T73" s="14">
        <f t="shared" ref="T73:T136" si="36">J73*3</f>
        <v>6.132531645569621</v>
      </c>
      <c r="V73" s="14">
        <f t="shared" si="10"/>
        <v>235.11151345547995</v>
      </c>
      <c r="W73" s="14">
        <f t="shared" si="11"/>
        <v>228.97898180991032</v>
      </c>
      <c r="X73" s="163"/>
      <c r="Y73" s="4">
        <v>0.87346931644958203</v>
      </c>
      <c r="Z73" s="4">
        <v>0.44816724460117013</v>
      </c>
      <c r="AA73" s="4">
        <v>3.0758254352700196</v>
      </c>
      <c r="AB73" s="4">
        <v>4.2785905999313423</v>
      </c>
      <c r="AC73" s="4">
        <v>6.3170580380455332</v>
      </c>
      <c r="AD73" s="5"/>
      <c r="AE73" s="4">
        <v>6.0278379617398592</v>
      </c>
      <c r="AF73" s="4">
        <v>7.9721296483381145</v>
      </c>
      <c r="AG73" s="5"/>
      <c r="AH73" s="5"/>
      <c r="AI73" s="152">
        <f t="shared" si="12"/>
        <v>169.01631273299412</v>
      </c>
      <c r="AJ73" s="152">
        <f t="shared" si="13"/>
        <v>8.963344892023402</v>
      </c>
      <c r="AK73" s="152">
        <f t="shared" si="14"/>
        <v>15.379127176350098</v>
      </c>
      <c r="AL73" s="152">
        <f t="shared" si="15"/>
        <v>12.835771799794028</v>
      </c>
      <c r="AM73" s="152">
        <f t="shared" si="16"/>
        <v>8.2121754494591936</v>
      </c>
      <c r="AN73" s="152"/>
      <c r="AO73" s="152">
        <f t="shared" si="17"/>
        <v>7.836189350261817</v>
      </c>
      <c r="AP73" s="152">
        <f t="shared" si="18"/>
        <v>10.36376854283955</v>
      </c>
      <c r="AS73" s="107"/>
      <c r="AT73" s="156">
        <v>1717</v>
      </c>
      <c r="AU73" s="107"/>
    </row>
    <row r="74" spans="1:47" x14ac:dyDescent="0.2">
      <c r="A74" s="156">
        <v>1718</v>
      </c>
      <c r="B74" s="56">
        <v>0.71470062036757365</v>
      </c>
      <c r="C74" s="56">
        <v>1.6394432956156044</v>
      </c>
      <c r="D74" s="56">
        <v>1.7829902926175372</v>
      </c>
      <c r="E74" s="57">
        <v>6.6522595551378449</v>
      </c>
      <c r="F74" s="56">
        <v>5.8375506072874499</v>
      </c>
      <c r="G74" s="55">
        <f>G73+($G$75-$G$69)/6</f>
        <v>4.9298742808637304</v>
      </c>
      <c r="H74" s="55">
        <f>H73+($H$76-$H$73)/3</f>
        <v>11.026484480431849</v>
      </c>
      <c r="I74" s="55">
        <f>I73+($I$76-$I$73)/3</f>
        <v>0.64083333333333348</v>
      </c>
      <c r="J74" s="55">
        <f t="shared" ref="J74:J84" si="37">J73+($J$85-$J$73)/12</f>
        <v>2.3280907172995784</v>
      </c>
      <c r="K74" s="3"/>
      <c r="L74" s="14">
        <f t="shared" si="28"/>
        <v>127.93141104579568</v>
      </c>
      <c r="M74" s="14">
        <f t="shared" si="29"/>
        <v>32.78886591231209</v>
      </c>
      <c r="N74" s="14">
        <f t="shared" si="30"/>
        <v>8.9149514630876858</v>
      </c>
      <c r="O74" s="14">
        <f t="shared" si="31"/>
        <v>19.956778665413534</v>
      </c>
      <c r="P74" s="14">
        <f t="shared" si="32"/>
        <v>7.588815789473685</v>
      </c>
      <c r="Q74" s="14">
        <f t="shared" si="33"/>
        <v>14.789622842591191</v>
      </c>
      <c r="R74" s="14">
        <f t="shared" si="34"/>
        <v>14.334429824561404</v>
      </c>
      <c r="S74" s="14">
        <f t="shared" si="35"/>
        <v>0.83308333333333351</v>
      </c>
      <c r="T74" s="14">
        <f t="shared" si="36"/>
        <v>6.9842721518987352</v>
      </c>
      <c r="V74" s="14">
        <f t="shared" ref="V74:V137" si="38">SUM(L74:T74)</f>
        <v>234.12223102846733</v>
      </c>
      <c r="W74" s="14">
        <f t="shared" ref="W74:W137" si="39">V74-T74</f>
        <v>227.1379588765686</v>
      </c>
      <c r="X74" s="163"/>
      <c r="Y74" s="4">
        <v>0.76197993320060464</v>
      </c>
      <c r="Z74" s="4">
        <v>0.42930073860919937</v>
      </c>
      <c r="AA74" s="4">
        <v>3.0116904084139668</v>
      </c>
      <c r="AB74" s="4">
        <v>4.432128201750821</v>
      </c>
      <c r="AC74" s="4">
        <v>6.2883192088438333</v>
      </c>
      <c r="AD74" s="5"/>
      <c r="AE74" s="4">
        <v>6.0510730418408274</v>
      </c>
      <c r="AF74" s="4">
        <v>7.6093814268129023</v>
      </c>
      <c r="AG74" s="5"/>
      <c r="AH74" s="5"/>
      <c r="AI74" s="152">
        <f t="shared" ref="AI74:AI137" si="40">Y74*AI$8</f>
        <v>147.443117074317</v>
      </c>
      <c r="AJ74" s="152">
        <f t="shared" ref="AJ74:AJ137" si="41">Z74*AJ$8</f>
        <v>8.5860147721839866</v>
      </c>
      <c r="AK74" s="152">
        <f t="shared" ref="AK74:AK137" si="42">AA74*AK$8</f>
        <v>15.058452042069835</v>
      </c>
      <c r="AL74" s="152">
        <f t="shared" ref="AL74:AL137" si="43">AB74*AL$8</f>
        <v>13.296384605252463</v>
      </c>
      <c r="AM74" s="152">
        <f t="shared" ref="AM74:AM137" si="44">AC74*AM$8</f>
        <v>8.1748149714969838</v>
      </c>
      <c r="AN74" s="152"/>
      <c r="AO74" s="152">
        <f t="shared" ref="AO74:AO137" si="45">AE74*AO$8</f>
        <v>7.8663949543930762</v>
      </c>
      <c r="AP74" s="152">
        <f t="shared" ref="AP74:AP137" si="46">AF74*AP$8</f>
        <v>9.892195854856773</v>
      </c>
      <c r="AS74" s="107"/>
      <c r="AT74" s="156">
        <v>1718</v>
      </c>
      <c r="AU74" s="107"/>
    </row>
    <row r="75" spans="1:47" x14ac:dyDescent="0.2">
      <c r="A75" s="156">
        <v>1719</v>
      </c>
      <c r="B75" s="56">
        <v>0.71470062036757365</v>
      </c>
      <c r="C75" s="57">
        <v>1.6394432956156044</v>
      </c>
      <c r="D75" s="56">
        <v>2.9187753036437249</v>
      </c>
      <c r="E75" s="57">
        <v>6.6399821669558516</v>
      </c>
      <c r="F75" s="57">
        <f t="shared" ref="F75:F80" si="47">F74+($F$81-$F$74)/7</f>
        <v>5.8304965266764928</v>
      </c>
      <c r="G75" s="109">
        <v>5.1760984064482471</v>
      </c>
      <c r="H75" s="55">
        <f>H74+($H$76-$H$73)/3</f>
        <v>10.669745276653172</v>
      </c>
      <c r="I75" s="55">
        <f>I74+($I$76-$I$73)/3</f>
        <v>0.64083333333333348</v>
      </c>
      <c r="J75" s="55">
        <f t="shared" si="37"/>
        <v>2.612004219409283</v>
      </c>
      <c r="K75" s="3"/>
      <c r="L75" s="14">
        <f t="shared" si="28"/>
        <v>127.93141104579568</v>
      </c>
      <c r="M75" s="14">
        <f t="shared" si="29"/>
        <v>32.78886591231209</v>
      </c>
      <c r="N75" s="14">
        <f t="shared" si="30"/>
        <v>14.593876518218625</v>
      </c>
      <c r="O75" s="14">
        <f t="shared" si="31"/>
        <v>19.919946500867553</v>
      </c>
      <c r="P75" s="14">
        <f t="shared" si="32"/>
        <v>7.5796454846794408</v>
      </c>
      <c r="Q75" s="14">
        <f t="shared" si="33"/>
        <v>15.528295219344741</v>
      </c>
      <c r="R75" s="14">
        <f t="shared" si="34"/>
        <v>13.870668859649124</v>
      </c>
      <c r="S75" s="14">
        <f t="shared" si="35"/>
        <v>0.83308333333333351</v>
      </c>
      <c r="T75" s="14">
        <f t="shared" si="36"/>
        <v>7.8360126582278493</v>
      </c>
      <c r="V75" s="14">
        <f t="shared" si="38"/>
        <v>240.88180553242842</v>
      </c>
      <c r="W75" s="14">
        <f t="shared" si="39"/>
        <v>233.04579287420057</v>
      </c>
      <c r="X75" s="163"/>
      <c r="Y75" s="4">
        <v>0.69470428719955124</v>
      </c>
      <c r="Z75" s="4">
        <v>0.46099617406053611</v>
      </c>
      <c r="AA75" s="4">
        <v>2.986916446977498</v>
      </c>
      <c r="AB75" s="4">
        <v>4.4441113309523814</v>
      </c>
      <c r="AC75" s="4">
        <v>5.7564321628719588</v>
      </c>
      <c r="AD75" s="5"/>
      <c r="AE75" s="4">
        <v>6.1057421631663873</v>
      </c>
      <c r="AF75" s="4">
        <v>7.6108124904633261</v>
      </c>
      <c r="AG75" s="5"/>
      <c r="AH75" s="5"/>
      <c r="AI75" s="152">
        <f t="shared" si="40"/>
        <v>134.42527957311316</v>
      </c>
      <c r="AJ75" s="152">
        <f t="shared" si="41"/>
        <v>9.2199234812107225</v>
      </c>
      <c r="AK75" s="152">
        <f t="shared" si="42"/>
        <v>14.93458223488749</v>
      </c>
      <c r="AL75" s="152">
        <f t="shared" si="43"/>
        <v>13.332333992857144</v>
      </c>
      <c r="AM75" s="152">
        <f t="shared" si="44"/>
        <v>7.4833618117335465</v>
      </c>
      <c r="AN75" s="152"/>
      <c r="AO75" s="152">
        <f t="shared" si="45"/>
        <v>7.9374648121163034</v>
      </c>
      <c r="AP75" s="152">
        <f t="shared" si="46"/>
        <v>9.8940562376023244</v>
      </c>
      <c r="AS75" s="107"/>
      <c r="AT75" s="156">
        <v>1719</v>
      </c>
      <c r="AU75" s="107"/>
    </row>
    <row r="76" spans="1:47" x14ac:dyDescent="0.2">
      <c r="A76" s="156">
        <v>1720</v>
      </c>
      <c r="B76" s="56">
        <v>0.77425900539820469</v>
      </c>
      <c r="C76" s="57">
        <v>1.6394432956156044</v>
      </c>
      <c r="D76" s="56">
        <v>2.9184576138147564</v>
      </c>
      <c r="E76" s="56">
        <v>6.6277047787738583</v>
      </c>
      <c r="F76" s="57">
        <f t="shared" si="47"/>
        <v>5.8234424460655356</v>
      </c>
      <c r="G76" s="55">
        <f>G75+($G$77-$G$75)/2</f>
        <v>4.9172934861258346</v>
      </c>
      <c r="H76" s="109">
        <v>10.313006072874495</v>
      </c>
      <c r="I76" s="113">
        <v>0.64083333333333348</v>
      </c>
      <c r="J76" s="55">
        <f t="shared" si="37"/>
        <v>2.8959177215189875</v>
      </c>
      <c r="K76" s="3"/>
      <c r="L76" s="14">
        <f t="shared" si="28"/>
        <v>138.59236196627865</v>
      </c>
      <c r="M76" s="14">
        <f t="shared" si="29"/>
        <v>32.78886591231209</v>
      </c>
      <c r="N76" s="14">
        <f t="shared" si="30"/>
        <v>14.592288069073781</v>
      </c>
      <c r="O76" s="14">
        <f t="shared" si="31"/>
        <v>19.883114336321576</v>
      </c>
      <c r="P76" s="14">
        <f t="shared" si="32"/>
        <v>7.5704751798851966</v>
      </c>
      <c r="Q76" s="14">
        <f t="shared" si="33"/>
        <v>14.751880458377503</v>
      </c>
      <c r="R76" s="14">
        <f t="shared" si="34"/>
        <v>13.406907894736845</v>
      </c>
      <c r="S76" s="14">
        <f t="shared" si="35"/>
        <v>0.83308333333333351</v>
      </c>
      <c r="T76" s="14">
        <f t="shared" si="36"/>
        <v>8.6877531645569626</v>
      </c>
      <c r="V76" s="14">
        <f t="shared" si="38"/>
        <v>251.1067303148759</v>
      </c>
      <c r="W76" s="14">
        <f t="shared" si="39"/>
        <v>242.41897715031894</v>
      </c>
      <c r="X76" s="163"/>
      <c r="Y76" s="4">
        <v>0.82896609252766018</v>
      </c>
      <c r="Z76" s="4">
        <v>0.56175944666186128</v>
      </c>
      <c r="AA76" s="4">
        <v>3.1538298833433833</v>
      </c>
      <c r="AB76" s="4">
        <v>4.5074694888583462</v>
      </c>
      <c r="AC76" s="4">
        <v>6.1748330782699767</v>
      </c>
      <c r="AD76" s="5"/>
      <c r="AE76" s="4">
        <v>5.9266293813648154</v>
      </c>
      <c r="AF76" s="4">
        <v>7.0963240887642547</v>
      </c>
      <c r="AG76" s="5"/>
      <c r="AH76" s="5"/>
      <c r="AI76" s="152">
        <f t="shared" si="40"/>
        <v>160.40493890410224</v>
      </c>
      <c r="AJ76" s="152">
        <f t="shared" si="41"/>
        <v>11.235188933237225</v>
      </c>
      <c r="AK76" s="152">
        <f t="shared" si="42"/>
        <v>15.769149416716918</v>
      </c>
      <c r="AL76" s="152">
        <f t="shared" si="43"/>
        <v>13.522408466575039</v>
      </c>
      <c r="AM76" s="152">
        <f t="shared" si="44"/>
        <v>8.0272830017509698</v>
      </c>
      <c r="AN76" s="152"/>
      <c r="AO76" s="152">
        <f t="shared" si="45"/>
        <v>7.7046181957742599</v>
      </c>
      <c r="AP76" s="152">
        <f t="shared" si="46"/>
        <v>9.2252213153935312</v>
      </c>
      <c r="AS76" s="107"/>
      <c r="AT76" s="156">
        <v>1720</v>
      </c>
      <c r="AU76" s="107"/>
    </row>
    <row r="77" spans="1:47" x14ac:dyDescent="0.2">
      <c r="A77" s="156">
        <v>1721</v>
      </c>
      <c r="B77" s="57">
        <v>0.74447981288288911</v>
      </c>
      <c r="C77" s="56">
        <v>1.6394432956156044</v>
      </c>
      <c r="D77" s="56">
        <v>2.9187753036437249</v>
      </c>
      <c r="E77" s="57">
        <f t="shared" ref="E77:E96" si="48">E76+($E$97-$E$76)/21</f>
        <v>6.5576475529483051</v>
      </c>
      <c r="F77" s="57">
        <f t="shared" si="47"/>
        <v>5.8163883654545785</v>
      </c>
      <c r="G77" s="109">
        <v>4.6584885658034221</v>
      </c>
      <c r="H77" s="55">
        <f t="shared" ref="H77:H96" si="49">H76+($H$97-$H$76)/21</f>
        <v>10.277795450163874</v>
      </c>
      <c r="I77" s="113">
        <v>0.64083333333333348</v>
      </c>
      <c r="J77" s="55">
        <f t="shared" si="37"/>
        <v>3.1798312236286921</v>
      </c>
      <c r="K77" s="3"/>
      <c r="L77" s="14">
        <f t="shared" si="28"/>
        <v>133.26188650603714</v>
      </c>
      <c r="M77" s="14">
        <f t="shared" si="29"/>
        <v>32.78886591231209</v>
      </c>
      <c r="N77" s="14">
        <f t="shared" si="30"/>
        <v>14.593876518218625</v>
      </c>
      <c r="O77" s="14">
        <f t="shared" si="31"/>
        <v>19.672942658844917</v>
      </c>
      <c r="P77" s="14">
        <f t="shared" si="32"/>
        <v>7.5613048750909524</v>
      </c>
      <c r="Q77" s="14">
        <f t="shared" si="33"/>
        <v>13.975465697410266</v>
      </c>
      <c r="R77" s="14">
        <f t="shared" si="34"/>
        <v>13.361134085213036</v>
      </c>
      <c r="S77" s="14">
        <f t="shared" si="35"/>
        <v>0.83308333333333351</v>
      </c>
      <c r="T77" s="14">
        <f t="shared" si="36"/>
        <v>9.5394936708860758</v>
      </c>
      <c r="V77" s="14">
        <f t="shared" si="38"/>
        <v>245.58805325734644</v>
      </c>
      <c r="W77" s="14">
        <f t="shared" si="39"/>
        <v>236.04855958646036</v>
      </c>
      <c r="X77" s="163"/>
      <c r="Y77" s="4">
        <v>0.78280127706660407</v>
      </c>
      <c r="Z77" s="4">
        <v>0.46380088904788153</v>
      </c>
      <c r="AA77" s="4">
        <v>3.0465358693027471</v>
      </c>
      <c r="AB77" s="4">
        <v>4.6315589671241781</v>
      </c>
      <c r="AC77" s="4">
        <v>6.2482065125457433</v>
      </c>
      <c r="AD77" s="5"/>
      <c r="AE77" s="4">
        <v>5.8807615249775465</v>
      </c>
      <c r="AF77" s="4">
        <v>7.0560861654426859</v>
      </c>
      <c r="AG77" s="5"/>
      <c r="AH77" s="5"/>
      <c r="AI77" s="152">
        <f t="shared" si="40"/>
        <v>151.47204711238788</v>
      </c>
      <c r="AJ77" s="152">
        <f t="shared" si="41"/>
        <v>9.2760177809576305</v>
      </c>
      <c r="AK77" s="152">
        <f t="shared" si="42"/>
        <v>15.232679346513736</v>
      </c>
      <c r="AL77" s="152">
        <f t="shared" si="43"/>
        <v>13.894676901372534</v>
      </c>
      <c r="AM77" s="152">
        <f t="shared" si="44"/>
        <v>8.1226684663094666</v>
      </c>
      <c r="AN77" s="152"/>
      <c r="AO77" s="152">
        <f t="shared" si="45"/>
        <v>7.6449899824708103</v>
      </c>
      <c r="AP77" s="152">
        <f t="shared" si="46"/>
        <v>9.1729120150754913</v>
      </c>
      <c r="AS77" s="107"/>
      <c r="AT77" s="156">
        <v>1721</v>
      </c>
      <c r="AU77" s="107"/>
    </row>
    <row r="78" spans="1:47" x14ac:dyDescent="0.2">
      <c r="A78" s="156">
        <v>1722</v>
      </c>
      <c r="B78" s="56">
        <v>0.71470062036757365</v>
      </c>
      <c r="C78" s="57">
        <v>1.6394432956156044</v>
      </c>
      <c r="D78" s="56">
        <v>2.9187753036437249</v>
      </c>
      <c r="E78" s="57">
        <f t="shared" si="48"/>
        <v>6.487590327122752</v>
      </c>
      <c r="F78" s="57">
        <f t="shared" si="47"/>
        <v>5.8093342848436214</v>
      </c>
      <c r="G78" s="109">
        <v>3.1380096589092501</v>
      </c>
      <c r="H78" s="55">
        <f t="shared" si="49"/>
        <v>10.242584827453252</v>
      </c>
      <c r="I78" s="113">
        <v>0.64083333333333337</v>
      </c>
      <c r="J78" s="55">
        <f t="shared" si="37"/>
        <v>3.4637447257383966</v>
      </c>
      <c r="K78" s="3"/>
      <c r="L78" s="14">
        <f t="shared" si="28"/>
        <v>127.93141104579568</v>
      </c>
      <c r="M78" s="14">
        <f t="shared" si="29"/>
        <v>32.78886591231209</v>
      </c>
      <c r="N78" s="14">
        <f t="shared" si="30"/>
        <v>14.593876518218625</v>
      </c>
      <c r="O78" s="14">
        <f t="shared" si="31"/>
        <v>19.462770981368255</v>
      </c>
      <c r="P78" s="14">
        <f t="shared" si="32"/>
        <v>7.5521345702967082</v>
      </c>
      <c r="Q78" s="14">
        <f t="shared" si="33"/>
        <v>9.4140289767277494</v>
      </c>
      <c r="R78" s="14">
        <f t="shared" si="34"/>
        <v>13.315360275689228</v>
      </c>
      <c r="S78" s="14">
        <f t="shared" si="35"/>
        <v>0.8330833333333334</v>
      </c>
      <c r="T78" s="14">
        <f t="shared" si="36"/>
        <v>10.391234177215189</v>
      </c>
      <c r="V78" s="14">
        <f t="shared" si="38"/>
        <v>236.28276579095686</v>
      </c>
      <c r="W78" s="14">
        <f t="shared" si="39"/>
        <v>225.89153161374168</v>
      </c>
      <c r="X78" s="163"/>
      <c r="Y78" s="4">
        <v>0.74152124335851444</v>
      </c>
      <c r="Z78" s="4">
        <v>0.39046029434827334</v>
      </c>
      <c r="AA78" s="4">
        <v>2.9923831437573369</v>
      </c>
      <c r="AB78" s="4">
        <v>4.6490154443975049</v>
      </c>
      <c r="AC78" s="4">
        <v>6.2898763226444219</v>
      </c>
      <c r="AD78" s="5"/>
      <c r="AE78" s="4">
        <v>5.858298528807512</v>
      </c>
      <c r="AF78" s="4">
        <v>6.919541247323771</v>
      </c>
      <c r="AG78" s="5"/>
      <c r="AH78" s="5"/>
      <c r="AI78" s="152">
        <f t="shared" si="40"/>
        <v>143.48436058987255</v>
      </c>
      <c r="AJ78" s="152">
        <f t="shared" si="41"/>
        <v>7.8092058869654668</v>
      </c>
      <c r="AK78" s="152">
        <f t="shared" si="42"/>
        <v>14.961915718786685</v>
      </c>
      <c r="AL78" s="152">
        <f t="shared" si="43"/>
        <v>13.947046333192514</v>
      </c>
      <c r="AM78" s="152">
        <f t="shared" si="44"/>
        <v>8.1768392194377491</v>
      </c>
      <c r="AN78" s="152"/>
      <c r="AO78" s="152">
        <f t="shared" si="45"/>
        <v>7.6157880874497659</v>
      </c>
      <c r="AP78" s="152">
        <f t="shared" si="46"/>
        <v>8.9954036215209019</v>
      </c>
      <c r="AS78" s="107"/>
      <c r="AT78" s="156">
        <v>1722</v>
      </c>
      <c r="AU78" s="107"/>
    </row>
    <row r="79" spans="1:47" x14ac:dyDescent="0.2">
      <c r="A79" s="156">
        <v>1723</v>
      </c>
      <c r="B79" s="56">
        <v>0.63353743116708106</v>
      </c>
      <c r="C79" s="56">
        <v>1.6394432956156044</v>
      </c>
      <c r="D79" s="56">
        <v>2.6748179648317119</v>
      </c>
      <c r="E79" s="57">
        <f t="shared" si="48"/>
        <v>6.4175331012971988</v>
      </c>
      <c r="F79" s="57">
        <f t="shared" si="47"/>
        <v>5.8022802042326642</v>
      </c>
      <c r="G79" s="55">
        <f t="shared" ref="G79:G91" si="50">G78+($G$92-$G$78)/14</f>
        <v>3.1564957246465655</v>
      </c>
      <c r="H79" s="55">
        <f t="shared" si="49"/>
        <v>10.20737420474263</v>
      </c>
      <c r="I79" s="55">
        <f>I78+($I$80-$I$78)/2</f>
        <v>0.71292708333333343</v>
      </c>
      <c r="J79" s="55">
        <f t="shared" si="37"/>
        <v>3.7476582278481012</v>
      </c>
      <c r="K79" s="3"/>
      <c r="L79" s="14">
        <f t="shared" si="28"/>
        <v>113.40320017890751</v>
      </c>
      <c r="M79" s="14">
        <f t="shared" si="29"/>
        <v>32.78886591231209</v>
      </c>
      <c r="N79" s="14">
        <f t="shared" si="30"/>
        <v>13.37408982415856</v>
      </c>
      <c r="O79" s="14">
        <f t="shared" si="31"/>
        <v>19.252599303891596</v>
      </c>
      <c r="P79" s="14">
        <f t="shared" si="32"/>
        <v>7.542964265502464</v>
      </c>
      <c r="Q79" s="14">
        <f t="shared" si="33"/>
        <v>9.4694871739396973</v>
      </c>
      <c r="R79" s="14">
        <f t="shared" si="34"/>
        <v>13.269586466165419</v>
      </c>
      <c r="S79" s="14">
        <f t="shared" si="35"/>
        <v>0.92680520833333346</v>
      </c>
      <c r="T79" s="14">
        <f t="shared" si="36"/>
        <v>11.242974683544304</v>
      </c>
      <c r="V79" s="14">
        <f t="shared" si="38"/>
        <v>221.27057301675492</v>
      </c>
      <c r="W79" s="14">
        <f t="shared" si="39"/>
        <v>210.02759833321062</v>
      </c>
      <c r="X79" s="163"/>
      <c r="Y79" s="4">
        <v>0.79125869377047497</v>
      </c>
      <c r="Z79" s="4">
        <v>0.44300295283019925</v>
      </c>
      <c r="AA79" s="4">
        <v>2.9979036420853644</v>
      </c>
      <c r="AB79" s="4">
        <v>4.5087439673281917</v>
      </c>
      <c r="AC79" s="4">
        <v>6.0784124910070583</v>
      </c>
      <c r="AD79" s="5"/>
      <c r="AE79" s="4">
        <v>5.483910045214861</v>
      </c>
      <c r="AF79" s="4">
        <v>6.4476815987728298</v>
      </c>
      <c r="AG79" s="5"/>
      <c r="AH79" s="5"/>
      <c r="AI79" s="152">
        <f t="shared" si="40"/>
        <v>153.1085572445869</v>
      </c>
      <c r="AJ79" s="152">
        <f t="shared" si="41"/>
        <v>8.8600590566039852</v>
      </c>
      <c r="AK79" s="152">
        <f t="shared" si="42"/>
        <v>14.989518210426823</v>
      </c>
      <c r="AL79" s="152">
        <f t="shared" si="43"/>
        <v>13.526231901984575</v>
      </c>
      <c r="AM79" s="152">
        <f t="shared" si="44"/>
        <v>7.901936238309176</v>
      </c>
      <c r="AN79" s="152"/>
      <c r="AO79" s="152">
        <f t="shared" si="45"/>
        <v>7.1290830587793197</v>
      </c>
      <c r="AP79" s="152">
        <f t="shared" si="46"/>
        <v>8.3819860784046796</v>
      </c>
      <c r="AS79" s="107"/>
      <c r="AT79" s="156">
        <v>1723</v>
      </c>
      <c r="AU79" s="107"/>
    </row>
    <row r="80" spans="1:47" x14ac:dyDescent="0.2">
      <c r="A80" s="156">
        <v>1724</v>
      </c>
      <c r="B80" s="56">
        <v>0.71470062036757365</v>
      </c>
      <c r="C80" s="57">
        <v>1.6394432956156044</v>
      </c>
      <c r="D80" s="56">
        <v>2.675477842959046</v>
      </c>
      <c r="E80" s="57">
        <f t="shared" si="48"/>
        <v>6.3474758754716456</v>
      </c>
      <c r="F80" s="57">
        <f t="shared" si="47"/>
        <v>5.7952261236217071</v>
      </c>
      <c r="G80" s="55">
        <f t="shared" si="50"/>
        <v>3.1749817903838808</v>
      </c>
      <c r="H80" s="55">
        <f t="shared" si="49"/>
        <v>10.172163582032008</v>
      </c>
      <c r="I80" s="113">
        <v>0.78502083333333339</v>
      </c>
      <c r="J80" s="55">
        <f t="shared" si="37"/>
        <v>4.0315717299578058</v>
      </c>
      <c r="K80" s="3"/>
      <c r="L80" s="14">
        <f t="shared" si="28"/>
        <v>127.93141104579568</v>
      </c>
      <c r="M80" s="14">
        <f t="shared" si="29"/>
        <v>32.78886591231209</v>
      </c>
      <c r="N80" s="14">
        <f t="shared" si="30"/>
        <v>13.37738921479523</v>
      </c>
      <c r="O80" s="14">
        <f t="shared" si="31"/>
        <v>19.042427626414938</v>
      </c>
      <c r="P80" s="14">
        <f t="shared" si="32"/>
        <v>7.5337939607082198</v>
      </c>
      <c r="Q80" s="14">
        <f t="shared" si="33"/>
        <v>9.5249453711516416</v>
      </c>
      <c r="R80" s="14">
        <f t="shared" si="34"/>
        <v>13.223812656641611</v>
      </c>
      <c r="S80" s="14">
        <f t="shared" si="35"/>
        <v>1.0205270833333335</v>
      </c>
      <c r="T80" s="14">
        <f t="shared" si="36"/>
        <v>12.094715189873417</v>
      </c>
      <c r="V80" s="14">
        <f t="shared" si="38"/>
        <v>236.53788806102614</v>
      </c>
      <c r="W80" s="14">
        <f t="shared" si="39"/>
        <v>224.44317287115271</v>
      </c>
      <c r="X80" s="163"/>
      <c r="Y80" s="4">
        <v>0.76082681584426171</v>
      </c>
      <c r="Z80" s="4">
        <v>0.53257792892851663</v>
      </c>
      <c r="AA80" s="4">
        <v>3.0854023034497398</v>
      </c>
      <c r="AB80" s="4">
        <v>4.9313876151507143</v>
      </c>
      <c r="AC80" s="4">
        <v>6.1957920199124024</v>
      </c>
      <c r="AD80" s="5"/>
      <c r="AE80" s="4">
        <v>5.2342635440401866</v>
      </c>
      <c r="AF80" s="4">
        <v>6.0559025278595069</v>
      </c>
      <c r="AG80" s="5"/>
      <c r="AH80" s="5"/>
      <c r="AI80" s="152">
        <f t="shared" si="40"/>
        <v>147.21998886586465</v>
      </c>
      <c r="AJ80" s="152">
        <f t="shared" si="41"/>
        <v>10.651558578570333</v>
      </c>
      <c r="AK80" s="152">
        <f t="shared" si="42"/>
        <v>15.427011517248699</v>
      </c>
      <c r="AL80" s="152">
        <f t="shared" si="43"/>
        <v>14.794162845452142</v>
      </c>
      <c r="AM80" s="152">
        <f t="shared" si="44"/>
        <v>8.0545296258861239</v>
      </c>
      <c r="AN80" s="152"/>
      <c r="AO80" s="152">
        <f t="shared" si="45"/>
        <v>6.8045426072522428</v>
      </c>
      <c r="AP80" s="152">
        <f t="shared" si="46"/>
        <v>7.872673286217359</v>
      </c>
      <c r="AS80" s="107"/>
      <c r="AT80" s="156">
        <v>1724</v>
      </c>
      <c r="AU80" s="107"/>
    </row>
    <row r="81" spans="1:47" x14ac:dyDescent="0.2">
      <c r="A81" s="156">
        <v>1725</v>
      </c>
      <c r="B81" s="56">
        <v>0.71470062036757365</v>
      </c>
      <c r="C81" s="56">
        <v>1.6394432956156044</v>
      </c>
      <c r="D81" s="56">
        <v>1.94585020242915</v>
      </c>
      <c r="E81" s="57">
        <f t="shared" si="48"/>
        <v>6.2774186496460924</v>
      </c>
      <c r="F81" s="56">
        <v>5.7881720430107526</v>
      </c>
      <c r="G81" s="55">
        <f t="shared" si="50"/>
        <v>3.1934678561211962</v>
      </c>
      <c r="H81" s="55">
        <f t="shared" si="49"/>
        <v>10.136952959321386</v>
      </c>
      <c r="I81" s="55">
        <f>I80+($I$85-$I$80)/5</f>
        <v>0.75618333333333343</v>
      </c>
      <c r="J81" s="55">
        <f t="shared" si="37"/>
        <v>4.3154852320675108</v>
      </c>
      <c r="K81" s="3"/>
      <c r="L81" s="14">
        <f t="shared" si="28"/>
        <v>127.93141104579568</v>
      </c>
      <c r="M81" s="14">
        <f t="shared" si="29"/>
        <v>32.78886591231209</v>
      </c>
      <c r="N81" s="14">
        <f t="shared" si="30"/>
        <v>9.7292510121457489</v>
      </c>
      <c r="O81" s="14">
        <f t="shared" si="31"/>
        <v>18.832255948938275</v>
      </c>
      <c r="P81" s="14">
        <f t="shared" si="32"/>
        <v>7.5246236559139783</v>
      </c>
      <c r="Q81" s="14">
        <f t="shared" si="33"/>
        <v>9.5804035683635895</v>
      </c>
      <c r="R81" s="14">
        <f t="shared" si="34"/>
        <v>13.178038847117802</v>
      </c>
      <c r="S81" s="14">
        <f t="shared" si="35"/>
        <v>0.98303833333333346</v>
      </c>
      <c r="T81" s="14">
        <f t="shared" si="36"/>
        <v>12.946455696202532</v>
      </c>
      <c r="V81" s="14">
        <f t="shared" si="38"/>
        <v>233.49434402012298</v>
      </c>
      <c r="W81" s="14">
        <f t="shared" si="39"/>
        <v>220.54788832392046</v>
      </c>
      <c r="X81" s="163"/>
      <c r="Y81" s="4">
        <v>0.91692782142161378</v>
      </c>
      <c r="Z81" s="4">
        <v>0.51222973843536412</v>
      </c>
      <c r="AA81" s="4">
        <v>3.0640943827080322</v>
      </c>
      <c r="AB81" s="4">
        <v>5.0745223992164545</v>
      </c>
      <c r="AC81" s="4">
        <v>6.4351191394117571</v>
      </c>
      <c r="AD81" s="5"/>
      <c r="AE81" s="4">
        <v>5.2900524204016879</v>
      </c>
      <c r="AF81" s="4">
        <v>5.942247452788596</v>
      </c>
      <c r="AG81" s="5"/>
      <c r="AH81" s="5"/>
      <c r="AI81" s="152">
        <f t="shared" si="40"/>
        <v>177.42553344508227</v>
      </c>
      <c r="AJ81" s="152">
        <f t="shared" si="41"/>
        <v>10.244594768707282</v>
      </c>
      <c r="AK81" s="152">
        <f t="shared" si="42"/>
        <v>15.32047191354016</v>
      </c>
      <c r="AL81" s="152">
        <f t="shared" si="43"/>
        <v>15.223567197649363</v>
      </c>
      <c r="AM81" s="152">
        <f t="shared" si="44"/>
        <v>8.3656548812352849</v>
      </c>
      <c r="AN81" s="152"/>
      <c r="AO81" s="152">
        <f t="shared" si="45"/>
        <v>6.8770681465221948</v>
      </c>
      <c r="AP81" s="152">
        <f t="shared" si="46"/>
        <v>7.7249216886251748</v>
      </c>
      <c r="AS81" s="107"/>
      <c r="AT81" s="156">
        <v>1725</v>
      </c>
      <c r="AU81" s="107"/>
    </row>
    <row r="82" spans="1:47" x14ac:dyDescent="0.2">
      <c r="A82" s="156">
        <v>1726</v>
      </c>
      <c r="B82" s="56">
        <v>0.98271335300541374</v>
      </c>
      <c r="C82" s="56">
        <v>1.6394432956156044</v>
      </c>
      <c r="D82" s="56">
        <v>1.94585020242915</v>
      </c>
      <c r="E82" s="57">
        <f t="shared" si="48"/>
        <v>6.2073614238205392</v>
      </c>
      <c r="F82" s="57">
        <f t="shared" ref="F82:F102" si="51">F81+($F$103-$F$81)/22</f>
        <v>5.8583820215927309</v>
      </c>
      <c r="G82" s="55">
        <f t="shared" si="50"/>
        <v>3.2119539218585116</v>
      </c>
      <c r="H82" s="55">
        <f t="shared" si="49"/>
        <v>10.101742336610764</v>
      </c>
      <c r="I82" s="55">
        <f>I81+($I$85-$I$80)/5</f>
        <v>0.72734583333333347</v>
      </c>
      <c r="J82" s="55">
        <f t="shared" si="37"/>
        <v>4.5993987341772158</v>
      </c>
      <c r="K82" s="3"/>
      <c r="L82" s="14">
        <f t="shared" si="28"/>
        <v>175.90569018796907</v>
      </c>
      <c r="M82" s="14">
        <f t="shared" si="29"/>
        <v>32.78886591231209</v>
      </c>
      <c r="N82" s="14">
        <f t="shared" si="30"/>
        <v>9.7292510121457489</v>
      </c>
      <c r="O82" s="14">
        <f t="shared" si="31"/>
        <v>18.622084271461617</v>
      </c>
      <c r="P82" s="14">
        <f t="shared" si="32"/>
        <v>7.6158966280705505</v>
      </c>
      <c r="Q82" s="14">
        <f t="shared" si="33"/>
        <v>9.6358617655755339</v>
      </c>
      <c r="R82" s="14">
        <f t="shared" si="34"/>
        <v>13.132265037593994</v>
      </c>
      <c r="S82" s="14">
        <f t="shared" si="35"/>
        <v>0.9455495833333335</v>
      </c>
      <c r="T82" s="14">
        <f t="shared" si="36"/>
        <v>13.798196202531647</v>
      </c>
      <c r="V82" s="14">
        <f t="shared" si="38"/>
        <v>282.17366060099351</v>
      </c>
      <c r="W82" s="14">
        <f t="shared" si="39"/>
        <v>268.37546439846187</v>
      </c>
      <c r="X82" s="163"/>
      <c r="Y82" s="4">
        <v>1.0193162113169276</v>
      </c>
      <c r="Z82" s="4">
        <v>0.52259969798551442</v>
      </c>
      <c r="AA82" s="4">
        <v>3.0900973586184142</v>
      </c>
      <c r="AB82" s="4">
        <v>5.1199412013163981</v>
      </c>
      <c r="AC82" s="4">
        <v>6.4918263309646838</v>
      </c>
      <c r="AD82" s="5"/>
      <c r="AE82" s="4">
        <v>5.450725385399446</v>
      </c>
      <c r="AF82" s="4">
        <v>5.5682229512760752</v>
      </c>
      <c r="AG82" s="5"/>
      <c r="AH82" s="5"/>
      <c r="AI82" s="152">
        <f t="shared" si="40"/>
        <v>197.23768688982548</v>
      </c>
      <c r="AJ82" s="152">
        <f t="shared" si="41"/>
        <v>10.451993959710288</v>
      </c>
      <c r="AK82" s="152">
        <f t="shared" si="42"/>
        <v>15.450486793092072</v>
      </c>
      <c r="AL82" s="152">
        <f t="shared" si="43"/>
        <v>15.359823603949195</v>
      </c>
      <c r="AM82" s="152">
        <f t="shared" si="44"/>
        <v>8.4393742302540886</v>
      </c>
      <c r="AN82" s="152"/>
      <c r="AO82" s="152">
        <f t="shared" si="45"/>
        <v>7.0859430010192801</v>
      </c>
      <c r="AP82" s="152">
        <f t="shared" si="46"/>
        <v>7.2386898366588976</v>
      </c>
      <c r="AS82" s="107"/>
      <c r="AT82" s="156">
        <v>1726</v>
      </c>
      <c r="AU82" s="107"/>
    </row>
    <row r="83" spans="1:47" x14ac:dyDescent="0.2">
      <c r="A83" s="156">
        <v>1727</v>
      </c>
      <c r="B83" s="57">
        <v>0.84870698668649369</v>
      </c>
      <c r="C83" s="56">
        <v>1.6394432956156044</v>
      </c>
      <c r="D83" s="56">
        <v>1.94585020242915</v>
      </c>
      <c r="E83" s="57">
        <f t="shared" si="48"/>
        <v>6.1373041979949861</v>
      </c>
      <c r="F83" s="57">
        <f t="shared" si="51"/>
        <v>5.9285920001747092</v>
      </c>
      <c r="G83" s="55">
        <f t="shared" si="50"/>
        <v>3.230439987595827</v>
      </c>
      <c r="H83" s="55">
        <f t="shared" si="49"/>
        <v>10.066531713900142</v>
      </c>
      <c r="I83" s="55">
        <f>I82+($I$85-$I$80)/5</f>
        <v>0.69850833333333351</v>
      </c>
      <c r="J83" s="55">
        <f t="shared" si="37"/>
        <v>4.8833122362869208</v>
      </c>
      <c r="K83" s="3"/>
      <c r="L83" s="14">
        <f t="shared" si="28"/>
        <v>151.91855061688238</v>
      </c>
      <c r="M83" s="14">
        <f t="shared" si="29"/>
        <v>32.78886591231209</v>
      </c>
      <c r="N83" s="14">
        <f t="shared" si="30"/>
        <v>9.7292510121457489</v>
      </c>
      <c r="O83" s="14">
        <f t="shared" si="31"/>
        <v>18.411912593984958</v>
      </c>
      <c r="P83" s="14">
        <f t="shared" si="32"/>
        <v>7.7071696002271226</v>
      </c>
      <c r="Q83" s="14">
        <f t="shared" si="33"/>
        <v>9.6913199627874818</v>
      </c>
      <c r="R83" s="14">
        <f t="shared" si="34"/>
        <v>13.086491228070185</v>
      </c>
      <c r="S83" s="14">
        <f t="shared" si="35"/>
        <v>0.90806083333333354</v>
      </c>
      <c r="T83" s="14">
        <f t="shared" si="36"/>
        <v>14.649936708860762</v>
      </c>
      <c r="V83" s="14">
        <f t="shared" si="38"/>
        <v>258.89155846860405</v>
      </c>
      <c r="W83" s="14">
        <f t="shared" si="39"/>
        <v>244.24162175974328</v>
      </c>
      <c r="X83" s="163"/>
      <c r="Y83" s="4">
        <v>0.92371317652337237</v>
      </c>
      <c r="Z83" s="4">
        <v>0.46362919461673741</v>
      </c>
      <c r="AA83" s="4">
        <v>3.0844516860461222</v>
      </c>
      <c r="AB83" s="4">
        <v>5.2877417421980732</v>
      </c>
      <c r="AC83" s="4">
        <v>6.038032453108511</v>
      </c>
      <c r="AD83" s="5"/>
      <c r="AE83" s="4">
        <v>5.567070683978474</v>
      </c>
      <c r="AF83" s="4">
        <v>6.7749383818294469</v>
      </c>
      <c r="AG83" s="5"/>
      <c r="AH83" s="5"/>
      <c r="AI83" s="152">
        <f t="shared" si="40"/>
        <v>178.73849965727254</v>
      </c>
      <c r="AJ83" s="152">
        <f t="shared" si="41"/>
        <v>9.2725838923347474</v>
      </c>
      <c r="AK83" s="152">
        <f t="shared" si="42"/>
        <v>15.422258430230611</v>
      </c>
      <c r="AL83" s="152">
        <f t="shared" si="43"/>
        <v>15.863225226594221</v>
      </c>
      <c r="AM83" s="152">
        <f t="shared" si="44"/>
        <v>7.8494421890410644</v>
      </c>
      <c r="AN83" s="152"/>
      <c r="AO83" s="152">
        <f t="shared" si="45"/>
        <v>7.2371918891720162</v>
      </c>
      <c r="AP83" s="152">
        <f t="shared" si="46"/>
        <v>8.8074198963782813</v>
      </c>
      <c r="AS83" s="107"/>
      <c r="AT83" s="156">
        <v>1727</v>
      </c>
      <c r="AU83" s="107"/>
    </row>
    <row r="84" spans="1:47" x14ac:dyDescent="0.2">
      <c r="A84" s="156">
        <v>1728</v>
      </c>
      <c r="B84" s="56">
        <v>0.71470062036757365</v>
      </c>
      <c r="C84" s="56">
        <v>1.6394432956156044</v>
      </c>
      <c r="D84" s="56">
        <v>1.4491109503578978</v>
      </c>
      <c r="E84" s="57">
        <f t="shared" si="48"/>
        <v>6.0672469721694329</v>
      </c>
      <c r="F84" s="57">
        <f t="shared" si="51"/>
        <v>5.9988019787566875</v>
      </c>
      <c r="G84" s="55">
        <f t="shared" si="50"/>
        <v>3.2489260533331423</v>
      </c>
      <c r="H84" s="55">
        <f t="shared" si="49"/>
        <v>10.03132109118952</v>
      </c>
      <c r="I84" s="55">
        <f>I83+($I$85-$I$80)/5</f>
        <v>0.66967083333333355</v>
      </c>
      <c r="J84" s="55">
        <f t="shared" si="37"/>
        <v>5.1672257383966258</v>
      </c>
      <c r="K84" s="3"/>
      <c r="L84" s="14">
        <f t="shared" si="28"/>
        <v>127.93141104579568</v>
      </c>
      <c r="M84" s="14">
        <f t="shared" si="29"/>
        <v>32.78886591231209</v>
      </c>
      <c r="N84" s="14">
        <f t="shared" si="30"/>
        <v>7.2455547517894896</v>
      </c>
      <c r="O84" s="14">
        <f t="shared" si="31"/>
        <v>18.2017409165083</v>
      </c>
      <c r="P84" s="14">
        <f t="shared" si="32"/>
        <v>7.7984425723836939</v>
      </c>
      <c r="Q84" s="14">
        <f t="shared" si="33"/>
        <v>9.7467781599994261</v>
      </c>
      <c r="R84" s="14">
        <f t="shared" si="34"/>
        <v>13.040717418546377</v>
      </c>
      <c r="S84" s="14">
        <f t="shared" si="35"/>
        <v>0.87057208333333369</v>
      </c>
      <c r="T84" s="14">
        <f t="shared" si="36"/>
        <v>15.501677215189877</v>
      </c>
      <c r="V84" s="14">
        <f t="shared" si="38"/>
        <v>233.12576007585827</v>
      </c>
      <c r="W84" s="14">
        <f t="shared" si="39"/>
        <v>217.62408286066838</v>
      </c>
      <c r="X84" s="163"/>
      <c r="Y84" s="4">
        <v>1.2303727941801008</v>
      </c>
      <c r="Z84" s="4">
        <v>0.55312165147480996</v>
      </c>
      <c r="AA84" s="4">
        <v>3.0962223907676849</v>
      </c>
      <c r="AB84" s="4">
        <v>5.0309767069899092</v>
      </c>
      <c r="AC84" s="4">
        <v>5.9527368273768673</v>
      </c>
      <c r="AD84" s="5"/>
      <c r="AE84" s="4">
        <v>5.9731049527490674</v>
      </c>
      <c r="AF84" s="4">
        <v>6.0950876928585149</v>
      </c>
      <c r="AG84" s="5"/>
      <c r="AH84" s="5"/>
      <c r="AI84" s="152">
        <f t="shared" si="40"/>
        <v>238.07713567384951</v>
      </c>
      <c r="AJ84" s="152">
        <f t="shared" si="41"/>
        <v>11.0624330294962</v>
      </c>
      <c r="AK84" s="152">
        <f t="shared" si="42"/>
        <v>15.481111953838425</v>
      </c>
      <c r="AL84" s="152">
        <f t="shared" si="43"/>
        <v>15.092930120969728</v>
      </c>
      <c r="AM84" s="152">
        <f t="shared" si="44"/>
        <v>7.7385578755899278</v>
      </c>
      <c r="AN84" s="152"/>
      <c r="AO84" s="152">
        <f t="shared" si="45"/>
        <v>7.7650364385737882</v>
      </c>
      <c r="AP84" s="152">
        <f t="shared" si="46"/>
        <v>7.9236140007160696</v>
      </c>
      <c r="AS84" s="107"/>
      <c r="AT84" s="156">
        <v>1728</v>
      </c>
      <c r="AU84" s="107"/>
    </row>
    <row r="85" spans="1:47" x14ac:dyDescent="0.2">
      <c r="A85" s="156">
        <v>1729</v>
      </c>
      <c r="B85" s="56">
        <v>0.60244090121444316</v>
      </c>
      <c r="C85" s="56">
        <v>1.6394432956156044</v>
      </c>
      <c r="D85" s="56">
        <v>1.4593876518218625</v>
      </c>
      <c r="E85" s="57">
        <f t="shared" si="48"/>
        <v>5.9971897463438797</v>
      </c>
      <c r="F85" s="57">
        <f t="shared" si="51"/>
        <v>6.0690119573386658</v>
      </c>
      <c r="G85" s="55">
        <f t="shared" si="50"/>
        <v>3.2674121190704577</v>
      </c>
      <c r="H85" s="55">
        <f t="shared" si="49"/>
        <v>9.9961104684788982</v>
      </c>
      <c r="I85" s="113">
        <v>0.64083333333333337</v>
      </c>
      <c r="J85" s="109">
        <v>5.451139240506329</v>
      </c>
      <c r="K85" s="3"/>
      <c r="L85" s="14">
        <f t="shared" si="28"/>
        <v>107.83692131738533</v>
      </c>
      <c r="M85" s="14">
        <f t="shared" si="29"/>
        <v>32.78886591231209</v>
      </c>
      <c r="N85" s="14">
        <f t="shared" si="30"/>
        <v>7.2969382591093126</v>
      </c>
      <c r="O85" s="14">
        <f t="shared" si="31"/>
        <v>17.991569239031641</v>
      </c>
      <c r="P85" s="14">
        <f t="shared" si="32"/>
        <v>7.889715544540266</v>
      </c>
      <c r="Q85" s="14">
        <f t="shared" si="33"/>
        <v>9.802236357211374</v>
      </c>
      <c r="R85" s="14">
        <f t="shared" si="34"/>
        <v>12.994943609022569</v>
      </c>
      <c r="S85" s="14">
        <f t="shared" si="35"/>
        <v>0.8330833333333334</v>
      </c>
      <c r="T85" s="14">
        <f t="shared" si="36"/>
        <v>16.353417721518987</v>
      </c>
      <c r="V85" s="14">
        <f t="shared" si="38"/>
        <v>213.78769129346489</v>
      </c>
      <c r="W85" s="14">
        <f t="shared" si="39"/>
        <v>197.43427357194591</v>
      </c>
      <c r="X85" s="163"/>
      <c r="Y85" s="4">
        <v>1.0261219089042619</v>
      </c>
      <c r="Z85" s="4">
        <v>0.55977969975504838</v>
      </c>
      <c r="AA85" s="4">
        <v>3.0401964526523781</v>
      </c>
      <c r="AB85" s="4">
        <v>5.1692804078161192</v>
      </c>
      <c r="AC85" s="4">
        <v>5.7735285991228666</v>
      </c>
      <c r="AD85" s="5"/>
      <c r="AE85" s="4">
        <v>6.166252234324995</v>
      </c>
      <c r="AF85" s="4">
        <v>6.1226346461495913</v>
      </c>
      <c r="AG85" s="5"/>
      <c r="AH85" s="5"/>
      <c r="AI85" s="152">
        <f t="shared" si="40"/>
        <v>198.55458937297468</v>
      </c>
      <c r="AJ85" s="152">
        <f t="shared" si="41"/>
        <v>11.195593995100968</v>
      </c>
      <c r="AK85" s="152">
        <f t="shared" si="42"/>
        <v>15.20098226326189</v>
      </c>
      <c r="AL85" s="152">
        <f t="shared" si="43"/>
        <v>15.507841223448358</v>
      </c>
      <c r="AM85" s="152">
        <f t="shared" si="44"/>
        <v>7.5055871788597273</v>
      </c>
      <c r="AN85" s="152"/>
      <c r="AO85" s="152">
        <f t="shared" si="45"/>
        <v>8.0161279046224934</v>
      </c>
      <c r="AP85" s="152">
        <f t="shared" si="46"/>
        <v>7.9594250399944686</v>
      </c>
      <c r="AS85" s="107"/>
      <c r="AT85" s="156">
        <v>1729</v>
      </c>
      <c r="AU85" s="107"/>
    </row>
    <row r="86" spans="1:47" x14ac:dyDescent="0.2">
      <c r="A86" s="156">
        <v>1730</v>
      </c>
      <c r="B86" s="56">
        <v>0.71470062036757365</v>
      </c>
      <c r="C86" s="56">
        <v>1.6394432956156044</v>
      </c>
      <c r="D86" s="57">
        <v>1.3985798329959516</v>
      </c>
      <c r="E86" s="57">
        <f t="shared" si="48"/>
        <v>5.9271325205183265</v>
      </c>
      <c r="F86" s="57">
        <f t="shared" si="51"/>
        <v>6.1392219359206441</v>
      </c>
      <c r="G86" s="55">
        <f t="shared" si="50"/>
        <v>3.2858981848077731</v>
      </c>
      <c r="H86" s="55">
        <f t="shared" si="49"/>
        <v>9.9608998457682763</v>
      </c>
      <c r="I86" s="55">
        <f>I85+($I$88-$I$85)/3</f>
        <v>0.64083333333333337</v>
      </c>
      <c r="J86" s="55">
        <f t="shared" ref="J86:J117" si="52">J85+($J$135-$J$85)/50</f>
        <v>5.4356191583989055</v>
      </c>
      <c r="K86" s="3"/>
      <c r="L86" s="14">
        <f t="shared" si="28"/>
        <v>127.93141104579568</v>
      </c>
      <c r="M86" s="14">
        <f t="shared" si="29"/>
        <v>32.78886591231209</v>
      </c>
      <c r="N86" s="14">
        <f t="shared" si="30"/>
        <v>6.9928991649797574</v>
      </c>
      <c r="O86" s="14">
        <f t="shared" si="31"/>
        <v>17.781397561554979</v>
      </c>
      <c r="P86" s="14">
        <f t="shared" si="32"/>
        <v>7.9809885166968373</v>
      </c>
      <c r="Q86" s="14">
        <f t="shared" si="33"/>
        <v>9.8576945544233183</v>
      </c>
      <c r="R86" s="14">
        <f t="shared" si="34"/>
        <v>12.94916979949876</v>
      </c>
      <c r="S86" s="14">
        <f t="shared" si="35"/>
        <v>0.8330833333333334</v>
      </c>
      <c r="T86" s="14">
        <f t="shared" si="36"/>
        <v>16.306857475196715</v>
      </c>
      <c r="V86" s="14">
        <f t="shared" si="38"/>
        <v>233.42236736379144</v>
      </c>
      <c r="W86" s="14">
        <f t="shared" si="39"/>
        <v>217.11550988859472</v>
      </c>
      <c r="X86" s="163"/>
      <c r="Y86" s="4">
        <v>0.7565155735581901</v>
      </c>
      <c r="Z86" s="4">
        <v>0.49329708257046606</v>
      </c>
      <c r="AA86" s="4">
        <v>3.1009776011664845</v>
      </c>
      <c r="AB86" s="4">
        <v>5.4320509716636272</v>
      </c>
      <c r="AC86" s="4">
        <v>5.888202171280569</v>
      </c>
      <c r="AD86" s="5"/>
      <c r="AE86" s="4">
        <v>6.3495345880121725</v>
      </c>
      <c r="AF86" s="4">
        <v>7.0347755317584193</v>
      </c>
      <c r="AG86" s="5"/>
      <c r="AH86" s="5"/>
      <c r="AI86" s="152">
        <f t="shared" si="40"/>
        <v>146.38576348350978</v>
      </c>
      <c r="AJ86" s="152">
        <f t="shared" si="41"/>
        <v>9.8659416514093206</v>
      </c>
      <c r="AK86" s="152">
        <f t="shared" si="42"/>
        <v>15.504888005832422</v>
      </c>
      <c r="AL86" s="152">
        <f t="shared" si="43"/>
        <v>16.296152914990881</v>
      </c>
      <c r="AM86" s="152">
        <f t="shared" si="44"/>
        <v>7.65466282266474</v>
      </c>
      <c r="AN86" s="152"/>
      <c r="AO86" s="152">
        <f t="shared" si="45"/>
        <v>8.254394964415825</v>
      </c>
      <c r="AP86" s="152">
        <f t="shared" si="46"/>
        <v>9.1452081912859455</v>
      </c>
      <c r="AS86" s="107"/>
      <c r="AT86" s="156">
        <v>1730</v>
      </c>
      <c r="AU86" s="107"/>
    </row>
    <row r="87" spans="1:47" x14ac:dyDescent="0.2">
      <c r="A87" s="156">
        <v>1731</v>
      </c>
      <c r="B87" s="56">
        <v>0.71470062036757365</v>
      </c>
      <c r="C87" s="56">
        <v>1.6394432956156044</v>
      </c>
      <c r="D87" s="56">
        <v>1.3377720141700407</v>
      </c>
      <c r="E87" s="57">
        <f t="shared" si="48"/>
        <v>5.8570752946927733</v>
      </c>
      <c r="F87" s="57">
        <f t="shared" si="51"/>
        <v>6.2094319145026224</v>
      </c>
      <c r="G87" s="55">
        <f t="shared" si="50"/>
        <v>3.3043842505450884</v>
      </c>
      <c r="H87" s="55">
        <f t="shared" si="49"/>
        <v>9.9256892230576543</v>
      </c>
      <c r="I87" s="55">
        <f>I86+($I$88-$I$85)/3</f>
        <v>0.64083333333333337</v>
      </c>
      <c r="J87" s="55">
        <f t="shared" si="52"/>
        <v>5.420099076291482</v>
      </c>
      <c r="K87" s="3"/>
      <c r="L87" s="14">
        <f t="shared" si="28"/>
        <v>127.93141104579568</v>
      </c>
      <c r="M87" s="14">
        <f t="shared" si="29"/>
        <v>32.78886591231209</v>
      </c>
      <c r="N87" s="14">
        <f t="shared" si="30"/>
        <v>6.6888600708502031</v>
      </c>
      <c r="O87" s="14">
        <f t="shared" si="31"/>
        <v>17.57122588407832</v>
      </c>
      <c r="P87" s="14">
        <f t="shared" si="32"/>
        <v>8.0722614888534103</v>
      </c>
      <c r="Q87" s="14">
        <f t="shared" si="33"/>
        <v>9.9131527516352662</v>
      </c>
      <c r="R87" s="14">
        <f t="shared" si="34"/>
        <v>12.903395989974952</v>
      </c>
      <c r="S87" s="14">
        <f t="shared" si="35"/>
        <v>0.8330833333333334</v>
      </c>
      <c r="T87" s="14">
        <f t="shared" si="36"/>
        <v>16.260297228874446</v>
      </c>
      <c r="V87" s="14">
        <f t="shared" si="38"/>
        <v>232.96255370570768</v>
      </c>
      <c r="W87" s="14">
        <f t="shared" si="39"/>
        <v>216.70225647683324</v>
      </c>
      <c r="X87" s="163"/>
      <c r="Y87" s="4">
        <v>0.67188013414015701</v>
      </c>
      <c r="Z87" s="4">
        <v>0.4950879519864006</v>
      </c>
      <c r="AA87" s="4">
        <v>3.0807351403704546</v>
      </c>
      <c r="AB87" s="4">
        <v>5.4577826938845524</v>
      </c>
      <c r="AC87" s="4">
        <v>5.9085092075004662</v>
      </c>
      <c r="AD87" s="5"/>
      <c r="AE87" s="4">
        <v>6.146724574585317</v>
      </c>
      <c r="AF87" s="4">
        <v>6.364200505297954</v>
      </c>
      <c r="AG87" s="5"/>
      <c r="AH87" s="5"/>
      <c r="AI87" s="152">
        <f t="shared" si="40"/>
        <v>130.00880595612037</v>
      </c>
      <c r="AJ87" s="152">
        <f t="shared" si="41"/>
        <v>9.9017590397280113</v>
      </c>
      <c r="AK87" s="152">
        <f t="shared" si="42"/>
        <v>15.403675701852272</v>
      </c>
      <c r="AL87" s="152">
        <f t="shared" si="43"/>
        <v>16.373348081653656</v>
      </c>
      <c r="AM87" s="152">
        <f t="shared" si="44"/>
        <v>7.6810619697506066</v>
      </c>
      <c r="AN87" s="152"/>
      <c r="AO87" s="152">
        <f t="shared" si="45"/>
        <v>7.9907419469609122</v>
      </c>
      <c r="AP87" s="152">
        <f t="shared" si="46"/>
        <v>8.273460656887341</v>
      </c>
      <c r="AS87" s="107"/>
      <c r="AT87" s="156">
        <v>1731</v>
      </c>
      <c r="AU87" s="107"/>
    </row>
    <row r="88" spans="1:47" x14ac:dyDescent="0.2">
      <c r="A88" s="156">
        <v>1732</v>
      </c>
      <c r="B88" s="56">
        <v>0.71470062036757365</v>
      </c>
      <c r="C88" s="56">
        <v>1.6394432956156044</v>
      </c>
      <c r="D88" s="56">
        <v>1.3369161492966681</v>
      </c>
      <c r="E88" s="57">
        <f t="shared" si="48"/>
        <v>5.7870180688672201</v>
      </c>
      <c r="F88" s="57">
        <f t="shared" si="51"/>
        <v>6.2796418930846007</v>
      </c>
      <c r="G88" s="55">
        <f t="shared" si="50"/>
        <v>3.3228703162824038</v>
      </c>
      <c r="H88" s="55">
        <f t="shared" si="49"/>
        <v>9.8904786003470324</v>
      </c>
      <c r="I88" s="113">
        <v>0.64083333333333337</v>
      </c>
      <c r="J88" s="55">
        <f t="shared" si="52"/>
        <v>5.4045789941840585</v>
      </c>
      <c r="K88" s="3"/>
      <c r="L88" s="14">
        <f t="shared" si="28"/>
        <v>127.93141104579568</v>
      </c>
      <c r="M88" s="14">
        <f t="shared" si="29"/>
        <v>32.78886591231209</v>
      </c>
      <c r="N88" s="14">
        <f t="shared" si="30"/>
        <v>6.6845807464833404</v>
      </c>
      <c r="O88" s="14">
        <f t="shared" si="31"/>
        <v>17.361054206601661</v>
      </c>
      <c r="P88" s="14">
        <f t="shared" si="32"/>
        <v>8.1635344610099807</v>
      </c>
      <c r="Q88" s="14">
        <f t="shared" si="33"/>
        <v>9.9686109488472106</v>
      </c>
      <c r="R88" s="14">
        <f t="shared" si="34"/>
        <v>12.857622180451143</v>
      </c>
      <c r="S88" s="14">
        <f t="shared" si="35"/>
        <v>0.8330833333333334</v>
      </c>
      <c r="T88" s="14">
        <f t="shared" si="36"/>
        <v>16.213736982552177</v>
      </c>
      <c r="V88" s="14">
        <f t="shared" si="38"/>
        <v>232.8024998173866</v>
      </c>
      <c r="W88" s="14">
        <f t="shared" si="39"/>
        <v>216.58876283483443</v>
      </c>
      <c r="X88" s="163"/>
      <c r="Y88" s="4">
        <v>0.54529680546189563</v>
      </c>
      <c r="Z88" s="4">
        <v>0.46926879050861475</v>
      </c>
      <c r="AA88" s="4">
        <v>3.1039439389357151</v>
      </c>
      <c r="AB88" s="4">
        <v>5.2317032697998318</v>
      </c>
      <c r="AC88" s="4">
        <v>5.9785187777237061</v>
      </c>
      <c r="AD88" s="5"/>
      <c r="AE88" s="4">
        <v>6.0230431681183987</v>
      </c>
      <c r="AF88" s="4">
        <v>6.6247915482244322</v>
      </c>
      <c r="AG88" s="5"/>
      <c r="AH88" s="5"/>
      <c r="AI88" s="152">
        <f t="shared" si="40"/>
        <v>105.5149318568768</v>
      </c>
      <c r="AJ88" s="152">
        <f t="shared" si="41"/>
        <v>9.3853758101722953</v>
      </c>
      <c r="AK88" s="152">
        <f t="shared" si="42"/>
        <v>15.519719694678574</v>
      </c>
      <c r="AL88" s="152">
        <f t="shared" si="43"/>
        <v>15.695109809399495</v>
      </c>
      <c r="AM88" s="152">
        <f t="shared" si="44"/>
        <v>7.7720744110408182</v>
      </c>
      <c r="AN88" s="152"/>
      <c r="AO88" s="152">
        <f t="shared" si="45"/>
        <v>7.8299561185539188</v>
      </c>
      <c r="AP88" s="152">
        <f t="shared" si="46"/>
        <v>8.6122290126917616</v>
      </c>
      <c r="AS88" s="107"/>
      <c r="AT88" s="156">
        <v>1732</v>
      </c>
      <c r="AU88" s="107"/>
    </row>
    <row r="89" spans="1:47" x14ac:dyDescent="0.2">
      <c r="A89" s="156">
        <v>1733</v>
      </c>
      <c r="B89" s="56">
        <v>0.71470062036757365</v>
      </c>
      <c r="C89" s="56">
        <v>1.6394432956156044</v>
      </c>
      <c r="D89" s="56">
        <v>1.3377720141700407</v>
      </c>
      <c r="E89" s="57">
        <f t="shared" si="48"/>
        <v>5.716960843041667</v>
      </c>
      <c r="F89" s="57">
        <f t="shared" si="51"/>
        <v>6.3498518716665791</v>
      </c>
      <c r="G89" s="55">
        <f t="shared" si="50"/>
        <v>3.3413563820197192</v>
      </c>
      <c r="H89" s="55">
        <f t="shared" si="49"/>
        <v>9.8552679776364105</v>
      </c>
      <c r="I89" s="113">
        <v>0.64083333333333337</v>
      </c>
      <c r="J89" s="55">
        <f t="shared" si="52"/>
        <v>5.389058912076635</v>
      </c>
      <c r="K89" s="3"/>
      <c r="L89" s="14">
        <f t="shared" si="28"/>
        <v>127.93141104579568</v>
      </c>
      <c r="M89" s="14">
        <f t="shared" si="29"/>
        <v>32.78886591231209</v>
      </c>
      <c r="N89" s="14">
        <f t="shared" si="30"/>
        <v>6.6888600708502031</v>
      </c>
      <c r="O89" s="14">
        <f t="shared" si="31"/>
        <v>17.150882529124999</v>
      </c>
      <c r="P89" s="14">
        <f t="shared" si="32"/>
        <v>8.2548074331665529</v>
      </c>
      <c r="Q89" s="14">
        <f t="shared" si="33"/>
        <v>10.024069146059158</v>
      </c>
      <c r="R89" s="14">
        <f t="shared" si="34"/>
        <v>12.811848370927335</v>
      </c>
      <c r="S89" s="14">
        <f t="shared" si="35"/>
        <v>0.8330833333333334</v>
      </c>
      <c r="T89" s="14">
        <f t="shared" si="36"/>
        <v>16.167176736229905</v>
      </c>
      <c r="V89" s="14">
        <f t="shared" si="38"/>
        <v>232.65100457779926</v>
      </c>
      <c r="W89" s="14">
        <f t="shared" si="39"/>
        <v>216.48382784156934</v>
      </c>
      <c r="X89" s="163"/>
      <c r="Y89" s="4">
        <v>0.61234314602775453</v>
      </c>
      <c r="Z89" s="4">
        <v>0.45646375362167879</v>
      </c>
      <c r="AA89" s="4">
        <v>2.940754317884434</v>
      </c>
      <c r="AB89" s="4">
        <v>4.9125417503671098</v>
      </c>
      <c r="AC89" s="4">
        <v>5.5992374518176637</v>
      </c>
      <c r="AD89" s="5"/>
      <c r="AE89" s="4">
        <v>5.9294189248893403</v>
      </c>
      <c r="AF89" s="4">
        <v>6.1686899207489478</v>
      </c>
      <c r="AG89" s="5"/>
      <c r="AH89" s="5"/>
      <c r="AI89" s="152">
        <f t="shared" si="40"/>
        <v>118.4883987563705</v>
      </c>
      <c r="AJ89" s="152">
        <f t="shared" si="41"/>
        <v>9.1292750724335754</v>
      </c>
      <c r="AK89" s="152">
        <f t="shared" si="42"/>
        <v>14.703771589422169</v>
      </c>
      <c r="AL89" s="152">
        <f t="shared" si="43"/>
        <v>14.737625251101329</v>
      </c>
      <c r="AM89" s="152">
        <f t="shared" si="44"/>
        <v>7.2790086873629631</v>
      </c>
      <c r="AN89" s="152"/>
      <c r="AO89" s="152">
        <f t="shared" si="45"/>
        <v>7.7082446023561424</v>
      </c>
      <c r="AP89" s="152">
        <f t="shared" si="46"/>
        <v>8.019296896973632</v>
      </c>
      <c r="AS89" s="107"/>
      <c r="AT89" s="156">
        <v>1733</v>
      </c>
      <c r="AU89" s="107"/>
    </row>
    <row r="90" spans="1:47" x14ac:dyDescent="0.2">
      <c r="A90" s="156">
        <v>1734</v>
      </c>
      <c r="B90" s="56">
        <v>0.65514223533694238</v>
      </c>
      <c r="C90" s="56">
        <v>1.6394432956156044</v>
      </c>
      <c r="D90" s="56">
        <v>1.3377415722081754</v>
      </c>
      <c r="E90" s="57">
        <f t="shared" si="48"/>
        <v>5.6469036172161138</v>
      </c>
      <c r="F90" s="57">
        <f t="shared" si="51"/>
        <v>6.4200618502485574</v>
      </c>
      <c r="G90" s="55">
        <f t="shared" si="50"/>
        <v>3.3598424477570346</v>
      </c>
      <c r="H90" s="55">
        <f t="shared" si="49"/>
        <v>9.8200573549257886</v>
      </c>
      <c r="I90" s="113">
        <v>0.64083333333333337</v>
      </c>
      <c r="J90" s="55">
        <f t="shared" si="52"/>
        <v>5.3735388299692115</v>
      </c>
      <c r="K90" s="3"/>
      <c r="L90" s="14">
        <f t="shared" si="28"/>
        <v>117.27046012531268</v>
      </c>
      <c r="M90" s="14">
        <f t="shared" si="29"/>
        <v>32.78886591231209</v>
      </c>
      <c r="N90" s="14">
        <f t="shared" si="30"/>
        <v>6.6887078610408768</v>
      </c>
      <c r="O90" s="14">
        <f t="shared" si="31"/>
        <v>16.94071085164834</v>
      </c>
      <c r="P90" s="14">
        <f t="shared" si="32"/>
        <v>8.346080405323125</v>
      </c>
      <c r="Q90" s="14">
        <f t="shared" si="33"/>
        <v>10.079527343271103</v>
      </c>
      <c r="R90" s="14">
        <f t="shared" si="34"/>
        <v>12.766074561403526</v>
      </c>
      <c r="S90" s="14">
        <f t="shared" si="35"/>
        <v>0.8330833333333334</v>
      </c>
      <c r="T90" s="14">
        <f t="shared" si="36"/>
        <v>16.120616489907633</v>
      </c>
      <c r="V90" s="14">
        <f t="shared" si="38"/>
        <v>221.8341268835527</v>
      </c>
      <c r="W90" s="14">
        <f t="shared" si="39"/>
        <v>205.71351039364507</v>
      </c>
      <c r="X90" s="163"/>
      <c r="Y90" s="4">
        <v>0.78230348728704679</v>
      </c>
      <c r="Z90" s="4">
        <v>0.47220406402288279</v>
      </c>
      <c r="AA90" s="4">
        <v>2.829808535492726</v>
      </c>
      <c r="AB90" s="4">
        <v>5.0349994194834533</v>
      </c>
      <c r="AC90" s="4">
        <v>5.6968668829764155</v>
      </c>
      <c r="AD90" s="5"/>
      <c r="AE90" s="4">
        <v>5.315755539858662</v>
      </c>
      <c r="AF90" s="4">
        <v>6.8854426343070596</v>
      </c>
      <c r="AG90" s="5"/>
      <c r="AH90" s="5"/>
      <c r="AI90" s="152">
        <f t="shared" si="40"/>
        <v>151.37572479004356</v>
      </c>
      <c r="AJ90" s="152">
        <f t="shared" si="41"/>
        <v>9.4440812804576559</v>
      </c>
      <c r="AK90" s="152">
        <f t="shared" si="42"/>
        <v>14.14904267746363</v>
      </c>
      <c r="AL90" s="152">
        <f t="shared" si="43"/>
        <v>15.10499825845036</v>
      </c>
      <c r="AM90" s="152">
        <f t="shared" si="44"/>
        <v>7.4059269478693404</v>
      </c>
      <c r="AN90" s="152"/>
      <c r="AO90" s="152">
        <f t="shared" si="45"/>
        <v>6.9104822018162606</v>
      </c>
      <c r="AP90" s="152">
        <f t="shared" si="46"/>
        <v>8.9510754245991784</v>
      </c>
      <c r="AS90" s="107"/>
      <c r="AT90" s="156">
        <v>1734</v>
      </c>
      <c r="AU90" s="107"/>
    </row>
    <row r="91" spans="1:47" x14ac:dyDescent="0.2">
      <c r="A91" s="156">
        <v>1735</v>
      </c>
      <c r="B91" s="56">
        <v>0.71470062036757365</v>
      </c>
      <c r="C91" s="56">
        <v>1.6394432956156044</v>
      </c>
      <c r="D91" s="56">
        <v>1.3376976315170426</v>
      </c>
      <c r="E91" s="57">
        <f t="shared" si="48"/>
        <v>5.5768463913905606</v>
      </c>
      <c r="F91" s="57">
        <f t="shared" si="51"/>
        <v>6.4902718288305357</v>
      </c>
      <c r="G91" s="55">
        <f t="shared" si="50"/>
        <v>3.3783285134943499</v>
      </c>
      <c r="H91" s="55">
        <f t="shared" si="49"/>
        <v>9.7848467322151667</v>
      </c>
      <c r="I91" s="113">
        <v>0.64083333333333337</v>
      </c>
      <c r="J91" s="55">
        <f t="shared" si="52"/>
        <v>5.358018747861788</v>
      </c>
      <c r="K91" s="3"/>
      <c r="L91" s="14">
        <f t="shared" si="28"/>
        <v>127.93141104579568</v>
      </c>
      <c r="M91" s="14">
        <f t="shared" si="29"/>
        <v>32.78886591231209</v>
      </c>
      <c r="N91" s="14">
        <f t="shared" si="30"/>
        <v>6.6884881575852129</v>
      </c>
      <c r="O91" s="14">
        <f t="shared" si="31"/>
        <v>16.730539174171682</v>
      </c>
      <c r="P91" s="14">
        <f t="shared" si="32"/>
        <v>8.4373533774796972</v>
      </c>
      <c r="Q91" s="14">
        <f t="shared" si="33"/>
        <v>10.134985540483051</v>
      </c>
      <c r="R91" s="14">
        <f t="shared" si="34"/>
        <v>12.720300751879718</v>
      </c>
      <c r="S91" s="14">
        <f t="shared" si="35"/>
        <v>0.8330833333333334</v>
      </c>
      <c r="T91" s="14">
        <f t="shared" si="36"/>
        <v>16.074056243585364</v>
      </c>
      <c r="V91" s="14">
        <f t="shared" si="38"/>
        <v>232.33908353662585</v>
      </c>
      <c r="W91" s="14">
        <f t="shared" si="39"/>
        <v>216.26502729304048</v>
      </c>
      <c r="X91" s="163"/>
      <c r="Y91" s="4">
        <v>0.92288561131259594</v>
      </c>
      <c r="Z91" s="4">
        <v>0.47797564063834674</v>
      </c>
      <c r="AA91" s="4">
        <v>2.7711256044691095</v>
      </c>
      <c r="AB91" s="4">
        <v>5.0891608264797652</v>
      </c>
      <c r="AC91" s="4">
        <v>5.6762902426733097</v>
      </c>
      <c r="AD91" s="5"/>
      <c r="AE91" s="4">
        <v>4.6776679902705061</v>
      </c>
      <c r="AF91" s="4">
        <v>6.0794179456593067</v>
      </c>
      <c r="AG91" s="5"/>
      <c r="AH91" s="5"/>
      <c r="AI91" s="152">
        <f t="shared" si="40"/>
        <v>178.57836578898733</v>
      </c>
      <c r="AJ91" s="152">
        <f t="shared" si="41"/>
        <v>9.5595128127669344</v>
      </c>
      <c r="AK91" s="152">
        <f t="shared" si="42"/>
        <v>13.855628022345547</v>
      </c>
      <c r="AL91" s="152">
        <f t="shared" si="43"/>
        <v>15.267482479439295</v>
      </c>
      <c r="AM91" s="152">
        <f t="shared" si="44"/>
        <v>7.3791773154753031</v>
      </c>
      <c r="AN91" s="152"/>
      <c r="AO91" s="152">
        <f t="shared" si="45"/>
        <v>6.0809683873516578</v>
      </c>
      <c r="AP91" s="152">
        <f t="shared" si="46"/>
        <v>7.9032433293570987</v>
      </c>
      <c r="AS91" s="107"/>
      <c r="AT91" s="156">
        <v>1735</v>
      </c>
      <c r="AU91" s="107"/>
    </row>
    <row r="92" spans="1:47" x14ac:dyDescent="0.2">
      <c r="A92" s="156">
        <v>1736</v>
      </c>
      <c r="B92" s="56">
        <v>0.62536304282162691</v>
      </c>
      <c r="C92" s="56">
        <v>1.6394432956156044</v>
      </c>
      <c r="D92" s="56">
        <v>1.337799130254244</v>
      </c>
      <c r="E92" s="57">
        <f t="shared" si="48"/>
        <v>5.5067891655650074</v>
      </c>
      <c r="F92" s="57">
        <f t="shared" si="51"/>
        <v>6.560481807412514</v>
      </c>
      <c r="G92" s="109">
        <v>3.3968145792316622</v>
      </c>
      <c r="H92" s="55">
        <f t="shared" si="49"/>
        <v>9.7496361095045447</v>
      </c>
      <c r="I92" s="113">
        <v>0.63617272727272722</v>
      </c>
      <c r="J92" s="55">
        <f t="shared" si="52"/>
        <v>5.3424986657543645</v>
      </c>
      <c r="K92" s="3"/>
      <c r="L92" s="14">
        <f t="shared" si="28"/>
        <v>111.93998466507122</v>
      </c>
      <c r="M92" s="14">
        <f t="shared" si="29"/>
        <v>32.78886591231209</v>
      </c>
      <c r="N92" s="14">
        <f t="shared" si="30"/>
        <v>6.6889956512712203</v>
      </c>
      <c r="O92" s="14">
        <f t="shared" si="31"/>
        <v>16.520367496695023</v>
      </c>
      <c r="P92" s="14">
        <f t="shared" si="32"/>
        <v>8.5286263496362693</v>
      </c>
      <c r="Q92" s="14">
        <f t="shared" si="33"/>
        <v>10.190443737694986</v>
      </c>
      <c r="R92" s="14">
        <f t="shared" si="34"/>
        <v>12.674526942355909</v>
      </c>
      <c r="S92" s="14">
        <f t="shared" si="35"/>
        <v>0.8270245454545454</v>
      </c>
      <c r="T92" s="14">
        <f t="shared" si="36"/>
        <v>16.027495997263095</v>
      </c>
      <c r="V92" s="14">
        <f t="shared" si="38"/>
        <v>216.18633129775435</v>
      </c>
      <c r="W92" s="14">
        <f t="shared" si="39"/>
        <v>200.15883530049126</v>
      </c>
      <c r="X92" s="163"/>
      <c r="Y92" s="4">
        <v>0.88247551268826885</v>
      </c>
      <c r="Z92" s="4">
        <v>0.44811572577927861</v>
      </c>
      <c r="AA92" s="4">
        <v>2.852692651954245</v>
      </c>
      <c r="AB92" s="4">
        <v>5.0208874212278438</v>
      </c>
      <c r="AC92" s="4">
        <v>5.5919532145886341</v>
      </c>
      <c r="AD92" s="5"/>
      <c r="AE92" s="4">
        <v>4.4235849340737881</v>
      </c>
      <c r="AF92" s="4">
        <v>5.9726379896316626</v>
      </c>
      <c r="AG92" s="5"/>
      <c r="AH92" s="5"/>
      <c r="AI92" s="152">
        <f t="shared" si="40"/>
        <v>170.75901170518003</v>
      </c>
      <c r="AJ92" s="152">
        <f t="shared" si="41"/>
        <v>8.9623145155855717</v>
      </c>
      <c r="AK92" s="152">
        <f t="shared" si="42"/>
        <v>14.263463259771225</v>
      </c>
      <c r="AL92" s="152">
        <f t="shared" si="43"/>
        <v>15.062662263683531</v>
      </c>
      <c r="AM92" s="152">
        <f t="shared" si="44"/>
        <v>7.2695391789652248</v>
      </c>
      <c r="AN92" s="152"/>
      <c r="AO92" s="152">
        <f t="shared" si="45"/>
        <v>5.7506604142959246</v>
      </c>
      <c r="AP92" s="152">
        <f t="shared" si="46"/>
        <v>7.7644293865211615</v>
      </c>
      <c r="AS92" s="107"/>
      <c r="AT92" s="156">
        <v>1736</v>
      </c>
      <c r="AU92" s="107"/>
    </row>
    <row r="93" spans="1:47" x14ac:dyDescent="0.2">
      <c r="A93" s="156">
        <v>1737</v>
      </c>
      <c r="B93" s="56">
        <v>0.71470062036757365</v>
      </c>
      <c r="C93" s="56">
        <v>1.6394432956156044</v>
      </c>
      <c r="D93" s="56">
        <v>1.3436685299349775</v>
      </c>
      <c r="E93" s="57">
        <f t="shared" si="48"/>
        <v>5.4367319397394542</v>
      </c>
      <c r="F93" s="57">
        <f t="shared" si="51"/>
        <v>6.6306917859944923</v>
      </c>
      <c r="G93" s="55">
        <f t="shared" ref="G93:G100" si="53">G92+($G$101-$G$92)/9</f>
        <v>3.5399268570402898</v>
      </c>
      <c r="H93" s="55">
        <f t="shared" si="49"/>
        <v>9.7144254867939228</v>
      </c>
      <c r="I93" s="113">
        <v>0.64083333333333337</v>
      </c>
      <c r="J93" s="55">
        <f t="shared" si="52"/>
        <v>5.326978583646941</v>
      </c>
      <c r="K93" s="3"/>
      <c r="L93" s="14">
        <f t="shared" si="28"/>
        <v>127.93141104579568</v>
      </c>
      <c r="M93" s="14">
        <f t="shared" si="29"/>
        <v>32.78886591231209</v>
      </c>
      <c r="N93" s="14">
        <f t="shared" si="30"/>
        <v>6.7183426496748879</v>
      </c>
      <c r="O93" s="14">
        <f t="shared" si="31"/>
        <v>16.310195819218364</v>
      </c>
      <c r="P93" s="14">
        <f t="shared" si="32"/>
        <v>8.6198993217928397</v>
      </c>
      <c r="Q93" s="14">
        <f t="shared" si="33"/>
        <v>10.61978057112087</v>
      </c>
      <c r="R93" s="14">
        <f t="shared" si="34"/>
        <v>12.628753132832101</v>
      </c>
      <c r="S93" s="14">
        <f t="shared" si="35"/>
        <v>0.8330833333333334</v>
      </c>
      <c r="T93" s="14">
        <f t="shared" si="36"/>
        <v>15.980935750940823</v>
      </c>
      <c r="V93" s="14">
        <f t="shared" si="38"/>
        <v>232.431267537021</v>
      </c>
      <c r="W93" s="14">
        <f t="shared" si="39"/>
        <v>216.45033178608017</v>
      </c>
      <c r="X93" s="163"/>
      <c r="Y93" s="4">
        <v>0.74882585938492197</v>
      </c>
      <c r="Z93" s="4">
        <v>0.54763660300218586</v>
      </c>
      <c r="AA93" s="4">
        <v>2.8750692377306479</v>
      </c>
      <c r="AB93" s="4">
        <v>5.2717169869132192</v>
      </c>
      <c r="AC93" s="4">
        <v>5.5498897164347225</v>
      </c>
      <c r="AD93" s="5"/>
      <c r="AE93" s="4">
        <v>4.8653363826438119</v>
      </c>
      <c r="AF93" s="4">
        <v>5.701521803964904</v>
      </c>
      <c r="AG93" s="5"/>
      <c r="AH93" s="5"/>
      <c r="AI93" s="152">
        <f t="shared" si="40"/>
        <v>144.89780379098241</v>
      </c>
      <c r="AJ93" s="152">
        <f t="shared" si="41"/>
        <v>10.952732060043717</v>
      </c>
      <c r="AK93" s="152">
        <f t="shared" si="42"/>
        <v>14.375346188653239</v>
      </c>
      <c r="AL93" s="152">
        <f t="shared" si="43"/>
        <v>15.815150960739658</v>
      </c>
      <c r="AM93" s="152">
        <f t="shared" si="44"/>
        <v>7.2148566313651399</v>
      </c>
      <c r="AN93" s="152"/>
      <c r="AO93" s="152">
        <f t="shared" si="45"/>
        <v>6.3249372974369553</v>
      </c>
      <c r="AP93" s="152">
        <f t="shared" si="46"/>
        <v>7.4119783451543757</v>
      </c>
      <c r="AS93" s="107"/>
      <c r="AT93" s="156">
        <v>1737</v>
      </c>
      <c r="AU93" s="107"/>
    </row>
    <row r="94" spans="1:47" x14ac:dyDescent="0.2">
      <c r="A94" s="156">
        <v>1738</v>
      </c>
      <c r="B94" s="56">
        <v>0.52485826808243685</v>
      </c>
      <c r="C94" s="56">
        <v>1.6394432956156044</v>
      </c>
      <c r="D94" s="56">
        <v>1.3378201787790116</v>
      </c>
      <c r="E94" s="57">
        <f t="shared" si="48"/>
        <v>5.3666747139139011</v>
      </c>
      <c r="F94" s="57">
        <f t="shared" si="51"/>
        <v>6.7009017645764706</v>
      </c>
      <c r="G94" s="55">
        <f t="shared" si="53"/>
        <v>3.6830391348489173</v>
      </c>
      <c r="H94" s="55">
        <f t="shared" si="49"/>
        <v>9.6792148640833009</v>
      </c>
      <c r="I94" s="55">
        <f>I93+($I$95-$I$93)/2</f>
        <v>0.64083333333333337</v>
      </c>
      <c r="J94" s="55">
        <f t="shared" si="52"/>
        <v>5.3114585015395175</v>
      </c>
      <c r="K94" s="3"/>
      <c r="L94" s="14">
        <f t="shared" si="28"/>
        <v>93.949629986756193</v>
      </c>
      <c r="M94" s="14">
        <f t="shared" si="29"/>
        <v>32.78886591231209</v>
      </c>
      <c r="N94" s="14">
        <f t="shared" si="30"/>
        <v>6.6891008938950582</v>
      </c>
      <c r="O94" s="14">
        <f t="shared" si="31"/>
        <v>16.100024141741702</v>
      </c>
      <c r="P94" s="14">
        <f t="shared" si="32"/>
        <v>8.7111722939494118</v>
      </c>
      <c r="Q94" s="14">
        <f t="shared" si="33"/>
        <v>11.049117404546752</v>
      </c>
      <c r="R94" s="14">
        <f t="shared" si="34"/>
        <v>12.582979323308292</v>
      </c>
      <c r="S94" s="14">
        <f t="shared" si="35"/>
        <v>0.8330833333333334</v>
      </c>
      <c r="T94" s="14">
        <f t="shared" si="36"/>
        <v>15.934375504618552</v>
      </c>
      <c r="V94" s="14">
        <f t="shared" si="38"/>
        <v>198.63834879446134</v>
      </c>
      <c r="W94" s="14">
        <f t="shared" si="39"/>
        <v>182.70397328984279</v>
      </c>
      <c r="X94" s="163"/>
      <c r="Y94" s="4">
        <v>0.71423910320236672</v>
      </c>
      <c r="Z94" s="4">
        <v>0.55063946114014328</v>
      </c>
      <c r="AA94" s="4">
        <v>2.9064781263501693</v>
      </c>
      <c r="AB94" s="4">
        <v>5.3079592490586682</v>
      </c>
      <c r="AC94" s="4">
        <v>5.6365737081961775</v>
      </c>
      <c r="AD94" s="5"/>
      <c r="AE94" s="4">
        <v>4.9651185897662282</v>
      </c>
      <c r="AF94" s="4">
        <v>5.7246673793266218</v>
      </c>
      <c r="AG94" s="5"/>
      <c r="AH94" s="5"/>
      <c r="AI94" s="152">
        <f t="shared" si="40"/>
        <v>138.20526646965797</v>
      </c>
      <c r="AJ94" s="152">
        <f t="shared" si="41"/>
        <v>11.012789222802866</v>
      </c>
      <c r="AK94" s="152">
        <f t="shared" si="42"/>
        <v>14.532390631750847</v>
      </c>
      <c r="AL94" s="152">
        <f t="shared" si="43"/>
        <v>15.923877747176004</v>
      </c>
      <c r="AM94" s="152">
        <f t="shared" si="44"/>
        <v>7.3275458206550308</v>
      </c>
      <c r="AN94" s="152"/>
      <c r="AO94" s="152">
        <f t="shared" si="45"/>
        <v>6.4546541666960966</v>
      </c>
      <c r="AP94" s="152">
        <f t="shared" si="46"/>
        <v>7.4420675931246087</v>
      </c>
      <c r="AS94" s="107"/>
      <c r="AT94" s="156">
        <v>1738</v>
      </c>
      <c r="AU94" s="107"/>
    </row>
    <row r="95" spans="1:47" x14ac:dyDescent="0.2">
      <c r="A95" s="156">
        <v>1739</v>
      </c>
      <c r="B95" s="56">
        <v>0.7370350147540603</v>
      </c>
      <c r="C95" s="56">
        <v>1.6394432956156044</v>
      </c>
      <c r="D95" s="56">
        <v>1.3376994078192037</v>
      </c>
      <c r="E95" s="57">
        <f t="shared" si="48"/>
        <v>5.2966174880883479</v>
      </c>
      <c r="F95" s="57">
        <f t="shared" si="51"/>
        <v>6.7711117431584489</v>
      </c>
      <c r="G95" s="55">
        <f t="shared" si="53"/>
        <v>3.8261514126575449</v>
      </c>
      <c r="H95" s="55">
        <f t="shared" si="49"/>
        <v>9.644004241372679</v>
      </c>
      <c r="I95" s="113">
        <v>0.64083333333333337</v>
      </c>
      <c r="J95" s="55">
        <f t="shared" si="52"/>
        <v>5.295938419432094</v>
      </c>
      <c r="K95" s="3"/>
      <c r="L95" s="14">
        <f t="shared" si="28"/>
        <v>131.9292676409768</v>
      </c>
      <c r="M95" s="14">
        <f t="shared" si="29"/>
        <v>32.78886591231209</v>
      </c>
      <c r="N95" s="14">
        <f t="shared" si="30"/>
        <v>6.6884970390960188</v>
      </c>
      <c r="O95" s="14">
        <f t="shared" si="31"/>
        <v>15.889852464265044</v>
      </c>
      <c r="P95" s="14">
        <f t="shared" si="32"/>
        <v>8.802445266105984</v>
      </c>
      <c r="Q95" s="14">
        <f t="shared" si="33"/>
        <v>11.478454237972635</v>
      </c>
      <c r="R95" s="14">
        <f t="shared" si="34"/>
        <v>12.537205513784484</v>
      </c>
      <c r="S95" s="14">
        <f t="shared" si="35"/>
        <v>0.8330833333333334</v>
      </c>
      <c r="T95" s="14">
        <f t="shared" si="36"/>
        <v>15.887815258296282</v>
      </c>
      <c r="V95" s="14">
        <f t="shared" si="38"/>
        <v>236.83548666614266</v>
      </c>
      <c r="W95" s="14">
        <f t="shared" si="39"/>
        <v>220.94767140784637</v>
      </c>
      <c r="X95" s="163"/>
      <c r="Y95" s="4">
        <v>0.76105363747863497</v>
      </c>
      <c r="Z95" s="4">
        <v>0.47398340618568247</v>
      </c>
      <c r="AA95" s="4">
        <v>2.8063989131305274</v>
      </c>
      <c r="AB95" s="4">
        <v>4.9862717824134144</v>
      </c>
      <c r="AC95" s="4">
        <v>6.1824487812894633</v>
      </c>
      <c r="AD95" s="5"/>
      <c r="AE95" s="4">
        <v>5.0131689290746211</v>
      </c>
      <c r="AF95" s="4">
        <v>6.5025376059055535</v>
      </c>
      <c r="AG95" s="5"/>
      <c r="AH95" s="5"/>
      <c r="AI95" s="152">
        <f t="shared" si="40"/>
        <v>147.26387885211588</v>
      </c>
      <c r="AJ95" s="152">
        <f t="shared" si="41"/>
        <v>9.4796681237136493</v>
      </c>
      <c r="AK95" s="152">
        <f t="shared" si="42"/>
        <v>14.031994565652637</v>
      </c>
      <c r="AL95" s="152">
        <f t="shared" si="43"/>
        <v>14.958815347240243</v>
      </c>
      <c r="AM95" s="152">
        <f t="shared" si="44"/>
        <v>8.0371834156763029</v>
      </c>
      <c r="AN95" s="152"/>
      <c r="AO95" s="152">
        <f t="shared" si="45"/>
        <v>6.5171196077970075</v>
      </c>
      <c r="AP95" s="152">
        <f t="shared" si="46"/>
        <v>8.453298887677219</v>
      </c>
      <c r="AS95" s="107"/>
      <c r="AT95" s="156">
        <v>1739</v>
      </c>
      <c r="AU95" s="107"/>
    </row>
    <row r="96" spans="1:47" x14ac:dyDescent="0.2">
      <c r="A96" s="156">
        <v>1740</v>
      </c>
      <c r="B96" s="56">
        <v>0.70576686261297883</v>
      </c>
      <c r="C96" s="56">
        <v>1.6394432956156044</v>
      </c>
      <c r="D96" s="56">
        <v>1.3402934692752824</v>
      </c>
      <c r="E96" s="57">
        <f t="shared" si="48"/>
        <v>5.2265602622627947</v>
      </c>
      <c r="F96" s="57">
        <f t="shared" si="51"/>
        <v>6.8413217217404272</v>
      </c>
      <c r="G96" s="55">
        <f t="shared" si="53"/>
        <v>3.9692636904661724</v>
      </c>
      <c r="H96" s="55">
        <f t="shared" si="49"/>
        <v>9.6087936186620571</v>
      </c>
      <c r="I96" s="55">
        <f>I95+($I$97-$I$95)/2</f>
        <v>0.72722017973856201</v>
      </c>
      <c r="J96" s="55">
        <f t="shared" si="52"/>
        <v>5.2804183373246705</v>
      </c>
      <c r="K96" s="3"/>
      <c r="L96" s="14">
        <f t="shared" si="28"/>
        <v>126.33226840772321</v>
      </c>
      <c r="M96" s="14">
        <f t="shared" si="29"/>
        <v>32.78886591231209</v>
      </c>
      <c r="N96" s="14">
        <f t="shared" si="30"/>
        <v>6.7014673463764121</v>
      </c>
      <c r="O96" s="14">
        <f t="shared" si="31"/>
        <v>15.679680786788385</v>
      </c>
      <c r="P96" s="14">
        <f t="shared" si="32"/>
        <v>8.8937182382625561</v>
      </c>
      <c r="Q96" s="14">
        <f t="shared" si="33"/>
        <v>11.907791071398517</v>
      </c>
      <c r="R96" s="14">
        <f t="shared" si="34"/>
        <v>12.491431704260675</v>
      </c>
      <c r="S96" s="14">
        <f t="shared" si="35"/>
        <v>0.94538623366013064</v>
      </c>
      <c r="T96" s="14">
        <f t="shared" si="36"/>
        <v>15.841255011974011</v>
      </c>
      <c r="V96" s="14">
        <f t="shared" si="38"/>
        <v>231.58186471275599</v>
      </c>
      <c r="W96" s="14">
        <f t="shared" si="39"/>
        <v>215.74060970078199</v>
      </c>
      <c r="X96" s="163"/>
      <c r="Y96" s="4">
        <v>1.0462021000712896</v>
      </c>
      <c r="Z96" s="4">
        <v>0.54400928408073612</v>
      </c>
      <c r="AA96" s="4">
        <v>3.0605545832929275</v>
      </c>
      <c r="AB96" s="4">
        <v>5.2595448507183997</v>
      </c>
      <c r="AC96" s="4">
        <v>6.8176745314311162</v>
      </c>
      <c r="AD96" s="4">
        <v>4.387830690805874</v>
      </c>
      <c r="AE96" s="4">
        <v>5.9814692748144234</v>
      </c>
      <c r="AF96" s="4">
        <v>6.5091800872108552</v>
      </c>
      <c r="AG96" s="5"/>
      <c r="AH96" s="5"/>
      <c r="AI96" s="152">
        <f t="shared" si="40"/>
        <v>202.44010636379454</v>
      </c>
      <c r="AJ96" s="152">
        <f t="shared" si="41"/>
        <v>10.880185681614723</v>
      </c>
      <c r="AK96" s="152">
        <f t="shared" si="42"/>
        <v>15.302772916464637</v>
      </c>
      <c r="AL96" s="152">
        <f t="shared" si="43"/>
        <v>15.7786345521552</v>
      </c>
      <c r="AM96" s="152">
        <f t="shared" si="44"/>
        <v>8.8629768908604518</v>
      </c>
      <c r="AN96" s="152">
        <f t="shared" ref="AN96:AN137" si="54">AD96*AN$8</f>
        <v>13.163492072417622</v>
      </c>
      <c r="AO96" s="152">
        <f t="shared" si="45"/>
        <v>7.7759100572587503</v>
      </c>
      <c r="AP96" s="152">
        <f t="shared" si="46"/>
        <v>8.4619341133741113</v>
      </c>
      <c r="AS96" s="152">
        <f t="shared" ref="AS96:AS137" si="55">SUM(AI96:AP96)</f>
        <v>282.66601264794008</v>
      </c>
      <c r="AT96" s="156">
        <v>1740</v>
      </c>
      <c r="AU96" s="109">
        <f t="shared" ref="AU96:AU137" si="56">W96/AS96</f>
        <v>0.76323505496745536</v>
      </c>
    </row>
    <row r="97" spans="1:47" x14ac:dyDescent="0.2">
      <c r="A97" s="156">
        <v>1741</v>
      </c>
      <c r="B97" s="56">
        <v>0.32161527916540805</v>
      </c>
      <c r="C97" s="56">
        <v>1.6394432956156044</v>
      </c>
      <c r="D97" s="56">
        <v>3.4903142644469054</v>
      </c>
      <c r="E97" s="56">
        <v>5.1565030364372477</v>
      </c>
      <c r="F97" s="57">
        <f t="shared" si="51"/>
        <v>6.9115317003224055</v>
      </c>
      <c r="G97" s="55">
        <f t="shared" si="53"/>
        <v>4.1123759682748</v>
      </c>
      <c r="H97" s="109">
        <v>9.5735829959514174</v>
      </c>
      <c r="I97" s="113">
        <v>0.81360702614379077</v>
      </c>
      <c r="J97" s="55">
        <f t="shared" si="52"/>
        <v>5.264898255217247</v>
      </c>
      <c r="K97" s="3"/>
      <c r="L97" s="14">
        <f t="shared" si="28"/>
        <v>57.56913497060804</v>
      </c>
      <c r="M97" s="14">
        <f t="shared" si="29"/>
        <v>32.78886591231209</v>
      </c>
      <c r="N97" s="14">
        <f t="shared" si="30"/>
        <v>17.451571322234528</v>
      </c>
      <c r="O97" s="14">
        <f t="shared" si="31"/>
        <v>15.469509109311744</v>
      </c>
      <c r="P97" s="14">
        <f t="shared" si="32"/>
        <v>8.9849912104191283</v>
      </c>
      <c r="Q97" s="14">
        <f t="shared" si="33"/>
        <v>12.337127904824399</v>
      </c>
      <c r="R97" s="14">
        <f t="shared" si="34"/>
        <v>12.445657894736843</v>
      </c>
      <c r="S97" s="14">
        <f t="shared" si="35"/>
        <v>1.0576891339869281</v>
      </c>
      <c r="T97" s="14">
        <f t="shared" si="36"/>
        <v>15.794694765651741</v>
      </c>
      <c r="V97" s="14">
        <f t="shared" si="38"/>
        <v>173.89924222408547</v>
      </c>
      <c r="W97" s="14">
        <f t="shared" si="39"/>
        <v>158.10454745843373</v>
      </c>
      <c r="X97" s="163"/>
      <c r="Y97" s="4">
        <v>1.0253807117810274</v>
      </c>
      <c r="Z97" s="4">
        <v>0.59749249526862203</v>
      </c>
      <c r="AA97" s="4">
        <v>3.2503755593381354</v>
      </c>
      <c r="AB97" s="4">
        <v>6.1018127746035571</v>
      </c>
      <c r="AC97" s="4">
        <v>6.655588291649785</v>
      </c>
      <c r="AD97" s="4"/>
      <c r="AE97" s="4">
        <v>6.4158445795480556</v>
      </c>
      <c r="AF97" s="4">
        <v>7.6539045176476659</v>
      </c>
      <c r="AG97" s="5"/>
      <c r="AH97" s="5"/>
      <c r="AI97" s="152">
        <f t="shared" si="40"/>
        <v>198.4111677296288</v>
      </c>
      <c r="AJ97" s="152">
        <f t="shared" si="41"/>
        <v>11.949849905372441</v>
      </c>
      <c r="AK97" s="152">
        <f t="shared" si="42"/>
        <v>16.251877796690678</v>
      </c>
      <c r="AL97" s="152">
        <f t="shared" si="43"/>
        <v>18.305438323810669</v>
      </c>
      <c r="AM97" s="152">
        <f t="shared" si="44"/>
        <v>8.6522647791447209</v>
      </c>
      <c r="AN97" s="152"/>
      <c r="AO97" s="152">
        <f t="shared" si="45"/>
        <v>8.3405979534124732</v>
      </c>
      <c r="AP97" s="152">
        <f t="shared" si="46"/>
        <v>9.9500758729419658</v>
      </c>
      <c r="AS97" s="107"/>
      <c r="AT97" s="156">
        <v>1741</v>
      </c>
      <c r="AU97" s="107"/>
    </row>
    <row r="98" spans="1:47" x14ac:dyDescent="0.2">
      <c r="A98" s="156">
        <v>1742</v>
      </c>
      <c r="B98" s="56">
        <v>0.71470062036757365</v>
      </c>
      <c r="C98" s="56">
        <v>1.6394432956156044</v>
      </c>
      <c r="D98" s="56">
        <v>1.3377011012617888</v>
      </c>
      <c r="E98" s="57">
        <v>5.2263591671486411</v>
      </c>
      <c r="F98" s="57">
        <f t="shared" si="51"/>
        <v>6.9817416789043838</v>
      </c>
      <c r="G98" s="55">
        <f t="shared" si="53"/>
        <v>4.2554882460834271</v>
      </c>
      <c r="H98" s="55">
        <f t="shared" ref="H98:H114" si="57">H97+($H$115-$H$97)/18</f>
        <v>9.900691632928476</v>
      </c>
      <c r="I98" s="113">
        <v>0.64083333333333337</v>
      </c>
      <c r="J98" s="55">
        <f t="shared" si="52"/>
        <v>5.2493781731098235</v>
      </c>
      <c r="K98" s="3"/>
      <c r="L98" s="14">
        <f t="shared" si="28"/>
        <v>127.93141104579568</v>
      </c>
      <c r="M98" s="14">
        <f t="shared" si="29"/>
        <v>32.78886591231209</v>
      </c>
      <c r="N98" s="14">
        <f t="shared" si="30"/>
        <v>6.6885055063089442</v>
      </c>
      <c r="O98" s="14">
        <f t="shared" si="31"/>
        <v>15.679077501445924</v>
      </c>
      <c r="P98" s="14">
        <f t="shared" si="32"/>
        <v>9.0762641825756987</v>
      </c>
      <c r="Q98" s="14">
        <f t="shared" si="33"/>
        <v>12.766464738250281</v>
      </c>
      <c r="R98" s="14">
        <f t="shared" si="34"/>
        <v>12.870899122807019</v>
      </c>
      <c r="S98" s="14">
        <f t="shared" si="35"/>
        <v>0.8330833333333334</v>
      </c>
      <c r="T98" s="14">
        <f t="shared" si="36"/>
        <v>15.74813451932947</v>
      </c>
      <c r="V98" s="14">
        <f t="shared" si="38"/>
        <v>234.38270586215847</v>
      </c>
      <c r="W98" s="14">
        <f t="shared" si="39"/>
        <v>218.63457134282899</v>
      </c>
      <c r="X98" s="163"/>
      <c r="Y98" s="4">
        <v>0.71516200313350864</v>
      </c>
      <c r="Z98" s="4">
        <v>0.55496417915831131</v>
      </c>
      <c r="AA98" s="4">
        <v>3.4932285427987098</v>
      </c>
      <c r="AB98" s="4">
        <v>6.6329108447997234</v>
      </c>
      <c r="AC98" s="4">
        <v>7.2716606644678601</v>
      </c>
      <c r="AD98" s="4">
        <v>5.9767354865737063</v>
      </c>
      <c r="AE98" s="4">
        <v>7.4927095852071925</v>
      </c>
      <c r="AF98" s="4">
        <v>7.8978356864278458</v>
      </c>
      <c r="AG98" s="5"/>
      <c r="AH98" s="5"/>
      <c r="AI98" s="152">
        <f t="shared" si="40"/>
        <v>138.38384760633392</v>
      </c>
      <c r="AJ98" s="152">
        <f t="shared" si="41"/>
        <v>11.099283583166226</v>
      </c>
      <c r="AK98" s="152">
        <f t="shared" si="42"/>
        <v>17.466142713993548</v>
      </c>
      <c r="AL98" s="152">
        <f t="shared" si="43"/>
        <v>19.898732534399169</v>
      </c>
      <c r="AM98" s="152">
        <f t="shared" si="44"/>
        <v>9.453158863808218</v>
      </c>
      <c r="AN98" s="152">
        <f t="shared" si="54"/>
        <v>17.93020645972112</v>
      </c>
      <c r="AO98" s="152">
        <f t="shared" si="45"/>
        <v>9.7405224607693501</v>
      </c>
      <c r="AP98" s="152">
        <f t="shared" si="46"/>
        <v>10.2671863923562</v>
      </c>
      <c r="AS98" s="152">
        <f t="shared" si="55"/>
        <v>234.23908061454773</v>
      </c>
      <c r="AT98" s="156">
        <v>1742</v>
      </c>
      <c r="AU98" s="109">
        <f t="shared" si="56"/>
        <v>0.93338212722326741</v>
      </c>
    </row>
    <row r="99" spans="1:47" x14ac:dyDescent="0.2">
      <c r="A99" s="156">
        <v>1743</v>
      </c>
      <c r="B99" s="56">
        <v>0.60712377146309149</v>
      </c>
      <c r="C99" s="56">
        <v>1.6394432956156044</v>
      </c>
      <c r="D99" s="56">
        <v>0.63270551627112592</v>
      </c>
      <c r="E99" s="57">
        <v>5.2962152978600345</v>
      </c>
      <c r="F99" s="57">
        <f t="shared" si="51"/>
        <v>7.0519516574863621</v>
      </c>
      <c r="G99" s="55">
        <f t="shared" si="53"/>
        <v>4.3986005238920542</v>
      </c>
      <c r="H99" s="55">
        <f t="shared" si="57"/>
        <v>10.227800269905535</v>
      </c>
      <c r="I99" s="55">
        <f t="shared" ref="I99:I114" si="58">I98+($I$115-$I$98)/17</f>
        <v>0.70402241532976828</v>
      </c>
      <c r="J99" s="55">
        <f t="shared" si="52"/>
        <v>5.2338580910024</v>
      </c>
      <c r="K99" s="3"/>
      <c r="L99" s="14">
        <f t="shared" si="28"/>
        <v>108.67515509189337</v>
      </c>
      <c r="M99" s="14">
        <f t="shared" si="29"/>
        <v>32.78886591231209</v>
      </c>
      <c r="N99" s="14">
        <f t="shared" si="30"/>
        <v>3.1635275813556296</v>
      </c>
      <c r="O99" s="14">
        <f t="shared" si="31"/>
        <v>15.888645893580104</v>
      </c>
      <c r="P99" s="14">
        <f t="shared" si="32"/>
        <v>9.1675371547322708</v>
      </c>
      <c r="Q99" s="14">
        <f t="shared" si="33"/>
        <v>13.195801571676164</v>
      </c>
      <c r="R99" s="14">
        <f t="shared" si="34"/>
        <v>13.296140350877195</v>
      </c>
      <c r="S99" s="14">
        <f t="shared" si="35"/>
        <v>0.91522913992869881</v>
      </c>
      <c r="T99" s="14">
        <f t="shared" si="36"/>
        <v>15.7015742730072</v>
      </c>
      <c r="V99" s="14">
        <f t="shared" si="38"/>
        <v>212.79247696936267</v>
      </c>
      <c r="W99" s="14">
        <f t="shared" si="39"/>
        <v>197.09090269635547</v>
      </c>
      <c r="X99" s="163"/>
      <c r="Y99" s="4">
        <v>0.58912659629192843</v>
      </c>
      <c r="Z99" s="4">
        <v>0.44646748227207961</v>
      </c>
      <c r="AA99" s="4">
        <v>3.355344314680714</v>
      </c>
      <c r="AB99" s="4">
        <v>5.9384653968356718</v>
      </c>
      <c r="AC99" s="4">
        <v>7.3480920352428827</v>
      </c>
      <c r="AD99" s="4"/>
      <c r="AE99" s="4">
        <v>7.1547716122959164</v>
      </c>
      <c r="AF99" s="4">
        <v>7.5452992857165482</v>
      </c>
      <c r="AG99" s="5"/>
      <c r="AH99" s="5"/>
      <c r="AI99" s="152">
        <f t="shared" si="40"/>
        <v>113.99599638248814</v>
      </c>
      <c r="AJ99" s="152">
        <f t="shared" si="41"/>
        <v>8.9293496454415919</v>
      </c>
      <c r="AK99" s="152">
        <f t="shared" si="42"/>
        <v>16.77672157340357</v>
      </c>
      <c r="AL99" s="152">
        <f t="shared" si="43"/>
        <v>17.815396190507016</v>
      </c>
      <c r="AM99" s="152">
        <f t="shared" si="44"/>
        <v>9.5525196458157478</v>
      </c>
      <c r="AN99" s="152"/>
      <c r="AO99" s="152">
        <f t="shared" si="45"/>
        <v>9.3012030959846914</v>
      </c>
      <c r="AP99" s="152">
        <f t="shared" si="46"/>
        <v>9.8088890714315138</v>
      </c>
      <c r="AS99" s="107"/>
      <c r="AT99" s="156">
        <v>1743</v>
      </c>
      <c r="AU99" s="107"/>
    </row>
    <row r="100" spans="1:47" x14ac:dyDescent="0.2">
      <c r="A100" s="156">
        <v>1744</v>
      </c>
      <c r="B100" s="56">
        <v>0.49815283812356226</v>
      </c>
      <c r="C100" s="56">
        <v>1.3115546364924835</v>
      </c>
      <c r="D100" s="56">
        <v>0.50860323886639669</v>
      </c>
      <c r="E100" s="57">
        <v>5.3660714285714279</v>
      </c>
      <c r="F100" s="57">
        <f t="shared" si="51"/>
        <v>7.1221616360683404</v>
      </c>
      <c r="G100" s="55">
        <f t="shared" si="53"/>
        <v>4.5417128017006814</v>
      </c>
      <c r="H100" s="55">
        <f t="shared" si="57"/>
        <v>10.554908906882593</v>
      </c>
      <c r="I100" s="55">
        <f t="shared" si="58"/>
        <v>0.7672114973262032</v>
      </c>
      <c r="J100" s="55">
        <f t="shared" si="52"/>
        <v>5.2183380088949765</v>
      </c>
      <c r="K100" s="3"/>
      <c r="L100" s="14">
        <f t="shared" si="28"/>
        <v>89.169358024117642</v>
      </c>
      <c r="M100" s="14">
        <f t="shared" si="29"/>
        <v>26.231092729849671</v>
      </c>
      <c r="N100" s="14">
        <f t="shared" si="30"/>
        <v>2.5430161943319836</v>
      </c>
      <c r="O100" s="14">
        <f t="shared" si="31"/>
        <v>16.098214285714285</v>
      </c>
      <c r="P100" s="14">
        <f t="shared" si="32"/>
        <v>9.258810126888843</v>
      </c>
      <c r="Q100" s="14">
        <f t="shared" si="33"/>
        <v>13.625138405102044</v>
      </c>
      <c r="R100" s="14">
        <f t="shared" si="34"/>
        <v>13.721381578947371</v>
      </c>
      <c r="S100" s="14">
        <f t="shared" si="35"/>
        <v>0.99737494652406422</v>
      </c>
      <c r="T100" s="14">
        <f t="shared" si="36"/>
        <v>15.655014026684929</v>
      </c>
      <c r="V100" s="14">
        <f t="shared" si="38"/>
        <v>187.29940031816082</v>
      </c>
      <c r="W100" s="14">
        <f t="shared" si="39"/>
        <v>171.64438629147588</v>
      </c>
      <c r="X100" s="166"/>
      <c r="Y100" s="4">
        <v>0.56776073844134778</v>
      </c>
      <c r="Z100" s="4">
        <v>0.41259586121747405</v>
      </c>
      <c r="AA100" s="4">
        <v>3.200321880759486</v>
      </c>
      <c r="AB100" s="4">
        <v>5.3830425781716462</v>
      </c>
      <c r="AC100" s="4">
        <v>7.6634685339450144</v>
      </c>
      <c r="AD100" s="4"/>
      <c r="AE100" s="4">
        <v>6.6090141168132819</v>
      </c>
      <c r="AF100" s="4">
        <v>7.7438250512355138</v>
      </c>
      <c r="AG100" s="4"/>
      <c r="AH100" s="4"/>
      <c r="AI100" s="152">
        <f t="shared" si="40"/>
        <v>109.8617028884008</v>
      </c>
      <c r="AJ100" s="152">
        <f t="shared" si="41"/>
        <v>8.2519172243494801</v>
      </c>
      <c r="AK100" s="152">
        <f t="shared" si="42"/>
        <v>16.001609403797431</v>
      </c>
      <c r="AL100" s="152">
        <f t="shared" si="43"/>
        <v>16.149127734514938</v>
      </c>
      <c r="AM100" s="152">
        <f t="shared" si="44"/>
        <v>9.962509094128519</v>
      </c>
      <c r="AN100" s="152"/>
      <c r="AO100" s="152">
        <f t="shared" si="45"/>
        <v>8.5917183518572671</v>
      </c>
      <c r="AP100" s="152">
        <f t="shared" si="46"/>
        <v>10.066972566606168</v>
      </c>
      <c r="AS100" s="107"/>
      <c r="AT100" s="156">
        <v>1744</v>
      </c>
      <c r="AU100" s="107"/>
    </row>
    <row r="101" spans="1:47" x14ac:dyDescent="0.2">
      <c r="A101" s="156">
        <v>1745</v>
      </c>
      <c r="B101" s="56">
        <v>0.44833755431120609</v>
      </c>
      <c r="C101" s="56">
        <v>0.87436975766165559</v>
      </c>
      <c r="D101" s="56">
        <v>0.50860323886639669</v>
      </c>
      <c r="E101" s="57">
        <v>5.4359275592828213</v>
      </c>
      <c r="F101" s="57">
        <f t="shared" si="51"/>
        <v>7.1923716146503187</v>
      </c>
      <c r="G101" s="109">
        <v>4.6848250795093094</v>
      </c>
      <c r="H101" s="55">
        <f t="shared" si="57"/>
        <v>10.882017543859652</v>
      </c>
      <c r="I101" s="55">
        <f t="shared" si="58"/>
        <v>0.83040057932263811</v>
      </c>
      <c r="J101" s="55">
        <f t="shared" si="52"/>
        <v>5.2028179267875529</v>
      </c>
      <c r="K101" s="3"/>
      <c r="L101" s="14">
        <f t="shared" si="28"/>
        <v>80.252422221705885</v>
      </c>
      <c r="M101" s="14">
        <f t="shared" si="29"/>
        <v>17.487395153233113</v>
      </c>
      <c r="N101" s="14">
        <f t="shared" si="30"/>
        <v>2.5430161943319836</v>
      </c>
      <c r="O101" s="14">
        <f t="shared" si="31"/>
        <v>16.307782677848465</v>
      </c>
      <c r="P101" s="14">
        <f t="shared" si="32"/>
        <v>9.3500830990454151</v>
      </c>
      <c r="Q101" s="14">
        <f t="shared" si="33"/>
        <v>14.054475238527928</v>
      </c>
      <c r="R101" s="14">
        <f t="shared" si="34"/>
        <v>14.146622807017549</v>
      </c>
      <c r="S101" s="14">
        <f t="shared" si="35"/>
        <v>1.0795207531194295</v>
      </c>
      <c r="T101" s="14">
        <f t="shared" si="36"/>
        <v>15.608453780362659</v>
      </c>
      <c r="V101" s="14">
        <f t="shared" si="38"/>
        <v>170.8297719251924</v>
      </c>
      <c r="W101" s="14">
        <f t="shared" si="39"/>
        <v>155.22131814482975</v>
      </c>
      <c r="X101" s="166"/>
      <c r="Y101" s="4">
        <v>0.64766302794948893</v>
      </c>
      <c r="Z101" s="4">
        <v>0.41139837087920372</v>
      </c>
      <c r="AA101" s="4">
        <v>3.2283747594257979</v>
      </c>
      <c r="AB101" s="4">
        <v>5.5327124742825911</v>
      </c>
      <c r="AC101" s="4">
        <v>7.1943150672082012</v>
      </c>
      <c r="AD101" s="4"/>
      <c r="AE101" s="4">
        <v>6.5268467510526218</v>
      </c>
      <c r="AF101" s="4">
        <v>7.2056843374901822</v>
      </c>
      <c r="AG101" s="4"/>
      <c r="AH101" s="4"/>
      <c r="AI101" s="152">
        <f t="shared" si="40"/>
        <v>125.32279590822611</v>
      </c>
      <c r="AJ101" s="152">
        <f t="shared" si="41"/>
        <v>8.2279674175840753</v>
      </c>
      <c r="AK101" s="152">
        <f t="shared" si="42"/>
        <v>16.141873797128991</v>
      </c>
      <c r="AL101" s="152">
        <f t="shared" si="43"/>
        <v>16.598137422847774</v>
      </c>
      <c r="AM101" s="152">
        <f t="shared" si="44"/>
        <v>9.3526095873706616</v>
      </c>
      <c r="AN101" s="152"/>
      <c r="AO101" s="152">
        <f t="shared" si="45"/>
        <v>8.4849007763684092</v>
      </c>
      <c r="AP101" s="152">
        <f t="shared" si="46"/>
        <v>9.3673896387372366</v>
      </c>
      <c r="AS101" s="107"/>
      <c r="AT101" s="156">
        <v>1745</v>
      </c>
      <c r="AU101" s="107"/>
    </row>
    <row r="102" spans="1:47" x14ac:dyDescent="0.2">
      <c r="A102" s="156">
        <v>1746</v>
      </c>
      <c r="B102" s="56">
        <v>0.57910267431864115</v>
      </c>
      <c r="C102" s="56">
        <v>0.87436975766165559</v>
      </c>
      <c r="D102" s="57">
        <v>0.69508284326763004</v>
      </c>
      <c r="E102" s="57">
        <v>5.5057836899942147</v>
      </c>
      <c r="F102" s="57">
        <f t="shared" si="51"/>
        <v>7.262581593232297</v>
      </c>
      <c r="G102" s="55">
        <f>G101+($G$103-$G$101)/2</f>
        <v>4.3522391968297214</v>
      </c>
      <c r="H102" s="55">
        <f t="shared" si="57"/>
        <v>11.20912618083671</v>
      </c>
      <c r="I102" s="55">
        <f t="shared" si="58"/>
        <v>0.89358966131907303</v>
      </c>
      <c r="J102" s="55">
        <f t="shared" si="52"/>
        <v>5.1872978446801294</v>
      </c>
      <c r="K102" s="3"/>
      <c r="L102" s="14">
        <f t="shared" si="28"/>
        <v>103.65937870303677</v>
      </c>
      <c r="M102" s="14">
        <f t="shared" si="29"/>
        <v>17.487395153233113</v>
      </c>
      <c r="N102" s="14">
        <f t="shared" si="30"/>
        <v>3.4754142163381503</v>
      </c>
      <c r="O102" s="14">
        <f t="shared" si="31"/>
        <v>16.517351069982645</v>
      </c>
      <c r="P102" s="14">
        <f t="shared" si="32"/>
        <v>9.4413560712019873</v>
      </c>
      <c r="Q102" s="14">
        <f t="shared" si="33"/>
        <v>13.056717590489164</v>
      </c>
      <c r="R102" s="14">
        <f t="shared" si="34"/>
        <v>14.571864035087724</v>
      </c>
      <c r="S102" s="14">
        <f t="shared" si="35"/>
        <v>1.161666559714795</v>
      </c>
      <c r="T102" s="14">
        <f t="shared" si="36"/>
        <v>15.561893534040388</v>
      </c>
      <c r="V102" s="14">
        <f t="shared" si="38"/>
        <v>194.93303693312475</v>
      </c>
      <c r="W102" s="14">
        <f t="shared" si="39"/>
        <v>179.37114339908436</v>
      </c>
      <c r="X102" s="166"/>
      <c r="Y102" s="4">
        <v>0.76857062533904519</v>
      </c>
      <c r="Z102" s="4">
        <v>0.39518773630299608</v>
      </c>
      <c r="AA102" s="4">
        <v>3.0469764060876874</v>
      </c>
      <c r="AB102" s="4">
        <v>5.4823953518563595</v>
      </c>
      <c r="AC102" s="4">
        <v>5.6579071177266913</v>
      </c>
      <c r="AD102" s="4">
        <v>5.9930812436637746</v>
      </c>
      <c r="AE102" s="4">
        <v>6.4084142706116038</v>
      </c>
      <c r="AF102" s="4">
        <v>6.8004318829146815</v>
      </c>
      <c r="AG102" s="4"/>
      <c r="AH102" s="4"/>
      <c r="AI102" s="152">
        <f t="shared" si="40"/>
        <v>148.71841600310523</v>
      </c>
      <c r="AJ102" s="152">
        <f t="shared" si="41"/>
        <v>7.9037547260599217</v>
      </c>
      <c r="AK102" s="152">
        <f t="shared" si="42"/>
        <v>15.234882030438436</v>
      </c>
      <c r="AL102" s="152">
        <f t="shared" si="43"/>
        <v>16.447186055569077</v>
      </c>
      <c r="AM102" s="152">
        <f t="shared" si="44"/>
        <v>7.3552792530446993</v>
      </c>
      <c r="AN102" s="152">
        <f t="shared" si="54"/>
        <v>17.979243730991325</v>
      </c>
      <c r="AO102" s="152">
        <f t="shared" si="45"/>
        <v>8.3309385517950858</v>
      </c>
      <c r="AP102" s="152">
        <f t="shared" si="46"/>
        <v>8.8405614477890868</v>
      </c>
      <c r="AS102" s="152">
        <f t="shared" si="55"/>
        <v>230.81026179879288</v>
      </c>
      <c r="AT102" s="156">
        <v>1746</v>
      </c>
      <c r="AU102" s="109">
        <f t="shared" si="56"/>
        <v>0.77713677893338129</v>
      </c>
    </row>
    <row r="103" spans="1:47" x14ac:dyDescent="0.2">
      <c r="A103" s="156">
        <v>1747</v>
      </c>
      <c r="B103" s="56">
        <v>0.51955784288668416</v>
      </c>
      <c r="C103" s="56">
        <v>0.87436975766165559</v>
      </c>
      <c r="D103" s="57">
        <v>0.88156244766886338</v>
      </c>
      <c r="E103" s="57">
        <v>5.5756398207056082</v>
      </c>
      <c r="F103" s="56">
        <v>7.3327915718142824</v>
      </c>
      <c r="G103" s="109">
        <v>4.0196533141501334</v>
      </c>
      <c r="H103" s="55">
        <f t="shared" si="57"/>
        <v>11.536234817813769</v>
      </c>
      <c r="I103" s="55">
        <f t="shared" si="58"/>
        <v>0.95677874331550794</v>
      </c>
      <c r="J103" s="55">
        <f t="shared" si="52"/>
        <v>5.1717777625727059</v>
      </c>
      <c r="K103" s="3"/>
      <c r="L103" s="14">
        <f t="shared" si="28"/>
        <v>93.000853876716462</v>
      </c>
      <c r="M103" s="14">
        <f t="shared" si="29"/>
        <v>17.487395153233113</v>
      </c>
      <c r="N103" s="14">
        <f t="shared" si="30"/>
        <v>4.4078122383443166</v>
      </c>
      <c r="O103" s="14">
        <f t="shared" si="31"/>
        <v>16.726919462116825</v>
      </c>
      <c r="P103" s="14">
        <f t="shared" si="32"/>
        <v>9.5326290433585683</v>
      </c>
      <c r="Q103" s="14">
        <f t="shared" si="33"/>
        <v>12.0589599424504</v>
      </c>
      <c r="R103" s="14">
        <f t="shared" si="34"/>
        <v>14.9971052631579</v>
      </c>
      <c r="S103" s="14">
        <f t="shared" si="35"/>
        <v>1.2438123663101603</v>
      </c>
      <c r="T103" s="14">
        <f t="shared" si="36"/>
        <v>15.515333287718118</v>
      </c>
      <c r="V103" s="14">
        <f t="shared" si="38"/>
        <v>184.97082063340585</v>
      </c>
      <c r="W103" s="14">
        <f t="shared" si="39"/>
        <v>169.45548734568774</v>
      </c>
      <c r="X103" s="166"/>
      <c r="Y103" s="4">
        <v>0.71387135892146547</v>
      </c>
      <c r="Z103" s="4">
        <v>0.37853716235620605</v>
      </c>
      <c r="AA103" s="4">
        <v>3.1396994355478496</v>
      </c>
      <c r="AB103" s="4">
        <v>6.0775304105377099</v>
      </c>
      <c r="AC103" s="4">
        <v>6.2754511206793815</v>
      </c>
      <c r="AD103" s="4"/>
      <c r="AE103" s="4">
        <v>6.040363390792864</v>
      </c>
      <c r="AF103" s="4">
        <v>6.8546307096519579</v>
      </c>
      <c r="AG103" s="4"/>
      <c r="AH103" s="4"/>
      <c r="AI103" s="152">
        <f t="shared" si="40"/>
        <v>138.13410795130358</v>
      </c>
      <c r="AJ103" s="152">
        <f t="shared" si="41"/>
        <v>7.5707432471241205</v>
      </c>
      <c r="AK103" s="152">
        <f t="shared" si="42"/>
        <v>15.698497177739249</v>
      </c>
      <c r="AL103" s="152">
        <f t="shared" si="43"/>
        <v>18.232591231613128</v>
      </c>
      <c r="AM103" s="152">
        <f t="shared" si="44"/>
        <v>8.158086456883197</v>
      </c>
      <c r="AN103" s="152"/>
      <c r="AO103" s="152">
        <f t="shared" si="45"/>
        <v>7.8524724080307235</v>
      </c>
      <c r="AP103" s="152">
        <f t="shared" si="46"/>
        <v>8.9110199225475455</v>
      </c>
      <c r="AS103" s="107"/>
      <c r="AT103" s="156">
        <v>1747</v>
      </c>
      <c r="AU103" s="107"/>
    </row>
    <row r="104" spans="1:47" x14ac:dyDescent="0.2">
      <c r="A104" s="156">
        <v>1748</v>
      </c>
      <c r="B104" s="56">
        <v>0.45184019145426235</v>
      </c>
      <c r="C104" s="56">
        <v>0.87436975766165559</v>
      </c>
      <c r="D104" s="56">
        <v>1.0680420520700966</v>
      </c>
      <c r="E104" s="56">
        <v>5.6454959514170033</v>
      </c>
      <c r="F104" s="56">
        <v>7.0287950404858286</v>
      </c>
      <c r="G104" s="109">
        <v>3.7043242128998601</v>
      </c>
      <c r="H104" s="55">
        <f t="shared" si="57"/>
        <v>11.863343454790828</v>
      </c>
      <c r="I104" s="55">
        <f t="shared" si="58"/>
        <v>1.0199678253119429</v>
      </c>
      <c r="J104" s="55">
        <f t="shared" si="52"/>
        <v>5.1562576804652824</v>
      </c>
      <c r="K104" s="3"/>
      <c r="L104" s="14">
        <f t="shared" si="28"/>
        <v>80.879394270312957</v>
      </c>
      <c r="M104" s="14">
        <f t="shared" si="29"/>
        <v>17.487395153233113</v>
      </c>
      <c r="N104" s="14">
        <f t="shared" si="30"/>
        <v>5.3402102603504833</v>
      </c>
      <c r="O104" s="14">
        <f t="shared" si="31"/>
        <v>16.936487854251009</v>
      </c>
      <c r="P104" s="14">
        <f t="shared" si="32"/>
        <v>9.1374335526315775</v>
      </c>
      <c r="Q104" s="14">
        <f t="shared" si="33"/>
        <v>11.112972638699581</v>
      </c>
      <c r="R104" s="14">
        <f t="shared" si="34"/>
        <v>15.422346491228076</v>
      </c>
      <c r="S104" s="14">
        <f t="shared" si="35"/>
        <v>1.3259581729055259</v>
      </c>
      <c r="T104" s="14">
        <f t="shared" si="36"/>
        <v>15.468773041395847</v>
      </c>
      <c r="V104" s="14">
        <f t="shared" si="38"/>
        <v>173.11097143500817</v>
      </c>
      <c r="W104" s="14">
        <f t="shared" si="39"/>
        <v>157.64219839361232</v>
      </c>
      <c r="X104" s="166"/>
      <c r="Y104" s="4">
        <v>0.76328879700959751</v>
      </c>
      <c r="Z104" s="4">
        <v>0.42091374708820783</v>
      </c>
      <c r="AA104" s="4">
        <v>3.2596628158073035</v>
      </c>
      <c r="AB104" s="4">
        <v>6.0142948829094571</v>
      </c>
      <c r="AC104" s="4">
        <v>6.6606632008070905</v>
      </c>
      <c r="AD104" s="4"/>
      <c r="AE104" s="4">
        <v>6.0508808669980736</v>
      </c>
      <c r="AF104" s="4">
        <v>6.5702187354261872</v>
      </c>
      <c r="AG104" s="4"/>
      <c r="AH104" s="4"/>
      <c r="AI104" s="152">
        <f t="shared" si="40"/>
        <v>147.69638222135711</v>
      </c>
      <c r="AJ104" s="152">
        <f t="shared" si="41"/>
        <v>8.4182749417641567</v>
      </c>
      <c r="AK104" s="152">
        <f t="shared" si="42"/>
        <v>16.298314079036519</v>
      </c>
      <c r="AL104" s="152">
        <f t="shared" si="43"/>
        <v>18.042884648728371</v>
      </c>
      <c r="AM104" s="152">
        <f t="shared" si="44"/>
        <v>8.6588621610492176</v>
      </c>
      <c r="AN104" s="152"/>
      <c r="AO104" s="152">
        <f t="shared" si="45"/>
        <v>7.8661451270974956</v>
      </c>
      <c r="AP104" s="152">
        <f t="shared" si="46"/>
        <v>8.5412843560540441</v>
      </c>
      <c r="AS104" s="107"/>
      <c r="AT104" s="156">
        <v>1748</v>
      </c>
      <c r="AU104" s="107"/>
    </row>
    <row r="105" spans="1:47" x14ac:dyDescent="0.2">
      <c r="A105" s="156">
        <v>1749</v>
      </c>
      <c r="B105" s="56">
        <v>0.72223488240075395</v>
      </c>
      <c r="C105" s="56">
        <v>0.87436975766165559</v>
      </c>
      <c r="D105" s="56">
        <v>0.71209849762132327</v>
      </c>
      <c r="E105" s="57">
        <f t="shared" ref="E105:E115" si="59">E104+($E$116-$E$104)/12</f>
        <v>5.7175480769230766</v>
      </c>
      <c r="F105" s="56">
        <v>5.9376015989340436</v>
      </c>
      <c r="G105" s="109">
        <v>3.7438900878388601</v>
      </c>
      <c r="H105" s="55">
        <f t="shared" si="57"/>
        <v>12.190452091767886</v>
      </c>
      <c r="I105" s="55">
        <f t="shared" si="58"/>
        <v>1.0831569073083778</v>
      </c>
      <c r="J105" s="55">
        <f t="shared" si="52"/>
        <v>5.1407375983578589</v>
      </c>
      <c r="K105" s="3"/>
      <c r="L105" s="14">
        <f t="shared" si="28"/>
        <v>129.28004394973496</v>
      </c>
      <c r="M105" s="14">
        <f t="shared" si="29"/>
        <v>17.487395153233113</v>
      </c>
      <c r="N105" s="14">
        <f t="shared" si="30"/>
        <v>3.5604924881066164</v>
      </c>
      <c r="O105" s="14">
        <f t="shared" si="31"/>
        <v>17.15264423076923</v>
      </c>
      <c r="P105" s="14">
        <f t="shared" si="32"/>
        <v>7.7188820786142571</v>
      </c>
      <c r="Q105" s="14">
        <f t="shared" si="33"/>
        <v>11.23167026351658</v>
      </c>
      <c r="R105" s="14">
        <f t="shared" si="34"/>
        <v>15.847587719298252</v>
      </c>
      <c r="S105" s="14">
        <f t="shared" si="35"/>
        <v>1.4081039795008912</v>
      </c>
      <c r="T105" s="14">
        <f t="shared" si="36"/>
        <v>15.422212795073577</v>
      </c>
      <c r="V105" s="14">
        <f t="shared" si="38"/>
        <v>219.10903265784742</v>
      </c>
      <c r="W105" s="14">
        <f t="shared" si="39"/>
        <v>203.68681986277386</v>
      </c>
      <c r="X105" s="166"/>
      <c r="Y105" s="4">
        <v>0.75399540134401155</v>
      </c>
      <c r="Z105" s="4">
        <v>0.47185689155025123</v>
      </c>
      <c r="AA105" s="4">
        <v>3.1315734146159415</v>
      </c>
      <c r="AB105" s="4">
        <v>5.8416186435769735</v>
      </c>
      <c r="AC105" s="4">
        <v>6.1726723656735567</v>
      </c>
      <c r="AD105" s="4"/>
      <c r="AE105" s="4">
        <v>6.3754053071921399</v>
      </c>
      <c r="AF105" s="4">
        <v>7.0551576600430286</v>
      </c>
      <c r="AG105" s="4"/>
      <c r="AH105" s="4"/>
      <c r="AI105" s="152">
        <f t="shared" si="40"/>
        <v>145.89811016006624</v>
      </c>
      <c r="AJ105" s="152">
        <f t="shared" si="41"/>
        <v>9.4371378310050247</v>
      </c>
      <c r="AK105" s="152">
        <f t="shared" si="42"/>
        <v>15.657867073079707</v>
      </c>
      <c r="AL105" s="152">
        <f t="shared" si="43"/>
        <v>17.524855930730922</v>
      </c>
      <c r="AM105" s="152">
        <f t="shared" si="44"/>
        <v>8.0244740753756236</v>
      </c>
      <c r="AN105" s="152"/>
      <c r="AO105" s="152">
        <f t="shared" si="45"/>
        <v>8.2880268993497825</v>
      </c>
      <c r="AP105" s="152">
        <f t="shared" si="46"/>
        <v>9.1717049580559369</v>
      </c>
      <c r="AS105" s="107"/>
      <c r="AT105" s="156">
        <v>1749</v>
      </c>
      <c r="AU105" s="107"/>
    </row>
    <row r="106" spans="1:47" x14ac:dyDescent="0.2">
      <c r="A106" s="156">
        <v>1750</v>
      </c>
      <c r="B106" s="56">
        <v>0.53918228286413128</v>
      </c>
      <c r="C106" s="56">
        <v>0.87436975766165559</v>
      </c>
      <c r="D106" s="56">
        <v>1.1192436835385622</v>
      </c>
      <c r="E106" s="57">
        <f t="shared" si="59"/>
        <v>5.7896002024291491</v>
      </c>
      <c r="F106" s="57">
        <f>F105+($F$107-$F$105)/2</f>
        <v>9.4789222569569009</v>
      </c>
      <c r="G106" s="55">
        <f>G105+($G$108-$G$105)/3</f>
        <v>4.1194311928921188</v>
      </c>
      <c r="H106" s="55">
        <f t="shared" si="57"/>
        <v>12.517560728744945</v>
      </c>
      <c r="I106" s="55">
        <f t="shared" si="58"/>
        <v>1.1463459893048127</v>
      </c>
      <c r="J106" s="55">
        <f t="shared" si="52"/>
        <v>5.1252175162504354</v>
      </c>
      <c r="K106" s="3"/>
      <c r="L106" s="14">
        <f t="shared" si="28"/>
        <v>96.513628632679499</v>
      </c>
      <c r="M106" s="14">
        <f t="shared" si="29"/>
        <v>17.487395153233113</v>
      </c>
      <c r="N106" s="14">
        <f t="shared" si="30"/>
        <v>5.5962184176928105</v>
      </c>
      <c r="O106" s="14">
        <f t="shared" si="31"/>
        <v>17.368800607287447</v>
      </c>
      <c r="P106" s="14">
        <f t="shared" si="32"/>
        <v>12.322598934043972</v>
      </c>
      <c r="Q106" s="14">
        <f t="shared" si="33"/>
        <v>12.358293578676356</v>
      </c>
      <c r="R106" s="14">
        <f t="shared" si="34"/>
        <v>16.272828947368428</v>
      </c>
      <c r="S106" s="14">
        <f t="shared" si="35"/>
        <v>1.4902497860962565</v>
      </c>
      <c r="T106" s="14">
        <f t="shared" si="36"/>
        <v>15.375652548751306</v>
      </c>
      <c r="V106" s="14">
        <f t="shared" si="38"/>
        <v>194.78566660582919</v>
      </c>
      <c r="W106" s="14">
        <f t="shared" si="39"/>
        <v>179.41001405707789</v>
      </c>
      <c r="X106" s="166"/>
      <c r="Y106" s="4">
        <v>0.73356332240668431</v>
      </c>
      <c r="Z106" s="4">
        <v>0.48314576438547219</v>
      </c>
      <c r="AA106" s="4">
        <v>2.988483955793789</v>
      </c>
      <c r="AB106" s="4">
        <v>5.8760195031718343</v>
      </c>
      <c r="AC106" s="4">
        <v>6.730749608701875</v>
      </c>
      <c r="AD106" s="4"/>
      <c r="AE106" s="4">
        <v>6.3297599992014533</v>
      </c>
      <c r="AF106" s="4">
        <v>6.7732605358842779</v>
      </c>
      <c r="AG106" s="4"/>
      <c r="AH106" s="4"/>
      <c r="AI106" s="152">
        <f t="shared" si="40"/>
        <v>141.94450288569342</v>
      </c>
      <c r="AJ106" s="152">
        <f t="shared" si="41"/>
        <v>9.6629152877094437</v>
      </c>
      <c r="AK106" s="152">
        <f t="shared" si="42"/>
        <v>14.942419778968945</v>
      </c>
      <c r="AL106" s="152">
        <f t="shared" si="43"/>
        <v>17.628058509515505</v>
      </c>
      <c r="AM106" s="152">
        <f t="shared" si="44"/>
        <v>8.7499744913124378</v>
      </c>
      <c r="AN106" s="152"/>
      <c r="AO106" s="152">
        <f t="shared" si="45"/>
        <v>8.22868799896189</v>
      </c>
      <c r="AP106" s="152">
        <f t="shared" si="46"/>
        <v>8.8052386966495622</v>
      </c>
      <c r="AS106" s="107"/>
      <c r="AT106" s="156">
        <v>1750</v>
      </c>
      <c r="AU106" s="107"/>
    </row>
    <row r="107" spans="1:47" x14ac:dyDescent="0.2">
      <c r="A107" s="156">
        <v>1751</v>
      </c>
      <c r="B107" s="56">
        <v>0.637997705769068</v>
      </c>
      <c r="C107" s="56">
        <v>0.87436975766165559</v>
      </c>
      <c r="D107" s="56">
        <v>1.1189271255060729</v>
      </c>
      <c r="E107" s="57">
        <f t="shared" si="59"/>
        <v>5.8616523279352215</v>
      </c>
      <c r="F107" s="56">
        <v>13.020242914979757</v>
      </c>
      <c r="G107" s="55">
        <f>G106+($G$108-$G$105)/3</f>
        <v>4.4949722979453774</v>
      </c>
      <c r="H107" s="55">
        <f t="shared" si="57"/>
        <v>12.844669365722003</v>
      </c>
      <c r="I107" s="55">
        <f t="shared" si="58"/>
        <v>1.2095350713012476</v>
      </c>
      <c r="J107" s="55">
        <f t="shared" si="52"/>
        <v>5.1096974341430119</v>
      </c>
      <c r="K107" s="3"/>
      <c r="L107" s="14">
        <f t="shared" si="28"/>
        <v>114.20158933266318</v>
      </c>
      <c r="M107" s="14">
        <f t="shared" si="29"/>
        <v>17.487395153233113</v>
      </c>
      <c r="N107" s="14">
        <f t="shared" si="30"/>
        <v>5.5946356275303639</v>
      </c>
      <c r="O107" s="14">
        <f t="shared" si="31"/>
        <v>17.584956983805665</v>
      </c>
      <c r="P107" s="14">
        <f t="shared" si="32"/>
        <v>16.926315789473684</v>
      </c>
      <c r="Q107" s="14">
        <f t="shared" si="33"/>
        <v>13.484916893836132</v>
      </c>
      <c r="R107" s="14">
        <f t="shared" si="34"/>
        <v>16.698070175438605</v>
      </c>
      <c r="S107" s="14">
        <f t="shared" si="35"/>
        <v>1.572395592691622</v>
      </c>
      <c r="T107" s="14">
        <f t="shared" si="36"/>
        <v>15.329092302429036</v>
      </c>
      <c r="V107" s="14">
        <f t="shared" si="38"/>
        <v>218.87936785110139</v>
      </c>
      <c r="W107" s="14">
        <f t="shared" si="39"/>
        <v>203.55027554867235</v>
      </c>
      <c r="X107" s="166"/>
      <c r="Y107" s="4">
        <v>0.81777540048977604</v>
      </c>
      <c r="Z107" s="4">
        <v>0.53548517341677337</v>
      </c>
      <c r="AA107" s="4">
        <v>3.0252841622925715</v>
      </c>
      <c r="AB107" s="4">
        <v>5.5014592863099319</v>
      </c>
      <c r="AC107" s="4">
        <v>5.2518811411183135</v>
      </c>
      <c r="AD107" s="4">
        <v>4.413688993220072</v>
      </c>
      <c r="AE107" s="4">
        <v>5.9513502406776189</v>
      </c>
      <c r="AF107" s="4">
        <v>7.030286020711908</v>
      </c>
      <c r="AG107" s="4"/>
      <c r="AH107" s="4"/>
      <c r="AI107" s="152">
        <f t="shared" si="40"/>
        <v>158.23953999477166</v>
      </c>
      <c r="AJ107" s="152">
        <f t="shared" si="41"/>
        <v>10.709703468335467</v>
      </c>
      <c r="AK107" s="152">
        <f t="shared" si="42"/>
        <v>15.126420811462857</v>
      </c>
      <c r="AL107" s="152">
        <f t="shared" si="43"/>
        <v>16.504377858929796</v>
      </c>
      <c r="AM107" s="152">
        <f t="shared" si="44"/>
        <v>6.8274454834538076</v>
      </c>
      <c r="AN107" s="152">
        <f t="shared" si="54"/>
        <v>13.241066979660216</v>
      </c>
      <c r="AO107" s="152">
        <f t="shared" si="45"/>
        <v>7.7367553128809048</v>
      </c>
      <c r="AP107" s="152">
        <f t="shared" si="46"/>
        <v>9.1393718269254816</v>
      </c>
      <c r="AS107" s="152">
        <f t="shared" si="55"/>
        <v>237.52468173642018</v>
      </c>
      <c r="AT107" s="156">
        <v>1751</v>
      </c>
      <c r="AU107" s="109">
        <f t="shared" si="56"/>
        <v>0.85696473335158896</v>
      </c>
    </row>
    <row r="108" spans="1:47" x14ac:dyDescent="0.2">
      <c r="A108" s="156">
        <v>1752</v>
      </c>
      <c r="B108" s="56">
        <v>0.52404701800327924</v>
      </c>
      <c r="C108" s="56">
        <v>0.87436975766165559</v>
      </c>
      <c r="D108" s="56">
        <v>1.1189493692514856</v>
      </c>
      <c r="E108" s="57">
        <f t="shared" si="59"/>
        <v>5.9337044534412939</v>
      </c>
      <c r="F108" s="56">
        <v>9.1730506462161312</v>
      </c>
      <c r="G108" s="109">
        <v>4.8705134029986361</v>
      </c>
      <c r="H108" s="55">
        <f t="shared" si="57"/>
        <v>13.171778002699062</v>
      </c>
      <c r="I108" s="55">
        <f t="shared" si="58"/>
        <v>1.2727241532976825</v>
      </c>
      <c r="J108" s="55">
        <f t="shared" si="52"/>
        <v>5.0941773520355884</v>
      </c>
      <c r="K108" s="3"/>
      <c r="L108" s="14">
        <f t="shared" si="28"/>
        <v>93.80441622258698</v>
      </c>
      <c r="M108" s="14">
        <f t="shared" si="29"/>
        <v>17.487395153233113</v>
      </c>
      <c r="N108" s="14">
        <f t="shared" si="30"/>
        <v>5.5947468462574275</v>
      </c>
      <c r="O108" s="14">
        <f t="shared" si="31"/>
        <v>17.801113360323882</v>
      </c>
      <c r="P108" s="14">
        <f t="shared" si="32"/>
        <v>11.92496584008097</v>
      </c>
      <c r="Q108" s="14">
        <f t="shared" si="33"/>
        <v>14.611540208995908</v>
      </c>
      <c r="R108" s="14">
        <f t="shared" si="34"/>
        <v>17.123311403508783</v>
      </c>
      <c r="S108" s="14">
        <f t="shared" si="35"/>
        <v>1.6545413992869873</v>
      </c>
      <c r="T108" s="14">
        <f t="shared" si="36"/>
        <v>15.282532056106765</v>
      </c>
      <c r="V108" s="14">
        <f t="shared" si="38"/>
        <v>195.28456249038078</v>
      </c>
      <c r="W108" s="14">
        <f t="shared" si="39"/>
        <v>180.00203043427402</v>
      </c>
      <c r="X108" s="166"/>
      <c r="Y108" s="4">
        <v>0.90855395979393794</v>
      </c>
      <c r="Z108" s="4">
        <v>0.51063331794782929</v>
      </c>
      <c r="AA108" s="4">
        <v>2.9569743842940439</v>
      </c>
      <c r="AB108" s="4">
        <v>5.6331620918874412</v>
      </c>
      <c r="AC108" s="4">
        <v>5.9215656278678956</v>
      </c>
      <c r="AD108" s="4"/>
      <c r="AE108" s="4">
        <v>5.1925488166364042</v>
      </c>
      <c r="AF108" s="4">
        <v>6.4220279238242259</v>
      </c>
      <c r="AG108" s="4"/>
      <c r="AH108" s="4"/>
      <c r="AI108" s="152">
        <f t="shared" si="40"/>
        <v>175.805191220127</v>
      </c>
      <c r="AJ108" s="152">
        <f t="shared" si="41"/>
        <v>10.212666358956586</v>
      </c>
      <c r="AK108" s="152">
        <f t="shared" si="42"/>
        <v>14.78487192147022</v>
      </c>
      <c r="AL108" s="152">
        <f t="shared" si="43"/>
        <v>16.899486275662323</v>
      </c>
      <c r="AM108" s="152">
        <f t="shared" si="44"/>
        <v>7.6980353162282649</v>
      </c>
      <c r="AN108" s="152"/>
      <c r="AO108" s="152">
        <f t="shared" si="45"/>
        <v>6.7503134616273259</v>
      </c>
      <c r="AP108" s="152">
        <f t="shared" si="46"/>
        <v>8.3486363009714939</v>
      </c>
      <c r="AS108" s="107"/>
      <c r="AT108" s="156">
        <v>1752</v>
      </c>
      <c r="AU108" s="107"/>
    </row>
    <row r="109" spans="1:47" x14ac:dyDescent="0.2">
      <c r="A109" s="156">
        <v>1753</v>
      </c>
      <c r="B109" s="56">
        <v>0.50994140206367322</v>
      </c>
      <c r="C109" s="56">
        <v>0.87436975766165559</v>
      </c>
      <c r="D109" s="56">
        <v>1.1189271255060729</v>
      </c>
      <c r="E109" s="57">
        <f t="shared" si="59"/>
        <v>6.0057565789473664</v>
      </c>
      <c r="F109" s="57">
        <f>F108+($F$111-$F$108)/3</f>
        <v>8.5867093584553089</v>
      </c>
      <c r="G109" s="55">
        <f>G108+($G$110-$G$108)/2</f>
        <v>4.9956056905951831</v>
      </c>
      <c r="H109" s="55">
        <f t="shared" si="57"/>
        <v>13.498886639676121</v>
      </c>
      <c r="I109" s="55">
        <f t="shared" si="58"/>
        <v>1.3359132352941174</v>
      </c>
      <c r="J109" s="55">
        <f t="shared" si="52"/>
        <v>5.0786572699281649</v>
      </c>
      <c r="K109" s="3"/>
      <c r="L109" s="14">
        <f t="shared" si="28"/>
        <v>91.279510969397506</v>
      </c>
      <c r="M109" s="14">
        <f t="shared" si="29"/>
        <v>17.487395153233113</v>
      </c>
      <c r="N109" s="14">
        <f t="shared" si="30"/>
        <v>5.5946356275303639</v>
      </c>
      <c r="O109" s="14">
        <f t="shared" si="31"/>
        <v>18.017269736842099</v>
      </c>
      <c r="P109" s="14">
        <f t="shared" si="32"/>
        <v>11.162722165991902</v>
      </c>
      <c r="Q109" s="14">
        <f t="shared" si="33"/>
        <v>14.986817071785548</v>
      </c>
      <c r="R109" s="14">
        <f t="shared" si="34"/>
        <v>17.548552631578957</v>
      </c>
      <c r="S109" s="14">
        <f t="shared" si="35"/>
        <v>1.7366872058823528</v>
      </c>
      <c r="T109" s="14">
        <f t="shared" si="36"/>
        <v>15.235971809784495</v>
      </c>
      <c r="V109" s="14">
        <f t="shared" si="38"/>
        <v>193.04956237202634</v>
      </c>
      <c r="W109" s="14">
        <f t="shared" si="39"/>
        <v>177.81359056224184</v>
      </c>
      <c r="X109" s="166"/>
      <c r="Y109" s="4">
        <v>0.89207710739615653</v>
      </c>
      <c r="Z109" s="4">
        <v>0.47331354129213449</v>
      </c>
      <c r="AA109" s="4">
        <v>2.96448958156211</v>
      </c>
      <c r="AB109" s="4">
        <v>6.0836644898728824</v>
      </c>
      <c r="AC109" s="4">
        <v>5.4781374936011709</v>
      </c>
      <c r="AD109" s="4"/>
      <c r="AE109" s="4">
        <v>5.0529284674573844</v>
      </c>
      <c r="AF109" s="4">
        <v>6.4351569800180739</v>
      </c>
      <c r="AG109" s="4"/>
      <c r="AH109" s="4"/>
      <c r="AI109" s="152">
        <f t="shared" si="40"/>
        <v>172.6169202811563</v>
      </c>
      <c r="AJ109" s="152">
        <f t="shared" si="41"/>
        <v>9.46627082584269</v>
      </c>
      <c r="AK109" s="152">
        <f t="shared" si="42"/>
        <v>14.822447907810549</v>
      </c>
      <c r="AL109" s="152">
        <f t="shared" si="43"/>
        <v>18.250993469618649</v>
      </c>
      <c r="AM109" s="152">
        <f t="shared" si="44"/>
        <v>7.1215787416815219</v>
      </c>
      <c r="AN109" s="152"/>
      <c r="AO109" s="152">
        <f t="shared" si="45"/>
        <v>6.5688070076946001</v>
      </c>
      <c r="AP109" s="152">
        <f t="shared" si="46"/>
        <v>8.3657040740234958</v>
      </c>
      <c r="AS109" s="107"/>
      <c r="AT109" s="156">
        <v>1753</v>
      </c>
      <c r="AU109" s="107"/>
    </row>
    <row r="110" spans="1:47" x14ac:dyDescent="0.2">
      <c r="A110" s="156">
        <v>1754</v>
      </c>
      <c r="B110" s="56">
        <v>0.62190105132232454</v>
      </c>
      <c r="C110" s="56">
        <v>0.87436975766165559</v>
      </c>
      <c r="D110" s="56">
        <v>1.1189404519370663</v>
      </c>
      <c r="E110" s="57">
        <f t="shared" si="59"/>
        <v>6.0778087044534388</v>
      </c>
      <c r="F110" s="57">
        <f>F109+($F$111-$F$108)/3</f>
        <v>8.0003680706944866</v>
      </c>
      <c r="G110" s="109">
        <v>5.1206979781917301</v>
      </c>
      <c r="H110" s="55">
        <f t="shared" si="57"/>
        <v>13.825995276653179</v>
      </c>
      <c r="I110" s="55">
        <f t="shared" si="58"/>
        <v>1.3991023172905523</v>
      </c>
      <c r="J110" s="55">
        <f t="shared" si="52"/>
        <v>5.0631371878207414</v>
      </c>
      <c r="K110" s="3"/>
      <c r="L110" s="14">
        <f t="shared" si="28"/>
        <v>111.32028818669609</v>
      </c>
      <c r="M110" s="14">
        <f t="shared" si="29"/>
        <v>17.487395153233113</v>
      </c>
      <c r="N110" s="14">
        <f t="shared" si="30"/>
        <v>5.5947022596853309</v>
      </c>
      <c r="O110" s="14">
        <f t="shared" si="31"/>
        <v>18.233426113360316</v>
      </c>
      <c r="P110" s="14">
        <f t="shared" si="32"/>
        <v>10.400478491902833</v>
      </c>
      <c r="Q110" s="14">
        <f t="shared" si="33"/>
        <v>15.36209393457519</v>
      </c>
      <c r="R110" s="14">
        <f t="shared" si="34"/>
        <v>17.973793859649135</v>
      </c>
      <c r="S110" s="14">
        <f t="shared" si="35"/>
        <v>1.8188330124777181</v>
      </c>
      <c r="T110" s="14">
        <f t="shared" si="36"/>
        <v>15.189411563462224</v>
      </c>
      <c r="V110" s="14">
        <f t="shared" si="38"/>
        <v>213.38042257504196</v>
      </c>
      <c r="W110" s="14">
        <f t="shared" si="39"/>
        <v>198.19101101157975</v>
      </c>
      <c r="X110" s="166"/>
      <c r="Y110" s="4">
        <v>0.77345874074944765</v>
      </c>
      <c r="Z110" s="4">
        <v>0.49755335763505038</v>
      </c>
      <c r="AA110" s="4">
        <v>3.1458264104512588</v>
      </c>
      <c r="AB110" s="4">
        <v>6.1992045291157067</v>
      </c>
      <c r="AC110" s="4">
        <v>6.2701854104568007</v>
      </c>
      <c r="AD110" s="4">
        <v>4.6586017357975198</v>
      </c>
      <c r="AE110" s="4">
        <v>6.0048034578935203</v>
      </c>
      <c r="AF110" s="4">
        <v>6.6617951545918217</v>
      </c>
      <c r="AG110" s="4"/>
      <c r="AH110" s="4"/>
      <c r="AI110" s="152">
        <f t="shared" si="40"/>
        <v>149.66426633501811</v>
      </c>
      <c r="AJ110" s="152">
        <f t="shared" si="41"/>
        <v>9.9510671527010075</v>
      </c>
      <c r="AK110" s="152">
        <f t="shared" si="42"/>
        <v>15.729132052256293</v>
      </c>
      <c r="AL110" s="152">
        <f t="shared" si="43"/>
        <v>18.597613587347119</v>
      </c>
      <c r="AM110" s="152">
        <f t="shared" si="44"/>
        <v>8.1512410335938412</v>
      </c>
      <c r="AN110" s="152">
        <f t="shared" si="54"/>
        <v>13.975805207392559</v>
      </c>
      <c r="AO110" s="152">
        <f t="shared" si="45"/>
        <v>7.806244495261577</v>
      </c>
      <c r="AP110" s="152">
        <f t="shared" si="46"/>
        <v>8.6603337009693693</v>
      </c>
      <c r="AS110" s="152">
        <f t="shared" si="55"/>
        <v>232.53570356453989</v>
      </c>
      <c r="AT110" s="156">
        <v>1754</v>
      </c>
      <c r="AU110" s="109">
        <f t="shared" si="56"/>
        <v>0.85230357305785587</v>
      </c>
    </row>
    <row r="111" spans="1:47" x14ac:dyDescent="0.2">
      <c r="A111" s="156">
        <v>1755</v>
      </c>
      <c r="B111" s="56">
        <v>0.61446417889599481</v>
      </c>
      <c r="C111" s="56">
        <v>0.87436975766165559</v>
      </c>
      <c r="D111" s="56">
        <v>0.50862102530594444</v>
      </c>
      <c r="E111" s="57">
        <f t="shared" si="59"/>
        <v>6.1498608299595112</v>
      </c>
      <c r="F111" s="56">
        <v>7.4140267829336635</v>
      </c>
      <c r="G111" s="55">
        <f>G110+($G$112-$G$110)/2</f>
        <v>5.3392783911792208</v>
      </c>
      <c r="H111" s="55">
        <f t="shared" si="57"/>
        <v>14.153103913630238</v>
      </c>
      <c r="I111" s="55">
        <f t="shared" si="58"/>
        <v>1.4622913992869873</v>
      </c>
      <c r="J111" s="55">
        <f t="shared" si="52"/>
        <v>5.0476171057133179</v>
      </c>
      <c r="K111" s="3"/>
      <c r="L111" s="14">
        <f t="shared" si="28"/>
        <v>109.98908802238307</v>
      </c>
      <c r="M111" s="14">
        <f t="shared" si="29"/>
        <v>17.487395153233113</v>
      </c>
      <c r="N111" s="14">
        <f t="shared" si="30"/>
        <v>2.5431051265297224</v>
      </c>
      <c r="O111" s="14">
        <f t="shared" si="31"/>
        <v>18.449582489878534</v>
      </c>
      <c r="P111" s="14">
        <f t="shared" si="32"/>
        <v>9.6382348178137622</v>
      </c>
      <c r="Q111" s="14">
        <f t="shared" si="33"/>
        <v>16.017835173537662</v>
      </c>
      <c r="R111" s="14">
        <f t="shared" si="34"/>
        <v>18.399035087719309</v>
      </c>
      <c r="S111" s="14">
        <f t="shared" si="35"/>
        <v>1.9009788190730834</v>
      </c>
      <c r="T111" s="14">
        <f t="shared" si="36"/>
        <v>15.142851317139954</v>
      </c>
      <c r="V111" s="14">
        <f t="shared" si="38"/>
        <v>209.56810600730822</v>
      </c>
      <c r="W111" s="14">
        <f t="shared" si="39"/>
        <v>194.42525469016826</v>
      </c>
      <c r="X111" s="166"/>
      <c r="Y111" s="4">
        <v>0.72780121369463258</v>
      </c>
      <c r="Z111" s="4">
        <v>0.4656742836279576</v>
      </c>
      <c r="AA111" s="4">
        <v>3.2659191867550779</v>
      </c>
      <c r="AB111" s="4">
        <v>6.416389698440697</v>
      </c>
      <c r="AC111" s="4">
        <v>6.5148523709070174</v>
      </c>
      <c r="AD111" s="4"/>
      <c r="AE111" s="4">
        <v>6.8956608429416892</v>
      </c>
      <c r="AF111" s="4">
        <v>6.4859974592341754</v>
      </c>
      <c r="AG111" s="4"/>
      <c r="AH111" s="4"/>
      <c r="AI111" s="152">
        <f t="shared" si="40"/>
        <v>140.8295348499114</v>
      </c>
      <c r="AJ111" s="152">
        <f t="shared" si="41"/>
        <v>9.3134856725591515</v>
      </c>
      <c r="AK111" s="152">
        <f t="shared" si="42"/>
        <v>16.329595933775391</v>
      </c>
      <c r="AL111" s="152">
        <f t="shared" si="43"/>
        <v>19.249169095322092</v>
      </c>
      <c r="AM111" s="152">
        <f t="shared" si="44"/>
        <v>8.4693080821791238</v>
      </c>
      <c r="AN111" s="152"/>
      <c r="AO111" s="152">
        <f t="shared" si="45"/>
        <v>8.9643590958241965</v>
      </c>
      <c r="AP111" s="152">
        <f t="shared" si="46"/>
        <v>8.4317966970044278</v>
      </c>
      <c r="AS111" s="107"/>
      <c r="AT111" s="156">
        <v>1755</v>
      </c>
      <c r="AU111" s="107"/>
    </row>
    <row r="112" spans="1:47" x14ac:dyDescent="0.2">
      <c r="A112" s="156">
        <v>1756</v>
      </c>
      <c r="B112" s="56">
        <v>0.6118050987770659</v>
      </c>
      <c r="C112" s="56">
        <v>0.87436975766165559</v>
      </c>
      <c r="D112" s="56">
        <v>0.50857308154419889</v>
      </c>
      <c r="E112" s="57">
        <f t="shared" si="59"/>
        <v>6.2219129554655837</v>
      </c>
      <c r="F112" s="56">
        <v>8.2515789473684205</v>
      </c>
      <c r="G112" s="109">
        <v>5.5578588041667114</v>
      </c>
      <c r="H112" s="55">
        <f t="shared" si="57"/>
        <v>14.480212550607297</v>
      </c>
      <c r="I112" s="55">
        <f t="shared" si="58"/>
        <v>1.5254804812834222</v>
      </c>
      <c r="J112" s="55">
        <f t="shared" si="52"/>
        <v>5.0320970236058944</v>
      </c>
      <c r="K112" s="3"/>
      <c r="L112" s="14">
        <f t="shared" si="28"/>
        <v>109.5131126810948</v>
      </c>
      <c r="M112" s="14">
        <f t="shared" si="29"/>
        <v>17.487395153233113</v>
      </c>
      <c r="N112" s="14">
        <f t="shared" si="30"/>
        <v>2.5428654077209947</v>
      </c>
      <c r="O112" s="14">
        <f t="shared" si="31"/>
        <v>18.665738866396751</v>
      </c>
      <c r="P112" s="14">
        <f t="shared" si="32"/>
        <v>10.727052631578948</v>
      </c>
      <c r="Q112" s="14">
        <f t="shared" si="33"/>
        <v>16.673576412500132</v>
      </c>
      <c r="R112" s="14">
        <f t="shared" si="34"/>
        <v>18.824276315789486</v>
      </c>
      <c r="S112" s="14">
        <f t="shared" si="35"/>
        <v>1.9831246256684489</v>
      </c>
      <c r="T112" s="14">
        <f t="shared" si="36"/>
        <v>15.096291070817683</v>
      </c>
      <c r="V112" s="14">
        <f t="shared" si="38"/>
        <v>211.51343316480032</v>
      </c>
      <c r="W112" s="14">
        <f t="shared" si="39"/>
        <v>196.41714209398265</v>
      </c>
      <c r="X112" s="166"/>
      <c r="Y112" s="4">
        <v>0.91076183764198382</v>
      </c>
      <c r="Z112" s="4">
        <v>0.52732703099849498</v>
      </c>
      <c r="AA112" s="4">
        <v>3.2725278567311515</v>
      </c>
      <c r="AB112" s="4">
        <v>6.3131710124023481</v>
      </c>
      <c r="AC112" s="4">
        <v>6.8740471056771932</v>
      </c>
      <c r="AD112" s="4"/>
      <c r="AE112" s="4">
        <v>6.736980524420642</v>
      </c>
      <c r="AF112" s="4">
        <v>6.7480602745010438</v>
      </c>
      <c r="AG112" s="4"/>
      <c r="AH112" s="4"/>
      <c r="AI112" s="152">
        <f t="shared" si="40"/>
        <v>176.23241558372388</v>
      </c>
      <c r="AJ112" s="152">
        <f t="shared" si="41"/>
        <v>10.5465406199699</v>
      </c>
      <c r="AK112" s="152">
        <f t="shared" si="42"/>
        <v>16.362639283655756</v>
      </c>
      <c r="AL112" s="152">
        <f t="shared" si="43"/>
        <v>18.939513037207043</v>
      </c>
      <c r="AM112" s="152">
        <f t="shared" si="44"/>
        <v>8.9362612373803518</v>
      </c>
      <c r="AN112" s="152"/>
      <c r="AO112" s="152">
        <f t="shared" si="45"/>
        <v>8.7580746817468356</v>
      </c>
      <c r="AP112" s="152">
        <f t="shared" si="46"/>
        <v>8.7724783568513569</v>
      </c>
      <c r="AS112" s="107"/>
      <c r="AT112" s="156">
        <v>1756</v>
      </c>
      <c r="AU112" s="107"/>
    </row>
    <row r="113" spans="1:48" x14ac:dyDescent="0.2">
      <c r="A113" s="156">
        <v>1757</v>
      </c>
      <c r="B113" s="56">
        <v>0.60573819820525554</v>
      </c>
      <c r="C113" s="56">
        <v>0.87436975766165559</v>
      </c>
      <c r="D113" s="56">
        <v>0.50862584847914916</v>
      </c>
      <c r="E113" s="57">
        <f t="shared" si="59"/>
        <v>6.2939650809716561</v>
      </c>
      <c r="F113" s="56">
        <v>9.6665538461538425</v>
      </c>
      <c r="G113" s="109">
        <v>4.5305520090753939</v>
      </c>
      <c r="H113" s="55">
        <f t="shared" si="57"/>
        <v>14.807321187584355</v>
      </c>
      <c r="I113" s="55">
        <f t="shared" si="58"/>
        <v>1.5886695632798571</v>
      </c>
      <c r="J113" s="55">
        <f t="shared" si="52"/>
        <v>5.0165769414984709</v>
      </c>
      <c r="K113" s="3"/>
      <c r="L113" s="14">
        <f t="shared" si="28"/>
        <v>108.42713747874075</v>
      </c>
      <c r="M113" s="14">
        <f t="shared" si="29"/>
        <v>17.487395153233113</v>
      </c>
      <c r="N113" s="14">
        <f t="shared" si="30"/>
        <v>2.5431292423957457</v>
      </c>
      <c r="O113" s="14">
        <f t="shared" si="31"/>
        <v>18.881895242914968</v>
      </c>
      <c r="P113" s="14">
        <f t="shared" si="32"/>
        <v>12.566519999999995</v>
      </c>
      <c r="Q113" s="14">
        <f t="shared" si="33"/>
        <v>13.591656027226183</v>
      </c>
      <c r="R113" s="14">
        <f t="shared" si="34"/>
        <v>19.249517543859664</v>
      </c>
      <c r="S113" s="14">
        <f t="shared" si="35"/>
        <v>2.0652704322638145</v>
      </c>
      <c r="T113" s="14">
        <f t="shared" si="36"/>
        <v>15.049730824495413</v>
      </c>
      <c r="V113" s="14">
        <f t="shared" si="38"/>
        <v>209.86225194512963</v>
      </c>
      <c r="W113" s="14">
        <f t="shared" si="39"/>
        <v>194.81252112063422</v>
      </c>
      <c r="X113" s="166"/>
      <c r="Y113" s="4">
        <v>1.2971114247118891</v>
      </c>
      <c r="Z113" s="4">
        <v>0.69270108056832569</v>
      </c>
      <c r="AA113" s="4">
        <v>3.3214265947282571</v>
      </c>
      <c r="AB113" s="4">
        <v>6.4153576243139341</v>
      </c>
      <c r="AC113" s="4">
        <v>6.5680480496419262</v>
      </c>
      <c r="AD113" s="4">
        <v>4.4729994836104883</v>
      </c>
      <c r="AE113" s="4">
        <v>6.6833709122037988</v>
      </c>
      <c r="AF113" s="4">
        <v>6.773349721503978</v>
      </c>
      <c r="AG113" s="4"/>
      <c r="AH113" s="4"/>
      <c r="AI113" s="152">
        <f t="shared" si="40"/>
        <v>250.99106068175055</v>
      </c>
      <c r="AJ113" s="152">
        <f t="shared" si="41"/>
        <v>13.854021611366514</v>
      </c>
      <c r="AK113" s="152">
        <f t="shared" si="42"/>
        <v>16.607132973641285</v>
      </c>
      <c r="AL113" s="152">
        <f t="shared" si="43"/>
        <v>19.246072872941802</v>
      </c>
      <c r="AM113" s="152">
        <f t="shared" si="44"/>
        <v>8.5384624645345042</v>
      </c>
      <c r="AN113" s="152">
        <f t="shared" si="54"/>
        <v>13.418998450831465</v>
      </c>
      <c r="AO113" s="152">
        <f t="shared" si="45"/>
        <v>8.6883821858649384</v>
      </c>
      <c r="AP113" s="152">
        <f t="shared" si="46"/>
        <v>8.8053546379551708</v>
      </c>
      <c r="AS113" s="152">
        <f t="shared" si="55"/>
        <v>340.14948587888625</v>
      </c>
      <c r="AT113" s="156">
        <v>1757</v>
      </c>
      <c r="AU113" s="109">
        <f t="shared" si="56"/>
        <v>0.57272619600547992</v>
      </c>
    </row>
    <row r="114" spans="1:48" x14ac:dyDescent="0.2">
      <c r="A114" s="156">
        <v>1758</v>
      </c>
      <c r="B114" s="56">
        <v>0.6094513359419883</v>
      </c>
      <c r="C114" s="56">
        <v>0.87436975766165559</v>
      </c>
      <c r="D114" s="57">
        <v>0.50858917692769223</v>
      </c>
      <c r="E114" s="57">
        <f t="shared" si="59"/>
        <v>6.3660172064777285</v>
      </c>
      <c r="F114" s="56">
        <v>7.4739545129792795</v>
      </c>
      <c r="G114" s="109">
        <v>4.9574335370279092</v>
      </c>
      <c r="H114" s="55">
        <f t="shared" si="57"/>
        <v>15.134429824561414</v>
      </c>
      <c r="I114" s="55">
        <f t="shared" si="58"/>
        <v>1.651858645276292</v>
      </c>
      <c r="J114" s="55">
        <f t="shared" si="52"/>
        <v>5.0010568593910474</v>
      </c>
      <c r="K114" s="3"/>
      <c r="L114" s="14">
        <f t="shared" si="28"/>
        <v>109.0917891336159</v>
      </c>
      <c r="M114" s="14">
        <f t="shared" si="29"/>
        <v>17.487395153233113</v>
      </c>
      <c r="N114" s="14">
        <f t="shared" si="30"/>
        <v>2.5429458846384612</v>
      </c>
      <c r="O114" s="14">
        <f t="shared" si="31"/>
        <v>19.098051619433186</v>
      </c>
      <c r="P114" s="14">
        <f t="shared" si="32"/>
        <v>9.7161408668730633</v>
      </c>
      <c r="Q114" s="14">
        <f t="shared" si="33"/>
        <v>14.872300611083727</v>
      </c>
      <c r="R114" s="14">
        <f t="shared" si="34"/>
        <v>19.674758771929838</v>
      </c>
      <c r="S114" s="14">
        <f t="shared" si="35"/>
        <v>2.1474162388591798</v>
      </c>
      <c r="T114" s="14">
        <f t="shared" si="36"/>
        <v>15.003170578173142</v>
      </c>
      <c r="V114" s="14">
        <f t="shared" si="38"/>
        <v>209.63396885783965</v>
      </c>
      <c r="W114" s="14">
        <f t="shared" si="39"/>
        <v>194.63079827966649</v>
      </c>
      <c r="X114" s="166"/>
      <c r="Y114" s="4">
        <v>1.0014153088808178</v>
      </c>
      <c r="Z114" s="4">
        <v>0.59601751965375127</v>
      </c>
      <c r="AA114" s="4">
        <v>3.334640524837392</v>
      </c>
      <c r="AB114" s="4">
        <v>6.3339891916580227</v>
      </c>
      <c r="AC114" s="4">
        <v>6.0914502210208914</v>
      </c>
      <c r="AD114" s="4">
        <v>4.4868670928646699</v>
      </c>
      <c r="AE114" s="4">
        <v>6.1931446884246126</v>
      </c>
      <c r="AF114" s="4">
        <v>8.007593272805444</v>
      </c>
      <c r="AG114" s="4"/>
      <c r="AH114" s="4"/>
      <c r="AI114" s="152">
        <f t="shared" si="40"/>
        <v>193.77386226843822</v>
      </c>
      <c r="AJ114" s="152">
        <f t="shared" si="41"/>
        <v>11.920350393075026</v>
      </c>
      <c r="AK114" s="152">
        <f t="shared" si="42"/>
        <v>16.67320262418696</v>
      </c>
      <c r="AL114" s="152">
        <f t="shared" si="43"/>
        <v>19.001967574974067</v>
      </c>
      <c r="AM114" s="152">
        <f t="shared" si="44"/>
        <v>7.9188852873271589</v>
      </c>
      <c r="AN114" s="152">
        <f t="shared" si="54"/>
        <v>13.460601278594009</v>
      </c>
      <c r="AO114" s="152">
        <f t="shared" si="45"/>
        <v>8.0510880949519965</v>
      </c>
      <c r="AP114" s="152">
        <f t="shared" si="46"/>
        <v>10.409871254647078</v>
      </c>
      <c r="AS114" s="152">
        <f t="shared" si="55"/>
        <v>281.20982877619451</v>
      </c>
      <c r="AT114" s="156">
        <v>1758</v>
      </c>
      <c r="AU114" s="109">
        <f t="shared" si="56"/>
        <v>0.6921194722342604</v>
      </c>
    </row>
    <row r="115" spans="1:48" x14ac:dyDescent="0.2">
      <c r="A115" s="156">
        <v>1759</v>
      </c>
      <c r="B115" s="56">
        <v>0.52312067913034466</v>
      </c>
      <c r="C115" s="56">
        <v>0.87436975766165559</v>
      </c>
      <c r="D115" s="56">
        <v>0.50855250537623542</v>
      </c>
      <c r="E115" s="57">
        <f t="shared" si="59"/>
        <v>6.4380693319838009</v>
      </c>
      <c r="F115" s="56">
        <v>8.3090850202429145</v>
      </c>
      <c r="G115" s="109">
        <v>4.9348235338737076</v>
      </c>
      <c r="H115" s="109">
        <v>15.46153846153846</v>
      </c>
      <c r="I115" s="113">
        <v>1.7150477272727274</v>
      </c>
      <c r="J115" s="55">
        <f t="shared" si="52"/>
        <v>4.9855367772836239</v>
      </c>
      <c r="K115" s="3"/>
      <c r="L115" s="14">
        <f t="shared" si="28"/>
        <v>93.638601564331694</v>
      </c>
      <c r="M115" s="14">
        <f t="shared" si="29"/>
        <v>17.487395153233113</v>
      </c>
      <c r="N115" s="14">
        <f t="shared" si="30"/>
        <v>2.5427625268811771</v>
      </c>
      <c r="O115" s="14">
        <f t="shared" si="31"/>
        <v>19.314207995951403</v>
      </c>
      <c r="P115" s="14">
        <f t="shared" si="32"/>
        <v>10.801810526315789</v>
      </c>
      <c r="Q115" s="14">
        <f t="shared" si="33"/>
        <v>14.804470601621123</v>
      </c>
      <c r="R115" s="14">
        <f t="shared" si="34"/>
        <v>20.099999999999998</v>
      </c>
      <c r="S115" s="14">
        <f t="shared" si="35"/>
        <v>2.2295620454545455</v>
      </c>
      <c r="T115" s="14">
        <f t="shared" si="36"/>
        <v>14.956610331850872</v>
      </c>
      <c r="V115" s="14">
        <f t="shared" si="38"/>
        <v>195.8754207456397</v>
      </c>
      <c r="W115" s="14">
        <f t="shared" si="39"/>
        <v>180.91881041378883</v>
      </c>
      <c r="X115" s="166"/>
      <c r="Y115" s="4">
        <v>0.73802019186777068</v>
      </c>
      <c r="Z115" s="4">
        <v>0.44850537205302193</v>
      </c>
      <c r="AA115" s="4">
        <v>3.1587218948516607</v>
      </c>
      <c r="AB115" s="4">
        <v>6.2213681286422329</v>
      </c>
      <c r="AC115" s="4">
        <v>6.3294274518896385</v>
      </c>
      <c r="AD115" s="4"/>
      <c r="AE115" s="4">
        <v>6.1761529777356676</v>
      </c>
      <c r="AF115" s="4">
        <v>6.6310545431859023</v>
      </c>
      <c r="AG115" s="4"/>
      <c r="AH115" s="4"/>
      <c r="AI115" s="152">
        <f t="shared" si="40"/>
        <v>142.80690712641362</v>
      </c>
      <c r="AJ115" s="152">
        <f t="shared" si="41"/>
        <v>8.9701074410604384</v>
      </c>
      <c r="AK115" s="152">
        <f t="shared" si="42"/>
        <v>15.793609474258304</v>
      </c>
      <c r="AL115" s="152">
        <f t="shared" si="43"/>
        <v>18.664104385926699</v>
      </c>
      <c r="AM115" s="152">
        <f t="shared" si="44"/>
        <v>8.2282556874565298</v>
      </c>
      <c r="AN115" s="152"/>
      <c r="AO115" s="152">
        <f t="shared" si="45"/>
        <v>8.028998871056368</v>
      </c>
      <c r="AP115" s="152">
        <f t="shared" si="46"/>
        <v>8.6203709061416731</v>
      </c>
      <c r="AS115" s="107"/>
      <c r="AT115" s="156">
        <v>1759</v>
      </c>
      <c r="AU115" s="107"/>
    </row>
    <row r="116" spans="1:48" x14ac:dyDescent="0.2">
      <c r="A116" s="156">
        <v>1760</v>
      </c>
      <c r="B116" s="56">
        <v>0.6072649220057158</v>
      </c>
      <c r="C116" s="56">
        <v>0.87436975766165559</v>
      </c>
      <c r="D116" s="56">
        <v>0.60262506750830203</v>
      </c>
      <c r="E116" s="56">
        <v>6.5101214574898778</v>
      </c>
      <c r="F116" s="56">
        <v>9.847643724696356</v>
      </c>
      <c r="G116" s="55">
        <f>G115+($G$118-$G$115)/3</f>
        <v>5.0479260729998794</v>
      </c>
      <c r="H116" s="55">
        <f>H115+($H$120-$H$115)/5</f>
        <v>15.084493927125504</v>
      </c>
      <c r="I116" s="55">
        <f>I115+($I$120-$I$115)/5</f>
        <v>1.5869074449760767</v>
      </c>
      <c r="J116" s="55">
        <f t="shared" si="52"/>
        <v>4.9700166951762004</v>
      </c>
      <c r="K116" s="3"/>
      <c r="L116" s="14">
        <f t="shared" si="28"/>
        <v>108.70042103902313</v>
      </c>
      <c r="M116" s="14">
        <f t="shared" si="29"/>
        <v>17.487395153233113</v>
      </c>
      <c r="N116" s="14">
        <f t="shared" si="30"/>
        <v>3.0131253375415099</v>
      </c>
      <c r="O116" s="14">
        <f t="shared" si="31"/>
        <v>19.530364372469634</v>
      </c>
      <c r="P116" s="14">
        <f t="shared" si="32"/>
        <v>12.801936842105263</v>
      </c>
      <c r="Q116" s="14">
        <f t="shared" si="33"/>
        <v>15.143778218999639</v>
      </c>
      <c r="R116" s="14">
        <f t="shared" si="34"/>
        <v>19.609842105263155</v>
      </c>
      <c r="S116" s="14">
        <f t="shared" si="35"/>
        <v>2.0629796784688996</v>
      </c>
      <c r="T116" s="14">
        <f t="shared" si="36"/>
        <v>14.910050085528601</v>
      </c>
      <c r="V116" s="14">
        <f t="shared" si="38"/>
        <v>213.25989283263291</v>
      </c>
      <c r="W116" s="14">
        <f t="shared" si="39"/>
        <v>198.3498427471043</v>
      </c>
      <c r="X116" s="166"/>
      <c r="Y116" s="4">
        <v>0.67943374696080738</v>
      </c>
      <c r="Z116" s="4">
        <v>0.46768182377299433</v>
      </c>
      <c r="AA116" s="4">
        <v>3.1129039106165641</v>
      </c>
      <c r="AB116" s="4">
        <v>6.5891765133041629</v>
      </c>
      <c r="AC116" s="4">
        <v>6.276580487681148</v>
      </c>
      <c r="AD116" s="4"/>
      <c r="AE116" s="4">
        <v>6.3351856820620052</v>
      </c>
      <c r="AF116" s="4">
        <v>6.6670360413993306</v>
      </c>
      <c r="AG116" s="4"/>
      <c r="AH116" s="4"/>
      <c r="AI116" s="152">
        <f t="shared" si="40"/>
        <v>131.47043003691624</v>
      </c>
      <c r="AJ116" s="152">
        <f t="shared" si="41"/>
        <v>9.3536364754598864</v>
      </c>
      <c r="AK116" s="152">
        <f t="shared" si="42"/>
        <v>15.564519553082821</v>
      </c>
      <c r="AL116" s="152">
        <f t="shared" si="43"/>
        <v>19.767529539912488</v>
      </c>
      <c r="AM116" s="152">
        <f t="shared" si="44"/>
        <v>8.1595546339854934</v>
      </c>
      <c r="AN116" s="152"/>
      <c r="AO116" s="152">
        <f t="shared" si="45"/>
        <v>8.2357413866806066</v>
      </c>
      <c r="AP116" s="152">
        <f t="shared" si="46"/>
        <v>8.6671468538191299</v>
      </c>
      <c r="AS116" s="107"/>
      <c r="AT116" s="156">
        <v>1760</v>
      </c>
      <c r="AU116" s="107"/>
    </row>
    <row r="117" spans="1:48" x14ac:dyDescent="0.2">
      <c r="A117" s="156">
        <v>1761</v>
      </c>
      <c r="B117" s="56">
        <v>0.60268446574911827</v>
      </c>
      <c r="C117" s="56">
        <v>0.87436975766165559</v>
      </c>
      <c r="D117" s="56">
        <v>0.61186979314078971</v>
      </c>
      <c r="E117" s="56">
        <v>9.8375168690958148</v>
      </c>
      <c r="F117" s="57">
        <f>F116+($F$118-$F$116)/2</f>
        <v>9.0996258927352933</v>
      </c>
      <c r="G117" s="55">
        <f>G116+($G$118-$G$115)/3</f>
        <v>5.1610286121260511</v>
      </c>
      <c r="H117" s="55">
        <f>H116+($H$120-$H$115)/5</f>
        <v>14.707449392712547</v>
      </c>
      <c r="I117" s="55">
        <f>I116+($I$120-$I$115)/5</f>
        <v>1.4587671626794261</v>
      </c>
      <c r="J117" s="55">
        <f t="shared" si="52"/>
        <v>4.9544966130687769</v>
      </c>
      <c r="K117" s="3"/>
      <c r="L117" s="14">
        <f t="shared" si="28"/>
        <v>107.88051936909217</v>
      </c>
      <c r="M117" s="14">
        <f t="shared" si="29"/>
        <v>17.487395153233113</v>
      </c>
      <c r="N117" s="14">
        <f t="shared" si="30"/>
        <v>3.0593489657039488</v>
      </c>
      <c r="O117" s="14">
        <f t="shared" si="31"/>
        <v>29.512550607287444</v>
      </c>
      <c r="P117" s="14">
        <f t="shared" si="32"/>
        <v>11.829513660555882</v>
      </c>
      <c r="Q117" s="14">
        <f t="shared" si="33"/>
        <v>15.483085836378153</v>
      </c>
      <c r="R117" s="14">
        <f t="shared" si="34"/>
        <v>19.119684210526312</v>
      </c>
      <c r="S117" s="14">
        <f t="shared" si="35"/>
        <v>1.896397311483254</v>
      </c>
      <c r="T117" s="14">
        <f t="shared" si="36"/>
        <v>14.863489839206331</v>
      </c>
      <c r="V117" s="14">
        <f t="shared" si="38"/>
        <v>221.1319849534666</v>
      </c>
      <c r="W117" s="14">
        <f t="shared" si="39"/>
        <v>206.26849511426028</v>
      </c>
      <c r="X117" s="166"/>
      <c r="Y117" s="4">
        <v>0.64457141640207372</v>
      </c>
      <c r="Z117" s="4">
        <v>0.45399950149449286</v>
      </c>
      <c r="AA117" s="4">
        <v>3.0641583240669861</v>
      </c>
      <c r="AB117" s="4">
        <v>5.9498337601687146</v>
      </c>
      <c r="AC117" s="4">
        <v>6.5441480504381877</v>
      </c>
      <c r="AD117" s="4"/>
      <c r="AE117" s="4">
        <v>6.5219409469609806</v>
      </c>
      <c r="AF117" s="4">
        <v>7.670350321598745</v>
      </c>
      <c r="AG117" s="4"/>
      <c r="AH117" s="4"/>
      <c r="AI117" s="152">
        <f t="shared" si="40"/>
        <v>124.72456907380126</v>
      </c>
      <c r="AJ117" s="152">
        <f t="shared" si="41"/>
        <v>9.0799900298898564</v>
      </c>
      <c r="AK117" s="152">
        <f t="shared" si="42"/>
        <v>15.32079162033493</v>
      </c>
      <c r="AL117" s="152">
        <f t="shared" si="43"/>
        <v>17.849501280506143</v>
      </c>
      <c r="AM117" s="152">
        <f t="shared" si="44"/>
        <v>8.5073924655696445</v>
      </c>
      <c r="AN117" s="152"/>
      <c r="AO117" s="152">
        <f t="shared" si="45"/>
        <v>8.4785232310492749</v>
      </c>
      <c r="AP117" s="152">
        <f t="shared" si="46"/>
        <v>9.971455418078369</v>
      </c>
      <c r="AS117" s="107"/>
      <c r="AT117" s="156">
        <v>1761</v>
      </c>
      <c r="AU117" s="107"/>
    </row>
    <row r="118" spans="1:48" x14ac:dyDescent="0.2">
      <c r="A118" s="156">
        <v>1762</v>
      </c>
      <c r="B118" s="56">
        <v>0.41748315045790674</v>
      </c>
      <c r="C118" s="56">
        <v>0.87436975766165559</v>
      </c>
      <c r="D118" s="56">
        <v>0.61044320704762123</v>
      </c>
      <c r="E118" s="56">
        <v>9.7651821862348154</v>
      </c>
      <c r="F118" s="56">
        <v>8.3516080607742325</v>
      </c>
      <c r="G118" s="109">
        <v>5.274131151252222</v>
      </c>
      <c r="H118" s="55">
        <f>H117+($H$120-$H$115)/5</f>
        <v>14.330404858299591</v>
      </c>
      <c r="I118" s="55">
        <f>I117+($I$120-$I$115)/5</f>
        <v>1.3306268803827754</v>
      </c>
      <c r="J118" s="55">
        <f t="shared" ref="J118:J134" si="60">J117+($J$135-$J$85)/50</f>
        <v>4.9389765309613534</v>
      </c>
      <c r="K118" s="3"/>
      <c r="L118" s="14">
        <f t="shared" si="28"/>
        <v>74.729483931965305</v>
      </c>
      <c r="M118" s="14">
        <f t="shared" si="29"/>
        <v>17.487395153233113</v>
      </c>
      <c r="N118" s="14">
        <f t="shared" si="30"/>
        <v>3.0522160352381063</v>
      </c>
      <c r="O118" s="14">
        <f t="shared" si="31"/>
        <v>29.295546558704444</v>
      </c>
      <c r="P118" s="14">
        <f t="shared" si="32"/>
        <v>10.857090479006503</v>
      </c>
      <c r="Q118" s="14">
        <f t="shared" si="33"/>
        <v>15.822393453756666</v>
      </c>
      <c r="R118" s="14">
        <f t="shared" si="34"/>
        <v>18.629526315789469</v>
      </c>
      <c r="S118" s="14">
        <f t="shared" si="35"/>
        <v>1.7298149444976081</v>
      </c>
      <c r="T118" s="14">
        <f t="shared" si="36"/>
        <v>14.81692959288406</v>
      </c>
      <c r="V118" s="14">
        <f t="shared" si="38"/>
        <v>186.42039646507527</v>
      </c>
      <c r="W118" s="14">
        <f t="shared" si="39"/>
        <v>171.60346687219121</v>
      </c>
      <c r="X118" s="166"/>
      <c r="Y118" s="4">
        <v>0.78247153809943792</v>
      </c>
      <c r="Z118" s="4">
        <v>0.5190260234780808</v>
      </c>
      <c r="AA118" s="4">
        <v>3.0851023897818597</v>
      </c>
      <c r="AB118" s="4">
        <v>6.1924772165495634</v>
      </c>
      <c r="AC118" s="4">
        <v>6.6851332722129548</v>
      </c>
      <c r="AD118" s="4">
        <v>4.3464510760219426</v>
      </c>
      <c r="AE118" s="4">
        <v>6.6468559032673733</v>
      </c>
      <c r="AF118" s="4">
        <v>6.1140060443327169</v>
      </c>
      <c r="AG118" s="4"/>
      <c r="AH118" s="4"/>
      <c r="AI118" s="152">
        <f t="shared" si="40"/>
        <v>151.40824262224123</v>
      </c>
      <c r="AJ118" s="152">
        <f t="shared" si="41"/>
        <v>10.380520469561617</v>
      </c>
      <c r="AK118" s="152">
        <f t="shared" si="42"/>
        <v>15.425511948909298</v>
      </c>
      <c r="AL118" s="152">
        <f t="shared" si="43"/>
        <v>18.577431649648691</v>
      </c>
      <c r="AM118" s="152">
        <f t="shared" si="44"/>
        <v>8.6906732538768416</v>
      </c>
      <c r="AN118" s="152">
        <f t="shared" si="54"/>
        <v>13.039353228065828</v>
      </c>
      <c r="AO118" s="152">
        <f t="shared" si="45"/>
        <v>8.6409126742475859</v>
      </c>
      <c r="AP118" s="152">
        <f t="shared" si="46"/>
        <v>7.9482078576325321</v>
      </c>
      <c r="AS118" s="152">
        <f t="shared" si="55"/>
        <v>234.11085370418363</v>
      </c>
      <c r="AT118" s="156">
        <v>1762</v>
      </c>
      <c r="AU118" s="109">
        <f t="shared" si="56"/>
        <v>0.73300090173958732</v>
      </c>
    </row>
    <row r="119" spans="1:48" x14ac:dyDescent="0.2">
      <c r="A119" s="156">
        <v>1763</v>
      </c>
      <c r="B119" s="56">
        <v>0.60506785820796427</v>
      </c>
      <c r="C119" s="56">
        <v>0.87436975766165559</v>
      </c>
      <c r="D119" s="56">
        <v>0.61032388663967596</v>
      </c>
      <c r="E119" s="56">
        <v>7.3238866396761129</v>
      </c>
      <c r="F119" s="57">
        <f>F118+($F$120-$F$118)/2</f>
        <v>8.6330957414461409</v>
      </c>
      <c r="G119" s="109">
        <v>5.1331897737010479</v>
      </c>
      <c r="H119" s="55">
        <f>H118+($H$120-$H$115)/5</f>
        <v>13.953360323886635</v>
      </c>
      <c r="I119" s="55">
        <f>I118+($I$120-$I$115)/5</f>
        <v>1.2024865980861248</v>
      </c>
      <c r="J119" s="55">
        <f t="shared" si="60"/>
        <v>4.9234564488539299</v>
      </c>
      <c r="K119" s="3"/>
      <c r="L119" s="14">
        <f t="shared" si="28"/>
        <v>108.30714661922561</v>
      </c>
      <c r="M119" s="14">
        <f t="shared" si="29"/>
        <v>17.487395153233113</v>
      </c>
      <c r="N119" s="14">
        <f t="shared" si="30"/>
        <v>3.0516194331983799</v>
      </c>
      <c r="O119" s="14">
        <f t="shared" si="31"/>
        <v>21.97165991902834</v>
      </c>
      <c r="P119" s="14">
        <f t="shared" si="32"/>
        <v>11.223024463879984</v>
      </c>
      <c r="Q119" s="14">
        <f t="shared" si="33"/>
        <v>15.399569321103144</v>
      </c>
      <c r="R119" s="14">
        <f t="shared" si="34"/>
        <v>18.139368421052627</v>
      </c>
      <c r="S119" s="14">
        <f t="shared" si="35"/>
        <v>1.5632325775119622</v>
      </c>
      <c r="T119" s="14">
        <f t="shared" si="36"/>
        <v>14.77036934656179</v>
      </c>
      <c r="V119" s="14">
        <f t="shared" si="38"/>
        <v>211.91338525479497</v>
      </c>
      <c r="W119" s="14">
        <f t="shared" si="39"/>
        <v>197.1430159082332</v>
      </c>
      <c r="X119" s="166"/>
      <c r="Y119" s="4">
        <v>0.83758292493509878</v>
      </c>
      <c r="Z119" s="4">
        <v>0.66169369230574226</v>
      </c>
      <c r="AA119" s="4">
        <v>3.1660494211164063</v>
      </c>
      <c r="AB119" s="4">
        <v>6.0742767467270333</v>
      </c>
      <c r="AC119" s="4">
        <v>5.8503756408398466</v>
      </c>
      <c r="AD119" s="4">
        <v>3.7598850775525712</v>
      </c>
      <c r="AE119" s="4">
        <v>6.319465749581954</v>
      </c>
      <c r="AF119" s="4">
        <v>6.2670198398457142</v>
      </c>
      <c r="AG119" s="4"/>
      <c r="AH119" s="4"/>
      <c r="AI119" s="152">
        <f t="shared" si="40"/>
        <v>162.07229597494162</v>
      </c>
      <c r="AJ119" s="152">
        <f t="shared" si="41"/>
        <v>13.233873846114845</v>
      </c>
      <c r="AK119" s="152">
        <f t="shared" si="42"/>
        <v>15.830247105582032</v>
      </c>
      <c r="AL119" s="152">
        <f t="shared" si="43"/>
        <v>18.2228302401811</v>
      </c>
      <c r="AM119" s="152">
        <f t="shared" si="44"/>
        <v>7.6054883330918006</v>
      </c>
      <c r="AN119" s="152">
        <f t="shared" si="54"/>
        <v>11.279655232657714</v>
      </c>
      <c r="AO119" s="152">
        <f t="shared" si="45"/>
        <v>8.2153054744565406</v>
      </c>
      <c r="AP119" s="152">
        <f t="shared" si="46"/>
        <v>8.1471257917994286</v>
      </c>
      <c r="AS119" s="152">
        <f t="shared" si="55"/>
        <v>244.6068219988251</v>
      </c>
      <c r="AT119" s="156">
        <v>1763</v>
      </c>
      <c r="AU119" s="109">
        <f t="shared" si="56"/>
        <v>0.80595878028773915</v>
      </c>
    </row>
    <row r="120" spans="1:48" x14ac:dyDescent="0.2">
      <c r="A120" s="156">
        <v>1764</v>
      </c>
      <c r="B120" s="56">
        <v>0.62429494883780512</v>
      </c>
      <c r="C120" s="56">
        <v>0.87436975766165559</v>
      </c>
      <c r="D120" s="56">
        <v>0.71214004675828235</v>
      </c>
      <c r="E120" s="56">
        <v>6.5101214574898778</v>
      </c>
      <c r="F120" s="56">
        <v>8.9145834221180476</v>
      </c>
      <c r="G120" s="109">
        <v>4.8055484710359879</v>
      </c>
      <c r="H120" s="109">
        <v>13.576315789473682</v>
      </c>
      <c r="I120" s="99">
        <v>1.0743463157894737</v>
      </c>
      <c r="J120" s="55">
        <f t="shared" si="60"/>
        <v>4.9079363667465064</v>
      </c>
      <c r="K120" s="3"/>
      <c r="L120" s="14">
        <f t="shared" si="28"/>
        <v>111.74879584196712</v>
      </c>
      <c r="M120" s="14">
        <f t="shared" si="29"/>
        <v>17.487395153233113</v>
      </c>
      <c r="N120" s="14">
        <f t="shared" si="30"/>
        <v>3.5607002337914118</v>
      </c>
      <c r="O120" s="14">
        <f t="shared" si="31"/>
        <v>19.530364372469634</v>
      </c>
      <c r="P120" s="14">
        <f t="shared" si="32"/>
        <v>11.588958448753463</v>
      </c>
      <c r="Q120" s="14">
        <f t="shared" si="33"/>
        <v>14.416645413107965</v>
      </c>
      <c r="R120" s="14">
        <f t="shared" si="34"/>
        <v>17.649210526315787</v>
      </c>
      <c r="S120" s="14">
        <f t="shared" si="35"/>
        <v>1.3966502105263159</v>
      </c>
      <c r="T120" s="14">
        <f t="shared" si="36"/>
        <v>14.723809100239519</v>
      </c>
      <c r="V120" s="14">
        <f t="shared" si="38"/>
        <v>212.10252930040431</v>
      </c>
      <c r="W120" s="14">
        <f t="shared" si="39"/>
        <v>197.37872020016479</v>
      </c>
      <c r="X120" s="166"/>
      <c r="Y120" s="4">
        <v>1.0252488149786017</v>
      </c>
      <c r="Z120" s="4">
        <v>0.6360702945172837</v>
      </c>
      <c r="AA120" s="4">
        <v>3.4278419911664906</v>
      </c>
      <c r="AB120" s="4">
        <v>6.1073518261653001</v>
      </c>
      <c r="AC120" s="4">
        <v>6.8413234932423137</v>
      </c>
      <c r="AD120" s="4">
        <v>4.5805584694039689</v>
      </c>
      <c r="AE120" s="4">
        <v>6.3539013246319458</v>
      </c>
      <c r="AF120" s="4">
        <v>5.8408788398359031</v>
      </c>
      <c r="AG120" s="4"/>
      <c r="AH120" s="4"/>
      <c r="AI120" s="152">
        <f t="shared" si="40"/>
        <v>198.38564569835941</v>
      </c>
      <c r="AJ120" s="152">
        <f t="shared" si="41"/>
        <v>12.721405890345673</v>
      </c>
      <c r="AK120" s="152">
        <f t="shared" si="42"/>
        <v>17.139209955832452</v>
      </c>
      <c r="AL120" s="152">
        <f t="shared" si="43"/>
        <v>18.322055478495901</v>
      </c>
      <c r="AM120" s="152">
        <f t="shared" si="44"/>
        <v>8.8937205412150089</v>
      </c>
      <c r="AN120" s="152">
        <f t="shared" si="54"/>
        <v>13.741675408211908</v>
      </c>
      <c r="AO120" s="152">
        <f t="shared" si="45"/>
        <v>8.2600717220215305</v>
      </c>
      <c r="AP120" s="152">
        <f t="shared" si="46"/>
        <v>7.5931424917866739</v>
      </c>
      <c r="AS120" s="152">
        <f t="shared" si="55"/>
        <v>285.05692718626858</v>
      </c>
      <c r="AT120" s="156">
        <v>1764</v>
      </c>
      <c r="AU120" s="109">
        <f t="shared" si="56"/>
        <v>0.69241860616559925</v>
      </c>
      <c r="AV120" s="109">
        <f>AVERAGE(AU118:AU122)</f>
        <v>0.70027333595594754</v>
      </c>
    </row>
    <row r="121" spans="1:48" x14ac:dyDescent="0.2">
      <c r="A121" s="156">
        <v>1765</v>
      </c>
      <c r="B121" s="56">
        <v>0.65168744403016909</v>
      </c>
      <c r="C121" s="56">
        <v>0.87436975766165559</v>
      </c>
      <c r="D121" s="56">
        <v>0.81376518218623473</v>
      </c>
      <c r="E121" s="57">
        <v>6.5698380566801609</v>
      </c>
      <c r="F121" s="56">
        <v>7.7127956345713775</v>
      </c>
      <c r="G121" s="109">
        <v>5.0688419243988889</v>
      </c>
      <c r="H121" s="55">
        <f t="shared" ref="H121:H127" si="61">H120+($H$128-$H$120)/8</f>
        <v>13.757073774179036</v>
      </c>
      <c r="I121" s="55">
        <f>I120+($I$125-$I$120)/5</f>
        <v>1.2095320354494483</v>
      </c>
      <c r="J121" s="55">
        <f t="shared" si="60"/>
        <v>4.8924162846390828</v>
      </c>
      <c r="K121" s="3"/>
      <c r="L121" s="14">
        <f t="shared" si="28"/>
        <v>116.65205248140026</v>
      </c>
      <c r="M121" s="14">
        <f t="shared" si="29"/>
        <v>17.487395153233113</v>
      </c>
      <c r="N121" s="14">
        <f t="shared" si="30"/>
        <v>4.0688259109311735</v>
      </c>
      <c r="O121" s="14">
        <f t="shared" si="31"/>
        <v>19.709514170040482</v>
      </c>
      <c r="P121" s="14">
        <f t="shared" si="32"/>
        <v>10.02663432494279</v>
      </c>
      <c r="Q121" s="14">
        <f t="shared" si="33"/>
        <v>15.206525773196667</v>
      </c>
      <c r="R121" s="14">
        <f t="shared" si="34"/>
        <v>17.884195906432748</v>
      </c>
      <c r="S121" s="14">
        <f t="shared" si="35"/>
        <v>1.5723916460842828</v>
      </c>
      <c r="T121" s="14">
        <f t="shared" si="36"/>
        <v>14.677248853917249</v>
      </c>
      <c r="V121" s="14">
        <f t="shared" si="38"/>
        <v>217.28478422017872</v>
      </c>
      <c r="W121" s="14">
        <f t="shared" si="39"/>
        <v>202.60753536626146</v>
      </c>
      <c r="X121" s="166"/>
      <c r="Y121" s="4">
        <v>1.1055324478162452</v>
      </c>
      <c r="Z121" s="4">
        <v>0.61060595068785861</v>
      </c>
      <c r="AA121" s="4">
        <v>3.3398224562735654</v>
      </c>
      <c r="AB121" s="4">
        <v>6.3668701434769703</v>
      </c>
      <c r="AC121" s="4">
        <v>7.1739753907925428</v>
      </c>
      <c r="AD121" s="4">
        <v>4.8979001376738802</v>
      </c>
      <c r="AE121" s="4">
        <v>6.2275858193850322</v>
      </c>
      <c r="AF121" s="4">
        <v>6.2548678367670298</v>
      </c>
      <c r="AG121" s="4"/>
      <c r="AH121" s="4"/>
      <c r="AI121" s="152">
        <f t="shared" si="40"/>
        <v>213.92052865244344</v>
      </c>
      <c r="AJ121" s="152">
        <f t="shared" si="41"/>
        <v>12.212119013757173</v>
      </c>
      <c r="AK121" s="152">
        <f t="shared" si="42"/>
        <v>16.699112281367828</v>
      </c>
      <c r="AL121" s="152">
        <f t="shared" si="43"/>
        <v>19.100610430430912</v>
      </c>
      <c r="AM121" s="152">
        <f t="shared" si="44"/>
        <v>9.3261680080303062</v>
      </c>
      <c r="AN121" s="152">
        <f t="shared" si="54"/>
        <v>14.693700413021642</v>
      </c>
      <c r="AO121" s="152">
        <f t="shared" si="45"/>
        <v>8.0958615652005417</v>
      </c>
      <c r="AP121" s="152">
        <f t="shared" si="46"/>
        <v>8.1313281877971395</v>
      </c>
      <c r="AS121" s="152">
        <f t="shared" si="55"/>
        <v>302.17942855204899</v>
      </c>
      <c r="AT121" s="156">
        <v>1765</v>
      </c>
      <c r="AU121" s="109">
        <f t="shared" si="56"/>
        <v>0.67048751907796811</v>
      </c>
      <c r="AV121" s="109">
        <f t="shared" ref="AV121:AV184" si="62">AVERAGE(AU119:AU123)</f>
        <v>0.66809469775219166</v>
      </c>
    </row>
    <row r="122" spans="1:48" x14ac:dyDescent="0.2">
      <c r="A122" s="156">
        <v>1766</v>
      </c>
      <c r="B122" s="56">
        <v>0.47297907291404656</v>
      </c>
      <c r="C122" s="56">
        <v>0.87436975766165559</v>
      </c>
      <c r="D122" s="56">
        <v>0.81376518218623473</v>
      </c>
      <c r="E122" s="57">
        <v>6.6295546558704439</v>
      </c>
      <c r="F122" s="57">
        <f>F121+($F$123-$F$121)/2</f>
        <v>7.9164601031779327</v>
      </c>
      <c r="G122" s="109">
        <v>4.7366190569873705</v>
      </c>
      <c r="H122" s="55">
        <f t="shared" si="61"/>
        <v>13.937831758884389</v>
      </c>
      <c r="I122" s="55">
        <f>I121+($I$125-$I$120)/5</f>
        <v>1.3447177551094229</v>
      </c>
      <c r="J122" s="55">
        <f t="shared" si="60"/>
        <v>4.8768962025316593</v>
      </c>
      <c r="K122" s="3"/>
      <c r="L122" s="14">
        <f t="shared" si="28"/>
        <v>84.663254051614331</v>
      </c>
      <c r="M122" s="14">
        <f t="shared" si="29"/>
        <v>17.487395153233113</v>
      </c>
      <c r="N122" s="14">
        <f t="shared" si="30"/>
        <v>4.0688259109311735</v>
      </c>
      <c r="O122" s="14">
        <f t="shared" si="31"/>
        <v>19.888663967611333</v>
      </c>
      <c r="P122" s="14">
        <f t="shared" si="32"/>
        <v>10.291398134131313</v>
      </c>
      <c r="Q122" s="14">
        <f t="shared" si="33"/>
        <v>14.209857170962112</v>
      </c>
      <c r="R122" s="14">
        <f t="shared" si="34"/>
        <v>18.119181286549708</v>
      </c>
      <c r="S122" s="14">
        <f t="shared" si="35"/>
        <v>1.7481330816422498</v>
      </c>
      <c r="T122" s="14">
        <f t="shared" si="36"/>
        <v>14.630688607594978</v>
      </c>
      <c r="V122" s="14">
        <f t="shared" si="38"/>
        <v>185.1073973642703</v>
      </c>
      <c r="W122" s="14">
        <f t="shared" si="39"/>
        <v>170.47670875667532</v>
      </c>
      <c r="X122" s="166"/>
      <c r="Y122" s="4">
        <v>1.0146034297334334</v>
      </c>
      <c r="Z122" s="4">
        <v>0.6658228074588598</v>
      </c>
      <c r="AA122" s="4">
        <v>3.5272812961646665</v>
      </c>
      <c r="AB122" s="4">
        <v>5.9706020007286336</v>
      </c>
      <c r="AC122" s="4">
        <v>6.4278473707369663</v>
      </c>
      <c r="AD122" s="4">
        <v>4.9716313431835504</v>
      </c>
      <c r="AE122" s="4">
        <v>6.4281032041533752</v>
      </c>
      <c r="AF122" s="4">
        <v>5.8048789885677072</v>
      </c>
      <c r="AG122" s="4"/>
      <c r="AH122" s="4"/>
      <c r="AI122" s="152">
        <f t="shared" si="40"/>
        <v>196.32576365341936</v>
      </c>
      <c r="AJ122" s="152">
        <f t="shared" si="41"/>
        <v>13.316456149177196</v>
      </c>
      <c r="AK122" s="152">
        <f t="shared" si="42"/>
        <v>17.636406480823332</v>
      </c>
      <c r="AL122" s="152">
        <f t="shared" si="43"/>
        <v>17.911806002185902</v>
      </c>
      <c r="AM122" s="152">
        <f t="shared" si="44"/>
        <v>8.3562015819580573</v>
      </c>
      <c r="AN122" s="152">
        <f t="shared" si="54"/>
        <v>14.914894029550652</v>
      </c>
      <c r="AO122" s="152">
        <f t="shared" si="45"/>
        <v>8.3565341653993883</v>
      </c>
      <c r="AP122" s="152">
        <f t="shared" si="46"/>
        <v>7.5463426851380193</v>
      </c>
      <c r="AS122" s="152">
        <f t="shared" si="55"/>
        <v>284.36440474765192</v>
      </c>
      <c r="AT122" s="156">
        <v>1766</v>
      </c>
      <c r="AU122" s="109">
        <f t="shared" si="56"/>
        <v>0.59950087250884376</v>
      </c>
      <c r="AV122" s="109">
        <f t="shared" si="62"/>
        <v>0.62625094615135946</v>
      </c>
    </row>
    <row r="123" spans="1:48" x14ac:dyDescent="0.2">
      <c r="A123" s="156">
        <v>1767</v>
      </c>
      <c r="B123" s="56">
        <v>0.61022288619067755</v>
      </c>
      <c r="C123" s="56">
        <v>0.87436975766165559</v>
      </c>
      <c r="D123" s="56">
        <v>0.81376518218623461</v>
      </c>
      <c r="E123" s="57">
        <v>6.689271255060727</v>
      </c>
      <c r="F123" s="56">
        <v>8.1201245717844888</v>
      </c>
      <c r="G123" s="109">
        <v>4.365170648678145</v>
      </c>
      <c r="H123" s="55">
        <f t="shared" si="61"/>
        <v>14.118589743589743</v>
      </c>
      <c r="I123" s="55">
        <f>I122+($I$125-$I$120)/5</f>
        <v>1.4799034747693975</v>
      </c>
      <c r="J123" s="55">
        <f t="shared" si="60"/>
        <v>4.8613761204242358</v>
      </c>
      <c r="K123" s="3"/>
      <c r="L123" s="14">
        <f t="shared" si="28"/>
        <v>109.22989662813129</v>
      </c>
      <c r="M123" s="14">
        <f t="shared" si="29"/>
        <v>17.487395153233113</v>
      </c>
      <c r="N123" s="14">
        <f t="shared" si="30"/>
        <v>4.0688259109311726</v>
      </c>
      <c r="O123" s="14">
        <f t="shared" si="31"/>
        <v>20.06781376518218</v>
      </c>
      <c r="P123" s="14">
        <f t="shared" si="32"/>
        <v>10.556161943319836</v>
      </c>
      <c r="Q123" s="14">
        <f t="shared" si="33"/>
        <v>13.095511946034435</v>
      </c>
      <c r="R123" s="14">
        <f t="shared" si="34"/>
        <v>18.354166666666668</v>
      </c>
      <c r="S123" s="14">
        <f t="shared" si="35"/>
        <v>1.923874517200217</v>
      </c>
      <c r="T123" s="14">
        <f t="shared" si="36"/>
        <v>14.584128361272708</v>
      </c>
      <c r="V123" s="14">
        <f t="shared" si="38"/>
        <v>209.36777489197161</v>
      </c>
      <c r="W123" s="14">
        <f t="shared" si="39"/>
        <v>194.78364653069889</v>
      </c>
      <c r="X123" s="166"/>
      <c r="Y123" s="4">
        <v>1.3008457883061852</v>
      </c>
      <c r="Z123" s="4">
        <v>0.61046344405159481</v>
      </c>
      <c r="AA123" s="4">
        <v>3.7922679201033698</v>
      </c>
      <c r="AB123" s="4">
        <v>5.9908517224377427</v>
      </c>
      <c r="AC123" s="4">
        <v>7.3316642457508925</v>
      </c>
      <c r="AD123" s="4">
        <v>4.5916041778333563</v>
      </c>
      <c r="AE123" s="4">
        <v>6.7428678801671236</v>
      </c>
      <c r="AF123" s="4">
        <v>5.7986237310369235</v>
      </c>
      <c r="AG123" s="4"/>
      <c r="AH123" s="4"/>
      <c r="AI123" s="152">
        <f t="shared" si="40"/>
        <v>251.71366003724685</v>
      </c>
      <c r="AJ123" s="152">
        <f t="shared" si="41"/>
        <v>12.209268881031896</v>
      </c>
      <c r="AK123" s="152">
        <f t="shared" si="42"/>
        <v>18.961339600516848</v>
      </c>
      <c r="AL123" s="152">
        <f t="shared" si="43"/>
        <v>17.972555167313228</v>
      </c>
      <c r="AM123" s="152">
        <f t="shared" si="44"/>
        <v>9.531163519476161</v>
      </c>
      <c r="AN123" s="152">
        <f t="shared" si="54"/>
        <v>13.774812533500068</v>
      </c>
      <c r="AO123" s="152">
        <f t="shared" si="45"/>
        <v>8.7657282442172608</v>
      </c>
      <c r="AP123" s="152">
        <f t="shared" si="46"/>
        <v>7.5382108503480012</v>
      </c>
      <c r="AS123" s="152">
        <f t="shared" si="55"/>
        <v>340.46673883365025</v>
      </c>
      <c r="AT123" s="156">
        <v>1767</v>
      </c>
      <c r="AU123" s="109">
        <f t="shared" si="56"/>
        <v>0.57210771072080802</v>
      </c>
      <c r="AV123" s="109">
        <f t="shared" si="62"/>
        <v>0.64518943020938291</v>
      </c>
    </row>
    <row r="124" spans="1:48" x14ac:dyDescent="0.2">
      <c r="A124" s="156">
        <v>1768</v>
      </c>
      <c r="B124" s="56">
        <v>0.60735301461497759</v>
      </c>
      <c r="C124" s="56">
        <v>0.87436975766165559</v>
      </c>
      <c r="D124" s="56">
        <v>0.81376518218623461</v>
      </c>
      <c r="E124" s="57">
        <v>6.74898785425101</v>
      </c>
      <c r="F124" s="56">
        <v>7.6717712550607287</v>
      </c>
      <c r="G124" s="109">
        <v>4.4379476654638097</v>
      </c>
      <c r="H124" s="55">
        <f t="shared" si="61"/>
        <v>14.299347728295096</v>
      </c>
      <c r="I124" s="55">
        <f>I123+($I$125-$I$120)/5</f>
        <v>1.6150891944293722</v>
      </c>
      <c r="J124" s="55">
        <f t="shared" si="60"/>
        <v>4.8458560383168123</v>
      </c>
      <c r="K124" s="3"/>
      <c r="L124" s="14">
        <f t="shared" si="28"/>
        <v>108.716189616081</v>
      </c>
      <c r="M124" s="14">
        <f t="shared" si="29"/>
        <v>17.487395153233113</v>
      </c>
      <c r="N124" s="14">
        <f t="shared" si="30"/>
        <v>4.0688259109311726</v>
      </c>
      <c r="O124" s="14">
        <f t="shared" si="31"/>
        <v>20.246963562753031</v>
      </c>
      <c r="P124" s="14">
        <f t="shared" si="32"/>
        <v>9.9733026315789477</v>
      </c>
      <c r="Q124" s="14">
        <f t="shared" si="33"/>
        <v>13.313842996391429</v>
      </c>
      <c r="R124" s="14">
        <f t="shared" si="34"/>
        <v>18.589152046783624</v>
      </c>
      <c r="S124" s="14">
        <f t="shared" si="35"/>
        <v>2.0996159527581839</v>
      </c>
      <c r="T124" s="14">
        <f t="shared" si="36"/>
        <v>14.537568114950437</v>
      </c>
      <c r="V124" s="14">
        <f t="shared" si="38"/>
        <v>209.03285598546091</v>
      </c>
      <c r="W124" s="14">
        <f t="shared" si="39"/>
        <v>194.49528787051048</v>
      </c>
      <c r="X124" s="166"/>
      <c r="Y124" s="4">
        <v>1.2362545318288432</v>
      </c>
      <c r="Z124" s="4">
        <v>0.54763610449694933</v>
      </c>
      <c r="AA124" s="4">
        <v>3.8047102794937095</v>
      </c>
      <c r="AB124" s="4">
        <v>5.7923333281311518</v>
      </c>
      <c r="AC124" s="4">
        <v>6.9780056075127694</v>
      </c>
      <c r="AD124" s="4">
        <v>4.7911993558584784</v>
      </c>
      <c r="AE124" s="4">
        <v>6.9620707132111388</v>
      </c>
      <c r="AF124" s="4">
        <v>5.2811253637071447</v>
      </c>
      <c r="AG124" s="4"/>
      <c r="AH124" s="4"/>
      <c r="AI124" s="152">
        <f t="shared" si="40"/>
        <v>239.21525190888116</v>
      </c>
      <c r="AJ124" s="152">
        <f t="shared" si="41"/>
        <v>10.952722089938987</v>
      </c>
      <c r="AK124" s="152">
        <f t="shared" si="42"/>
        <v>19.023551397468548</v>
      </c>
      <c r="AL124" s="152">
        <f t="shared" si="43"/>
        <v>17.376999984393457</v>
      </c>
      <c r="AM124" s="152">
        <f t="shared" si="44"/>
        <v>9.0714072897666007</v>
      </c>
      <c r="AN124" s="152">
        <f t="shared" si="54"/>
        <v>14.373598067575436</v>
      </c>
      <c r="AO124" s="152">
        <f t="shared" si="45"/>
        <v>9.0506919271744799</v>
      </c>
      <c r="AP124" s="152">
        <f t="shared" si="46"/>
        <v>6.8654629728192882</v>
      </c>
      <c r="AS124" s="152">
        <f t="shared" si="55"/>
        <v>325.92968563801793</v>
      </c>
      <c r="AT124" s="156">
        <v>1768</v>
      </c>
      <c r="AU124" s="109">
        <f t="shared" si="56"/>
        <v>0.59674002228357825</v>
      </c>
      <c r="AV124" s="109">
        <f t="shared" si="62"/>
        <v>0.66620344697868816</v>
      </c>
    </row>
    <row r="125" spans="1:48" x14ac:dyDescent="0.2">
      <c r="A125" s="156">
        <v>1769</v>
      </c>
      <c r="B125" s="56">
        <v>0.72687507998736833</v>
      </c>
      <c r="C125" s="56">
        <v>0.87436975766165559</v>
      </c>
      <c r="D125" s="56">
        <v>0.97267206477732793</v>
      </c>
      <c r="E125" s="56">
        <v>6.8087044534412939</v>
      </c>
      <c r="F125" s="57">
        <f>F124+($F$126-$F$124)/2</f>
        <v>8.2761336032388666</v>
      </c>
      <c r="G125" s="55">
        <f>G124+($G$126-$G$124)/2</f>
        <v>5.0682799244564354</v>
      </c>
      <c r="H125" s="55">
        <f t="shared" si="61"/>
        <v>14.48010571300045</v>
      </c>
      <c r="I125" s="113">
        <v>1.7502749140893472</v>
      </c>
      <c r="J125" s="55">
        <f t="shared" si="60"/>
        <v>4.8303359562093888</v>
      </c>
      <c r="K125" s="3"/>
      <c r="L125" s="14">
        <f t="shared" si="28"/>
        <v>130.11063931773893</v>
      </c>
      <c r="M125" s="14">
        <f t="shared" si="29"/>
        <v>17.487395153233113</v>
      </c>
      <c r="N125" s="14">
        <f t="shared" si="30"/>
        <v>4.8633603238866394</v>
      </c>
      <c r="O125" s="14">
        <f t="shared" si="31"/>
        <v>20.426113360323882</v>
      </c>
      <c r="P125" s="14">
        <f t="shared" si="32"/>
        <v>10.758973684210527</v>
      </c>
      <c r="Q125" s="14">
        <f t="shared" si="33"/>
        <v>15.204839773369306</v>
      </c>
      <c r="R125" s="14">
        <f t="shared" si="34"/>
        <v>18.824137426900585</v>
      </c>
      <c r="S125" s="14">
        <f t="shared" si="35"/>
        <v>2.2753573883161513</v>
      </c>
      <c r="T125" s="14">
        <f t="shared" si="36"/>
        <v>14.491007868628166</v>
      </c>
      <c r="V125" s="14">
        <f t="shared" si="38"/>
        <v>234.44182429660731</v>
      </c>
      <c r="W125" s="14">
        <f t="shared" si="39"/>
        <v>219.95081642797913</v>
      </c>
      <c r="X125" s="163"/>
      <c r="Y125" s="4">
        <v>0.99493187111928627</v>
      </c>
      <c r="Z125" s="4">
        <v>0.57707701839002024</v>
      </c>
      <c r="AA125" s="4">
        <v>3.6328176569839719</v>
      </c>
      <c r="AB125" s="4">
        <v>5.9283855106154748</v>
      </c>
      <c r="AC125" s="4">
        <v>6.8178137859718468</v>
      </c>
      <c r="AD125" s="4">
        <v>4.8037702694133477</v>
      </c>
      <c r="AE125" s="4">
        <v>6.7736471300442131</v>
      </c>
      <c r="AF125" s="4">
        <v>5.654105547949178</v>
      </c>
      <c r="AG125" s="5"/>
      <c r="AH125" s="5"/>
      <c r="AI125" s="152">
        <f t="shared" si="40"/>
        <v>192.51931706158189</v>
      </c>
      <c r="AJ125" s="152">
        <f t="shared" si="41"/>
        <v>11.541540367800405</v>
      </c>
      <c r="AK125" s="152">
        <f t="shared" si="42"/>
        <v>18.16408828491986</v>
      </c>
      <c r="AL125" s="152">
        <f t="shared" si="43"/>
        <v>17.785156531846425</v>
      </c>
      <c r="AM125" s="152">
        <f t="shared" si="44"/>
        <v>8.8631579217634009</v>
      </c>
      <c r="AN125" s="152">
        <f t="shared" si="54"/>
        <v>14.411310808240042</v>
      </c>
      <c r="AO125" s="152">
        <f t="shared" si="45"/>
        <v>8.8057412690574779</v>
      </c>
      <c r="AP125" s="152">
        <f t="shared" si="46"/>
        <v>7.3503372123339314</v>
      </c>
      <c r="AS125" s="152">
        <f t="shared" si="55"/>
        <v>279.44064945754343</v>
      </c>
      <c r="AT125" s="156">
        <v>1769</v>
      </c>
      <c r="AU125" s="109">
        <f t="shared" si="56"/>
        <v>0.78711102645571673</v>
      </c>
      <c r="AV125" s="109">
        <f t="shared" si="62"/>
        <v>0.65315931912630276</v>
      </c>
    </row>
    <row r="126" spans="1:48" x14ac:dyDescent="0.2">
      <c r="A126" s="156">
        <v>1770</v>
      </c>
      <c r="B126" s="56">
        <v>0.6625205503992414</v>
      </c>
      <c r="C126" s="56">
        <v>0.80150561118985109</v>
      </c>
      <c r="D126" s="56">
        <v>0.55725253748160752</v>
      </c>
      <c r="E126" s="57">
        <f t="shared" ref="E126:E138" si="63">E125+($E$139-$E$125)/14</f>
        <v>6.5853307119282825</v>
      </c>
      <c r="F126" s="56">
        <v>8.8804959514170037</v>
      </c>
      <c r="G126" s="109">
        <v>5.6986121834490602</v>
      </c>
      <c r="H126" s="55">
        <f t="shared" si="61"/>
        <v>14.660863697705803</v>
      </c>
      <c r="I126" s="55">
        <f>I125+($I$128-$I$125)/3</f>
        <v>1.7007388316151204</v>
      </c>
      <c r="J126" s="55">
        <f t="shared" si="60"/>
        <v>4.8148158741019653</v>
      </c>
      <c r="K126" s="3"/>
      <c r="L126" s="14">
        <f t="shared" si="28"/>
        <v>118.59117852146422</v>
      </c>
      <c r="M126" s="14">
        <f t="shared" si="29"/>
        <v>16.030112223797023</v>
      </c>
      <c r="N126" s="14">
        <f t="shared" si="30"/>
        <v>2.7862626874080378</v>
      </c>
      <c r="O126" s="14">
        <f t="shared" si="31"/>
        <v>19.755992135784847</v>
      </c>
      <c r="P126" s="14">
        <f t="shared" si="32"/>
        <v>11.544644736842105</v>
      </c>
      <c r="Q126" s="14">
        <f t="shared" si="33"/>
        <v>17.09583655034718</v>
      </c>
      <c r="R126" s="14">
        <f t="shared" si="34"/>
        <v>19.059122807017545</v>
      </c>
      <c r="S126" s="14">
        <f t="shared" si="35"/>
        <v>2.2109604810996566</v>
      </c>
      <c r="T126" s="14">
        <f t="shared" si="36"/>
        <v>14.444447622305896</v>
      </c>
      <c r="V126" s="14">
        <f t="shared" si="38"/>
        <v>221.51855776606646</v>
      </c>
      <c r="W126" s="14">
        <f t="shared" si="39"/>
        <v>207.07411014376058</v>
      </c>
      <c r="X126" s="163"/>
      <c r="Y126" s="4">
        <v>0.94990140202324547</v>
      </c>
      <c r="Z126" s="4">
        <v>0.54555447709158766</v>
      </c>
      <c r="AA126" s="4">
        <v>3.5658964807707219</v>
      </c>
      <c r="AB126" s="4">
        <v>6.0532410922306727</v>
      </c>
      <c r="AC126" s="4">
        <v>6.3078178301751535</v>
      </c>
      <c r="AD126" s="4">
        <v>4.3524852799251459</v>
      </c>
      <c r="AE126" s="4">
        <v>6.6508494909580609</v>
      </c>
      <c r="AF126" s="4">
        <v>4.9156591536666205</v>
      </c>
      <c r="AG126" s="5"/>
      <c r="AH126" s="5"/>
      <c r="AI126" s="152">
        <f t="shared" si="40"/>
        <v>183.80592129149801</v>
      </c>
      <c r="AJ126" s="152">
        <f t="shared" si="41"/>
        <v>10.911089541831753</v>
      </c>
      <c r="AK126" s="152">
        <f t="shared" si="42"/>
        <v>17.829482403853611</v>
      </c>
      <c r="AL126" s="152">
        <f t="shared" si="43"/>
        <v>18.15972327669202</v>
      </c>
      <c r="AM126" s="152">
        <f t="shared" si="44"/>
        <v>8.2001631792276992</v>
      </c>
      <c r="AN126" s="152">
        <f t="shared" si="54"/>
        <v>13.057455839775438</v>
      </c>
      <c r="AO126" s="152">
        <f t="shared" si="45"/>
        <v>8.646104338245479</v>
      </c>
      <c r="AP126" s="152">
        <f t="shared" si="46"/>
        <v>6.3903568997666067</v>
      </c>
      <c r="AS126" s="152">
        <f t="shared" si="55"/>
        <v>267.00029677089066</v>
      </c>
      <c r="AT126" s="156">
        <v>1770</v>
      </c>
      <c r="AU126" s="109">
        <f t="shared" si="56"/>
        <v>0.77555760292449438</v>
      </c>
      <c r="AV126" s="109">
        <f t="shared" si="62"/>
        <v>0.65957063960030449</v>
      </c>
    </row>
    <row r="127" spans="1:48" x14ac:dyDescent="0.2">
      <c r="A127" s="156">
        <v>1771</v>
      </c>
      <c r="B127" s="56">
        <v>0.44709063265140836</v>
      </c>
      <c r="C127" s="56">
        <v>0.80150561118985109</v>
      </c>
      <c r="D127" s="56">
        <v>0.55727611733238636</v>
      </c>
      <c r="E127" s="57">
        <f t="shared" si="63"/>
        <v>6.361956970415271</v>
      </c>
      <c r="F127" s="56">
        <v>9.4721343073402586</v>
      </c>
      <c r="G127" s="109">
        <v>5.5226828629794662</v>
      </c>
      <c r="H127" s="55">
        <f t="shared" si="61"/>
        <v>14.841621682411157</v>
      </c>
      <c r="I127" s="55">
        <f>I126+($I$128-$I$125)/3</f>
        <v>1.6512027491408936</v>
      </c>
      <c r="J127" s="55">
        <f t="shared" si="60"/>
        <v>4.7992957919945418</v>
      </c>
      <c r="K127" s="3"/>
      <c r="L127" s="14">
        <f t="shared" si="28"/>
        <v>80.029223244602093</v>
      </c>
      <c r="M127" s="14">
        <f t="shared" si="29"/>
        <v>16.030112223797023</v>
      </c>
      <c r="N127" s="14">
        <f t="shared" si="30"/>
        <v>2.7863805866619318</v>
      </c>
      <c r="O127" s="14">
        <f t="shared" si="31"/>
        <v>19.085870911245813</v>
      </c>
      <c r="P127" s="14">
        <f t="shared" si="32"/>
        <v>12.313774599542336</v>
      </c>
      <c r="Q127" s="14">
        <f t="shared" si="33"/>
        <v>16.568048588938399</v>
      </c>
      <c r="R127" s="14">
        <f t="shared" si="34"/>
        <v>19.294108187134505</v>
      </c>
      <c r="S127" s="14">
        <f t="shared" si="35"/>
        <v>2.1465635738831619</v>
      </c>
      <c r="T127" s="14">
        <f t="shared" si="36"/>
        <v>14.397887375983625</v>
      </c>
      <c r="V127" s="14">
        <f t="shared" si="38"/>
        <v>182.6519692917889</v>
      </c>
      <c r="W127" s="14">
        <f t="shared" si="39"/>
        <v>168.25408191580527</v>
      </c>
      <c r="X127" s="163"/>
      <c r="Y127" s="4">
        <v>1.1823785197529497</v>
      </c>
      <c r="Z127" s="4">
        <v>0.62884314787005824</v>
      </c>
      <c r="AA127" s="4">
        <v>3.7560868385181823</v>
      </c>
      <c r="AB127" s="4">
        <v>6.192643391811699</v>
      </c>
      <c r="AC127" s="4">
        <v>6.4330964223617082</v>
      </c>
      <c r="AD127" s="4">
        <v>4.4795545119580087</v>
      </c>
      <c r="AE127" s="4">
        <v>6.6038431896647412</v>
      </c>
      <c r="AF127" s="4">
        <v>4.4654859631405595</v>
      </c>
      <c r="AG127" s="5"/>
      <c r="AH127" s="5"/>
      <c r="AI127" s="152">
        <f t="shared" si="40"/>
        <v>228.79024357219578</v>
      </c>
      <c r="AJ127" s="152">
        <f t="shared" si="41"/>
        <v>12.576862957401165</v>
      </c>
      <c r="AK127" s="152">
        <f t="shared" si="42"/>
        <v>18.78043419259091</v>
      </c>
      <c r="AL127" s="152">
        <f t="shared" si="43"/>
        <v>18.577930175435096</v>
      </c>
      <c r="AM127" s="152">
        <f t="shared" si="44"/>
        <v>8.3630253490702202</v>
      </c>
      <c r="AN127" s="152">
        <f t="shared" si="54"/>
        <v>13.438663535874026</v>
      </c>
      <c r="AO127" s="152">
        <f t="shared" si="45"/>
        <v>8.5849961465641638</v>
      </c>
      <c r="AP127" s="152">
        <f t="shared" si="46"/>
        <v>5.8051317520827279</v>
      </c>
      <c r="AS127" s="152">
        <f t="shared" si="55"/>
        <v>314.91728768121402</v>
      </c>
      <c r="AT127" s="156">
        <v>1771</v>
      </c>
      <c r="AU127" s="109">
        <f t="shared" si="56"/>
        <v>0.53428023324691631</v>
      </c>
      <c r="AV127" s="109">
        <f t="shared" si="62"/>
        <v>0.64771449969710626</v>
      </c>
    </row>
    <row r="128" spans="1:48" x14ac:dyDescent="0.2">
      <c r="A128" s="156">
        <v>1772</v>
      </c>
      <c r="B128" s="56">
        <v>0.6562177256379641</v>
      </c>
      <c r="C128" s="56">
        <v>0.80150561118985109</v>
      </c>
      <c r="D128" s="56">
        <v>0.55729405994839343</v>
      </c>
      <c r="E128" s="57">
        <f t="shared" si="63"/>
        <v>6.1385832289022595</v>
      </c>
      <c r="F128" s="57">
        <f>F127+($F$129-$F$127)/2</f>
        <v>9.4244815992391793</v>
      </c>
      <c r="G128" s="109">
        <v>5.6859565431308372</v>
      </c>
      <c r="H128" s="113">
        <v>15.022379667116509</v>
      </c>
      <c r="I128" s="113">
        <v>1.6016666666666666</v>
      </c>
      <c r="J128" s="55">
        <f t="shared" si="60"/>
        <v>4.7837757098871183</v>
      </c>
      <c r="K128" s="3"/>
      <c r="L128" s="14">
        <f t="shared" si="28"/>
        <v>117.46297288919557</v>
      </c>
      <c r="M128" s="14">
        <f t="shared" si="29"/>
        <v>16.030112223797023</v>
      </c>
      <c r="N128" s="14">
        <f t="shared" si="30"/>
        <v>2.7864702997419672</v>
      </c>
      <c r="O128" s="14">
        <f t="shared" si="31"/>
        <v>18.415749686706778</v>
      </c>
      <c r="P128" s="14">
        <f t="shared" si="32"/>
        <v>12.251826079010934</v>
      </c>
      <c r="Q128" s="14">
        <f t="shared" si="33"/>
        <v>17.057869629392513</v>
      </c>
      <c r="R128" s="14">
        <f t="shared" si="34"/>
        <v>19.529093567251461</v>
      </c>
      <c r="S128" s="14">
        <f t="shared" si="35"/>
        <v>2.0821666666666667</v>
      </c>
      <c r="T128" s="14">
        <f t="shared" si="36"/>
        <v>14.351327129661355</v>
      </c>
      <c r="V128" s="14">
        <f t="shared" si="38"/>
        <v>219.96758817142427</v>
      </c>
      <c r="W128" s="14">
        <f t="shared" si="39"/>
        <v>205.61626104176293</v>
      </c>
      <c r="X128" s="163"/>
      <c r="Y128" s="4">
        <v>1.2943366093594502</v>
      </c>
      <c r="Z128" s="4">
        <v>0.70634377109675828</v>
      </c>
      <c r="AA128" s="4">
        <v>3.9011089924779085</v>
      </c>
      <c r="AB128" s="4">
        <v>6.3710750727121024</v>
      </c>
      <c r="AC128" s="4">
        <v>6.5053906876879397</v>
      </c>
      <c r="AD128" s="4">
        <v>4.5226635032449218</v>
      </c>
      <c r="AE128" s="4">
        <v>7.049544252924953</v>
      </c>
      <c r="AF128" s="4">
        <v>4.571156495984054</v>
      </c>
      <c r="AG128" s="5"/>
      <c r="AH128" s="5"/>
      <c r="AI128" s="152">
        <f t="shared" si="40"/>
        <v>250.45413391105362</v>
      </c>
      <c r="AJ128" s="152">
        <f t="shared" si="41"/>
        <v>14.126875421935166</v>
      </c>
      <c r="AK128" s="152">
        <f t="shared" si="42"/>
        <v>19.505544962389543</v>
      </c>
      <c r="AL128" s="152">
        <f t="shared" si="43"/>
        <v>19.113225218136307</v>
      </c>
      <c r="AM128" s="152">
        <f t="shared" si="44"/>
        <v>8.4570078939943212</v>
      </c>
      <c r="AN128" s="152">
        <f t="shared" si="54"/>
        <v>13.567990509734766</v>
      </c>
      <c r="AO128" s="152">
        <f t="shared" si="45"/>
        <v>9.1644075288024389</v>
      </c>
      <c r="AP128" s="152">
        <f t="shared" si="46"/>
        <v>5.9425034447792706</v>
      </c>
      <c r="AS128" s="152">
        <f t="shared" si="55"/>
        <v>340.33168889082543</v>
      </c>
      <c r="AT128" s="156">
        <v>1772</v>
      </c>
      <c r="AU128" s="109">
        <f t="shared" si="56"/>
        <v>0.6041643130908162</v>
      </c>
      <c r="AV128" s="109">
        <f t="shared" si="62"/>
        <v>0.60461030998015153</v>
      </c>
    </row>
    <row r="129" spans="1:48" x14ac:dyDescent="0.2">
      <c r="A129" s="156">
        <v>1773</v>
      </c>
      <c r="B129" s="56">
        <v>0.6077540303108393</v>
      </c>
      <c r="C129" s="56">
        <v>0.80150561118985109</v>
      </c>
      <c r="D129" s="56">
        <v>0.55722385139531527</v>
      </c>
      <c r="E129" s="57">
        <f t="shared" si="63"/>
        <v>5.915209487389248</v>
      </c>
      <c r="F129" s="56">
        <v>9.3768288911381017</v>
      </c>
      <c r="G129" s="109">
        <v>5.3493552667866364</v>
      </c>
      <c r="H129" s="55">
        <f t="shared" ref="H129:H139" si="64">H128+($H$140-$H$128)/12</f>
        <v>14.827197156329218</v>
      </c>
      <c r="I129" s="55">
        <f t="shared" ref="I129:I139" si="65">I128+($I$140-$I$128)/12</f>
        <v>1.6572403979042019</v>
      </c>
      <c r="J129" s="55">
        <f t="shared" si="60"/>
        <v>4.7682556277796948</v>
      </c>
      <c r="K129" s="3"/>
      <c r="L129" s="14">
        <f t="shared" si="28"/>
        <v>108.78797142564024</v>
      </c>
      <c r="M129" s="14">
        <f t="shared" si="29"/>
        <v>16.030112223797023</v>
      </c>
      <c r="N129" s="14">
        <f t="shared" si="30"/>
        <v>2.7861192569765763</v>
      </c>
      <c r="O129" s="14">
        <f t="shared" si="31"/>
        <v>17.745628462167744</v>
      </c>
      <c r="P129" s="14">
        <f t="shared" si="32"/>
        <v>12.189877558479532</v>
      </c>
      <c r="Q129" s="14">
        <f t="shared" si="33"/>
        <v>16.048065800359907</v>
      </c>
      <c r="R129" s="14">
        <f t="shared" si="34"/>
        <v>19.275356303227984</v>
      </c>
      <c r="S129" s="14">
        <f t="shared" si="35"/>
        <v>2.1544125172754627</v>
      </c>
      <c r="T129" s="14">
        <f t="shared" si="36"/>
        <v>14.304766883339084</v>
      </c>
      <c r="V129" s="14">
        <f t="shared" si="38"/>
        <v>209.32231043126359</v>
      </c>
      <c r="W129" s="14">
        <f t="shared" si="39"/>
        <v>195.0175435479245</v>
      </c>
      <c r="X129" s="163"/>
      <c r="Y129" s="4">
        <v>1.3814259723739433</v>
      </c>
      <c r="Z129" s="4">
        <v>0.74647642273263237</v>
      </c>
      <c r="AA129" s="4">
        <v>4.1238609800616191</v>
      </c>
      <c r="AB129" s="4">
        <v>6.8873900622092226</v>
      </c>
      <c r="AC129" s="4">
        <v>7.3539321429847844</v>
      </c>
      <c r="AD129" s="4">
        <v>4.490602486255356</v>
      </c>
      <c r="AE129" s="4">
        <v>7.563030393771033</v>
      </c>
      <c r="AF129" s="4">
        <v>4.9769299315253672</v>
      </c>
      <c r="AG129" s="5"/>
      <c r="AH129" s="5"/>
      <c r="AI129" s="152">
        <f t="shared" si="40"/>
        <v>267.30592565435802</v>
      </c>
      <c r="AJ129" s="152">
        <f t="shared" si="41"/>
        <v>14.929528454652647</v>
      </c>
      <c r="AK129" s="152">
        <f t="shared" si="42"/>
        <v>20.619304900308094</v>
      </c>
      <c r="AL129" s="152">
        <f t="shared" si="43"/>
        <v>20.662170186627669</v>
      </c>
      <c r="AM129" s="152">
        <f t="shared" si="44"/>
        <v>9.5601117858802205</v>
      </c>
      <c r="AN129" s="152">
        <f t="shared" si="54"/>
        <v>13.471807458766069</v>
      </c>
      <c r="AO129" s="152">
        <f t="shared" si="45"/>
        <v>9.8319395119023429</v>
      </c>
      <c r="AP129" s="152">
        <f t="shared" si="46"/>
        <v>6.4700089109829779</v>
      </c>
      <c r="AS129" s="152">
        <f t="shared" si="55"/>
        <v>362.85079686347808</v>
      </c>
      <c r="AT129" s="156">
        <v>1773</v>
      </c>
      <c r="AU129" s="109">
        <f t="shared" si="56"/>
        <v>0.53745932276758779</v>
      </c>
      <c r="AV129" s="109">
        <f t="shared" si="62"/>
        <v>0.56089452584067201</v>
      </c>
    </row>
    <row r="130" spans="1:48" x14ac:dyDescent="0.2">
      <c r="A130" s="156">
        <v>1774</v>
      </c>
      <c r="B130" s="56">
        <v>0.70893410830698911</v>
      </c>
      <c r="C130" s="56">
        <v>0.80150561118985109</v>
      </c>
      <c r="D130" s="56">
        <v>0.33436829356394615</v>
      </c>
      <c r="E130" s="57">
        <f t="shared" si="63"/>
        <v>5.6918357458762365</v>
      </c>
      <c r="F130" s="56">
        <v>10.057429149797569</v>
      </c>
      <c r="G130" s="109">
        <v>5.7650334563569388</v>
      </c>
      <c r="H130" s="55">
        <f t="shared" si="64"/>
        <v>14.632014645541927</v>
      </c>
      <c r="I130" s="55">
        <f t="shared" si="65"/>
        <v>1.7128141291417371</v>
      </c>
      <c r="J130" s="55">
        <f t="shared" si="60"/>
        <v>4.7527355456722713</v>
      </c>
      <c r="K130" s="3"/>
      <c r="L130" s="14">
        <f t="shared" si="28"/>
        <v>126.89920538695105</v>
      </c>
      <c r="M130" s="14">
        <f t="shared" si="29"/>
        <v>16.030112223797023</v>
      </c>
      <c r="N130" s="14">
        <f t="shared" si="30"/>
        <v>1.6718414678197306</v>
      </c>
      <c r="O130" s="14">
        <f t="shared" si="31"/>
        <v>17.07550723762871</v>
      </c>
      <c r="P130" s="14">
        <f t="shared" si="32"/>
        <v>13.074657894736839</v>
      </c>
      <c r="Q130" s="14">
        <f t="shared" si="33"/>
        <v>17.295100369070816</v>
      </c>
      <c r="R130" s="14">
        <f t="shared" si="34"/>
        <v>19.021619039204506</v>
      </c>
      <c r="S130" s="14">
        <f t="shared" si="35"/>
        <v>2.2266583678842582</v>
      </c>
      <c r="T130" s="14">
        <f t="shared" si="36"/>
        <v>14.258206637016814</v>
      </c>
      <c r="V130" s="14">
        <f t="shared" si="38"/>
        <v>227.55290862410973</v>
      </c>
      <c r="W130" s="14">
        <f t="shared" si="39"/>
        <v>213.29470198709291</v>
      </c>
      <c r="X130" s="163"/>
      <c r="Y130" s="4">
        <v>1.4198310079266121</v>
      </c>
      <c r="Z130" s="4">
        <v>0.85141239339636365</v>
      </c>
      <c r="AA130" s="4">
        <v>4.2264586027771482</v>
      </c>
      <c r="AB130" s="4">
        <v>6.7268823486533709</v>
      </c>
      <c r="AC130" s="4">
        <v>7.1107856190659993</v>
      </c>
      <c r="AD130" s="4">
        <v>4.9325739629222607</v>
      </c>
      <c r="AE130" s="4">
        <v>7.1151657893662383</v>
      </c>
      <c r="AF130" s="4">
        <v>5.2233178235431179</v>
      </c>
      <c r="AG130" s="5"/>
      <c r="AH130" s="5"/>
      <c r="AI130" s="152">
        <f t="shared" si="40"/>
        <v>274.73730003379944</v>
      </c>
      <c r="AJ130" s="152">
        <f t="shared" si="41"/>
        <v>17.028247867927274</v>
      </c>
      <c r="AK130" s="152">
        <f t="shared" si="42"/>
        <v>21.132293013885743</v>
      </c>
      <c r="AL130" s="152">
        <f t="shared" si="43"/>
        <v>20.180647045960114</v>
      </c>
      <c r="AM130" s="152">
        <f t="shared" si="44"/>
        <v>9.2440213047858002</v>
      </c>
      <c r="AN130" s="152">
        <f t="shared" si="54"/>
        <v>14.797721888766782</v>
      </c>
      <c r="AO130" s="152">
        <f t="shared" si="45"/>
        <v>9.2497155261761108</v>
      </c>
      <c r="AP130" s="152">
        <f t="shared" si="46"/>
        <v>6.7903131706060531</v>
      </c>
      <c r="AS130" s="152">
        <f t="shared" si="55"/>
        <v>373.16025985190731</v>
      </c>
      <c r="AT130" s="156">
        <v>1774</v>
      </c>
      <c r="AU130" s="109">
        <f t="shared" si="56"/>
        <v>0.57159007787094274</v>
      </c>
      <c r="AV130" s="109">
        <f t="shared" si="62"/>
        <v>0.59273295449897756</v>
      </c>
    </row>
    <row r="131" spans="1:48" x14ac:dyDescent="0.2">
      <c r="A131" s="156">
        <v>1775</v>
      </c>
      <c r="B131" s="56">
        <v>0.58331447569220873</v>
      </c>
      <c r="C131" s="56">
        <v>0.80150561118985109</v>
      </c>
      <c r="D131" s="56">
        <v>0.33427984181100523</v>
      </c>
      <c r="E131" s="57">
        <f t="shared" si="63"/>
        <v>5.468462004363225</v>
      </c>
      <c r="F131" s="56">
        <v>10.271417004048583</v>
      </c>
      <c r="G131" s="109">
        <v>7.0344287949921736</v>
      </c>
      <c r="H131" s="55">
        <f t="shared" si="64"/>
        <v>14.436832134754637</v>
      </c>
      <c r="I131" s="55">
        <f t="shared" si="65"/>
        <v>1.7683878603792724</v>
      </c>
      <c r="J131" s="55">
        <f t="shared" si="60"/>
        <v>4.7372154635648478</v>
      </c>
      <c r="K131" s="3"/>
      <c r="L131" s="14">
        <f t="shared" si="28"/>
        <v>104.41329114890536</v>
      </c>
      <c r="M131" s="14">
        <f t="shared" si="29"/>
        <v>16.030112223797023</v>
      </c>
      <c r="N131" s="14">
        <f t="shared" si="30"/>
        <v>1.6713992090550263</v>
      </c>
      <c r="O131" s="14">
        <f t="shared" si="31"/>
        <v>16.405386013089675</v>
      </c>
      <c r="P131" s="14">
        <f t="shared" si="32"/>
        <v>13.352842105263159</v>
      </c>
      <c r="Q131" s="14">
        <f t="shared" si="33"/>
        <v>21.103286384976521</v>
      </c>
      <c r="R131" s="14">
        <f t="shared" si="34"/>
        <v>18.767881775181028</v>
      </c>
      <c r="S131" s="14">
        <f t="shared" si="35"/>
        <v>2.2989042184930542</v>
      </c>
      <c r="T131" s="14">
        <f t="shared" si="36"/>
        <v>14.211646390694543</v>
      </c>
      <c r="V131" s="14">
        <f t="shared" si="38"/>
        <v>208.25474946945536</v>
      </c>
      <c r="W131" s="14">
        <f t="shared" si="39"/>
        <v>194.04310307876082</v>
      </c>
      <c r="X131" s="163"/>
      <c r="Y131" s="4">
        <v>1.3137736004756577</v>
      </c>
      <c r="Z131" s="4">
        <v>0.69924932097398973</v>
      </c>
      <c r="AA131" s="4">
        <v>4.1602583839967187</v>
      </c>
      <c r="AB131" s="4">
        <v>6.085193592810799</v>
      </c>
      <c r="AC131" s="4">
        <v>6.9190016146548983</v>
      </c>
      <c r="AD131" s="4">
        <v>5.4995831862274818</v>
      </c>
      <c r="AE131" s="4">
        <v>6.8517924109793613</v>
      </c>
      <c r="AF131" s="4">
        <v>5.1748613658886438</v>
      </c>
      <c r="AG131" s="5"/>
      <c r="AH131" s="5"/>
      <c r="AI131" s="152">
        <f t="shared" si="40"/>
        <v>254.21519169203978</v>
      </c>
      <c r="AJ131" s="152">
        <f t="shared" si="41"/>
        <v>13.984986419479794</v>
      </c>
      <c r="AK131" s="152">
        <f t="shared" si="42"/>
        <v>20.801291919983594</v>
      </c>
      <c r="AL131" s="152">
        <f t="shared" si="43"/>
        <v>18.255580778432396</v>
      </c>
      <c r="AM131" s="152">
        <f t="shared" si="44"/>
        <v>8.9947020990513682</v>
      </c>
      <c r="AN131" s="152">
        <f t="shared" si="54"/>
        <v>16.498749558682444</v>
      </c>
      <c r="AO131" s="152">
        <f t="shared" si="45"/>
        <v>8.9073301342731703</v>
      </c>
      <c r="AP131" s="152">
        <f t="shared" si="46"/>
        <v>6.7273197756552374</v>
      </c>
      <c r="AS131" s="152">
        <f t="shared" si="55"/>
        <v>348.38515237759782</v>
      </c>
      <c r="AT131" s="156">
        <v>1775</v>
      </c>
      <c r="AU131" s="109">
        <f t="shared" si="56"/>
        <v>0.55697868222709701</v>
      </c>
      <c r="AV131" s="109">
        <f t="shared" si="62"/>
        <v>0.60030484079185675</v>
      </c>
    </row>
    <row r="132" spans="1:48" x14ac:dyDescent="0.2">
      <c r="A132" s="156">
        <v>1776</v>
      </c>
      <c r="B132" s="56">
        <v>0.61476918064852615</v>
      </c>
      <c r="C132" s="56">
        <v>0.80150561118985109</v>
      </c>
      <c r="D132" s="56">
        <v>0.33436074434302193</v>
      </c>
      <c r="E132" s="57">
        <f t="shared" si="63"/>
        <v>5.2450882628502136</v>
      </c>
      <c r="F132" s="57">
        <f t="shared" ref="F132:F138" si="66">F131+($F$139-$F$131)/8</f>
        <v>9.5954099190283397</v>
      </c>
      <c r="G132" s="55">
        <f>G131+($G$136-$G$131)/5</f>
        <v>6.3269431403234204</v>
      </c>
      <c r="H132" s="55">
        <f t="shared" si="64"/>
        <v>14.241649623967346</v>
      </c>
      <c r="I132" s="55">
        <f t="shared" si="65"/>
        <v>1.8239615916168077</v>
      </c>
      <c r="J132" s="55">
        <f t="shared" si="60"/>
        <v>4.7216953814574243</v>
      </c>
      <c r="K132" s="3"/>
      <c r="L132" s="14">
        <f t="shared" si="28"/>
        <v>110.04368333608618</v>
      </c>
      <c r="M132" s="14">
        <f t="shared" si="29"/>
        <v>16.030112223797023</v>
      </c>
      <c r="N132" s="14">
        <f t="shared" si="30"/>
        <v>1.6718037217151096</v>
      </c>
      <c r="O132" s="14">
        <f t="shared" si="31"/>
        <v>15.735264788550641</v>
      </c>
      <c r="P132" s="14">
        <f t="shared" si="32"/>
        <v>12.474032894736842</v>
      </c>
      <c r="Q132" s="14">
        <f t="shared" si="33"/>
        <v>18.980829420970259</v>
      </c>
      <c r="R132" s="14">
        <f t="shared" si="34"/>
        <v>18.51414451115755</v>
      </c>
      <c r="S132" s="14">
        <f t="shared" si="35"/>
        <v>2.3711500691018501</v>
      </c>
      <c r="T132" s="14">
        <f t="shared" si="36"/>
        <v>14.165086144372273</v>
      </c>
      <c r="V132" s="14">
        <f t="shared" si="38"/>
        <v>209.98610711048772</v>
      </c>
      <c r="W132" s="14">
        <f t="shared" si="39"/>
        <v>195.82102096611544</v>
      </c>
      <c r="X132" s="163"/>
      <c r="Y132" s="4">
        <v>0.98930059222315914</v>
      </c>
      <c r="Z132" s="4">
        <v>0.64546481180999093</v>
      </c>
      <c r="AA132" s="4">
        <v>4.0573153806348179</v>
      </c>
      <c r="AB132" s="4">
        <v>6.5138382500107062</v>
      </c>
      <c r="AC132" s="4">
        <v>6.2224381694655397</v>
      </c>
      <c r="AD132" s="4">
        <v>4.6356885375046248</v>
      </c>
      <c r="AE132" s="4">
        <v>6.9185459076954858</v>
      </c>
      <c r="AF132" s="4">
        <v>5.5539527658156436</v>
      </c>
      <c r="AG132" s="5"/>
      <c r="AH132" s="5"/>
      <c r="AI132" s="152">
        <f t="shared" si="40"/>
        <v>191.42966459518129</v>
      </c>
      <c r="AJ132" s="152">
        <f t="shared" si="41"/>
        <v>12.909296236199818</v>
      </c>
      <c r="AK132" s="152">
        <f t="shared" si="42"/>
        <v>20.28657690317409</v>
      </c>
      <c r="AL132" s="152">
        <f t="shared" si="43"/>
        <v>19.541514750032118</v>
      </c>
      <c r="AM132" s="152">
        <f t="shared" si="44"/>
        <v>8.0891696203052028</v>
      </c>
      <c r="AN132" s="152">
        <f t="shared" si="54"/>
        <v>13.907065612513875</v>
      </c>
      <c r="AO132" s="152">
        <f t="shared" si="45"/>
        <v>8.9941096800041311</v>
      </c>
      <c r="AP132" s="152">
        <f t="shared" si="46"/>
        <v>7.2201385955603365</v>
      </c>
      <c r="AS132" s="152">
        <f t="shared" si="55"/>
        <v>282.37753599297088</v>
      </c>
      <c r="AT132" s="156">
        <v>1776</v>
      </c>
      <c r="AU132" s="109">
        <f t="shared" si="56"/>
        <v>0.69347237653844374</v>
      </c>
      <c r="AV132" s="109">
        <f t="shared" si="62"/>
        <v>0.6207313812952352</v>
      </c>
    </row>
    <row r="133" spans="1:48" x14ac:dyDescent="0.2">
      <c r="A133" s="156">
        <v>1777</v>
      </c>
      <c r="B133" s="56">
        <v>0.63261549278145546</v>
      </c>
      <c r="C133" s="56">
        <v>0.80150561118985109</v>
      </c>
      <c r="D133" s="56">
        <v>0.33418797932918598</v>
      </c>
      <c r="E133" s="57">
        <f t="shared" si="63"/>
        <v>5.0217145213372021</v>
      </c>
      <c r="F133" s="57">
        <f t="shared" si="66"/>
        <v>8.9194028340080962</v>
      </c>
      <c r="G133" s="55">
        <f>G132+($G$136-$G$131)/5</f>
        <v>5.6194574856546673</v>
      </c>
      <c r="H133" s="55">
        <f t="shared" si="64"/>
        <v>14.046467113180055</v>
      </c>
      <c r="I133" s="55">
        <f t="shared" si="65"/>
        <v>1.879535322854343</v>
      </c>
      <c r="J133" s="55">
        <f t="shared" si="60"/>
        <v>4.7061752993500008</v>
      </c>
      <c r="K133" s="3"/>
      <c r="L133" s="14">
        <f t="shared" si="28"/>
        <v>113.23817320788052</v>
      </c>
      <c r="M133" s="14">
        <f t="shared" si="29"/>
        <v>16.030112223797023</v>
      </c>
      <c r="N133" s="14">
        <f t="shared" si="30"/>
        <v>1.6709398966459299</v>
      </c>
      <c r="O133" s="14">
        <f t="shared" si="31"/>
        <v>15.065143564011606</v>
      </c>
      <c r="P133" s="14">
        <f t="shared" si="32"/>
        <v>11.595223684210525</v>
      </c>
      <c r="Q133" s="14">
        <f t="shared" si="33"/>
        <v>16.858372456964002</v>
      </c>
      <c r="R133" s="14">
        <f t="shared" si="34"/>
        <v>18.260407247134072</v>
      </c>
      <c r="S133" s="14">
        <f t="shared" si="35"/>
        <v>2.4433959197106461</v>
      </c>
      <c r="T133" s="14">
        <f t="shared" si="36"/>
        <v>14.118525898050002</v>
      </c>
      <c r="V133" s="14">
        <f t="shared" si="38"/>
        <v>209.28029409840434</v>
      </c>
      <c r="W133" s="14">
        <f t="shared" si="39"/>
        <v>195.16176820035435</v>
      </c>
      <c r="X133" s="163"/>
      <c r="Y133" s="4">
        <v>1.0900171641942336</v>
      </c>
      <c r="Z133" s="4">
        <v>0.6529301768487098</v>
      </c>
      <c r="AA133" s="4">
        <v>3.9515148815733259</v>
      </c>
      <c r="AB133" s="4">
        <v>6.4410487518468527</v>
      </c>
      <c r="AC133" s="4">
        <v>6.7446548675367666</v>
      </c>
      <c r="AD133" s="4">
        <v>5.3202082156882771</v>
      </c>
      <c r="AE133" s="4">
        <v>6.6798472446022314</v>
      </c>
      <c r="AF133" s="4">
        <v>5.7760980994488582</v>
      </c>
      <c r="AG133" s="5"/>
      <c r="AH133" s="5"/>
      <c r="AI133" s="152">
        <f t="shared" si="40"/>
        <v>210.9183212715842</v>
      </c>
      <c r="AJ133" s="152">
        <f t="shared" si="41"/>
        <v>13.058603536974196</v>
      </c>
      <c r="AK133" s="152">
        <f t="shared" si="42"/>
        <v>19.757574407866628</v>
      </c>
      <c r="AL133" s="152">
        <f t="shared" si="43"/>
        <v>19.323146255540557</v>
      </c>
      <c r="AM133" s="152">
        <f t="shared" si="44"/>
        <v>8.7680513277977976</v>
      </c>
      <c r="AN133" s="152">
        <f t="shared" si="54"/>
        <v>15.960624647064831</v>
      </c>
      <c r="AO133" s="152">
        <f t="shared" si="45"/>
        <v>8.6838014179829006</v>
      </c>
      <c r="AP133" s="152">
        <f t="shared" si="46"/>
        <v>7.5089275292835156</v>
      </c>
      <c r="AS133" s="152">
        <f t="shared" si="55"/>
        <v>303.97905039409471</v>
      </c>
      <c r="AT133" s="156">
        <v>1777</v>
      </c>
      <c r="AU133" s="109">
        <f t="shared" si="56"/>
        <v>0.64202374455521249</v>
      </c>
      <c r="AV133" s="109">
        <f t="shared" si="62"/>
        <v>0.64002348999809378</v>
      </c>
    </row>
    <row r="134" spans="1:48" x14ac:dyDescent="0.2">
      <c r="A134" s="156">
        <v>1778</v>
      </c>
      <c r="B134" s="56">
        <v>0.66359491461301856</v>
      </c>
      <c r="C134" s="56">
        <v>0.80150561118985109</v>
      </c>
      <c r="D134" s="56">
        <v>0.33438054176332715</v>
      </c>
      <c r="E134" s="57">
        <f t="shared" si="63"/>
        <v>4.7983407798241906</v>
      </c>
      <c r="F134" s="57">
        <f t="shared" si="66"/>
        <v>8.2433957489878527</v>
      </c>
      <c r="G134" s="55">
        <f>G133+($G$136-$G$131)/5</f>
        <v>4.9119718309859142</v>
      </c>
      <c r="H134" s="55">
        <f t="shared" si="64"/>
        <v>13.851284602392765</v>
      </c>
      <c r="I134" s="55">
        <f t="shared" si="65"/>
        <v>1.9351090540918783</v>
      </c>
      <c r="J134" s="55">
        <f t="shared" si="60"/>
        <v>4.6906552172425773</v>
      </c>
      <c r="K134" s="3"/>
      <c r="L134" s="14">
        <f t="shared" si="28"/>
        <v>118.78348971573033</v>
      </c>
      <c r="M134" s="14">
        <f t="shared" si="29"/>
        <v>16.030112223797023</v>
      </c>
      <c r="N134" s="14">
        <f t="shared" si="30"/>
        <v>1.6719027088166358</v>
      </c>
      <c r="O134" s="14">
        <f t="shared" si="31"/>
        <v>14.395022339472572</v>
      </c>
      <c r="P134" s="14">
        <f t="shared" si="32"/>
        <v>10.716414473684209</v>
      </c>
      <c r="Q134" s="14">
        <f t="shared" si="33"/>
        <v>14.735915492957743</v>
      </c>
      <c r="R134" s="14">
        <f t="shared" si="34"/>
        <v>18.006669983110594</v>
      </c>
      <c r="S134" s="14">
        <f t="shared" si="35"/>
        <v>2.515641770319442</v>
      </c>
      <c r="T134" s="14">
        <f t="shared" si="36"/>
        <v>14.071965651727732</v>
      </c>
      <c r="V134" s="14">
        <f t="shared" si="38"/>
        <v>210.92713435961628</v>
      </c>
      <c r="W134" s="14">
        <f t="shared" si="39"/>
        <v>196.85516870788854</v>
      </c>
      <c r="X134" s="163"/>
      <c r="Y134" s="4">
        <v>1.0981967445368515</v>
      </c>
      <c r="Z134" s="4">
        <v>0.61928170447726105</v>
      </c>
      <c r="AA134" s="4">
        <v>3.9682416534044802</v>
      </c>
      <c r="AB134" s="4">
        <v>7.1220274915358788</v>
      </c>
      <c r="AC134" s="4">
        <v>7.0599388367927967</v>
      </c>
      <c r="AD134" s="4">
        <v>5.1136340164780041</v>
      </c>
      <c r="AE134" s="4">
        <v>6.7997863197613793</v>
      </c>
      <c r="AF134" s="4">
        <v>6.4075850574235265</v>
      </c>
      <c r="AG134" s="5"/>
      <c r="AH134" s="5"/>
      <c r="AI134" s="152">
        <f t="shared" si="40"/>
        <v>212.50107006788076</v>
      </c>
      <c r="AJ134" s="152">
        <f t="shared" si="41"/>
        <v>12.385634089545221</v>
      </c>
      <c r="AK134" s="152">
        <f t="shared" si="42"/>
        <v>19.841208267022402</v>
      </c>
      <c r="AL134" s="152">
        <f t="shared" si="43"/>
        <v>21.366082474607637</v>
      </c>
      <c r="AM134" s="152">
        <f t="shared" si="44"/>
        <v>9.1779204878306366</v>
      </c>
      <c r="AN134" s="152">
        <f t="shared" si="54"/>
        <v>15.340902049434012</v>
      </c>
      <c r="AO134" s="152">
        <f t="shared" si="45"/>
        <v>8.8397222156897932</v>
      </c>
      <c r="AP134" s="152">
        <f t="shared" si="46"/>
        <v>8.3298605746505849</v>
      </c>
      <c r="AS134" s="152">
        <f t="shared" si="55"/>
        <v>307.78240022666108</v>
      </c>
      <c r="AT134" s="156">
        <v>1778</v>
      </c>
      <c r="AU134" s="109">
        <f t="shared" si="56"/>
        <v>0.63959202528447989</v>
      </c>
      <c r="AV134" s="109">
        <f t="shared" si="62"/>
        <v>0.66099963674452467</v>
      </c>
    </row>
    <row r="135" spans="1:48" x14ac:dyDescent="0.2">
      <c r="A135" s="156">
        <v>1779</v>
      </c>
      <c r="B135" s="56">
        <v>0.60571956604825961</v>
      </c>
      <c r="C135" s="56">
        <v>0.80150561118985109</v>
      </c>
      <c r="D135" s="56">
        <v>0.44548380566801615</v>
      </c>
      <c r="E135" s="57">
        <f t="shared" si="63"/>
        <v>4.5749670383111791</v>
      </c>
      <c r="F135" s="57">
        <f t="shared" si="66"/>
        <v>7.56738866396761</v>
      </c>
      <c r="G135" s="55">
        <f>G134+($G$136-$G$131)/5</f>
        <v>4.204486176317161</v>
      </c>
      <c r="H135" s="55">
        <f t="shared" si="64"/>
        <v>13.656102091605474</v>
      </c>
      <c r="I135" s="55">
        <f t="shared" si="65"/>
        <v>1.9906827853294136</v>
      </c>
      <c r="J135" s="109">
        <v>4.675135135135136</v>
      </c>
      <c r="K135" s="3"/>
      <c r="L135" s="14">
        <f t="shared" si="28"/>
        <v>108.42380232263847</v>
      </c>
      <c r="M135" s="14">
        <f t="shared" si="29"/>
        <v>16.030112223797023</v>
      </c>
      <c r="N135" s="14">
        <f t="shared" si="30"/>
        <v>2.2274190283400808</v>
      </c>
      <c r="O135" s="14">
        <f t="shared" si="31"/>
        <v>13.724901114933537</v>
      </c>
      <c r="P135" s="14">
        <f t="shared" si="32"/>
        <v>9.8376052631578936</v>
      </c>
      <c r="Q135" s="14">
        <f t="shared" si="33"/>
        <v>12.613458528951483</v>
      </c>
      <c r="R135" s="14">
        <f t="shared" si="34"/>
        <v>17.752932719087116</v>
      </c>
      <c r="S135" s="14">
        <f t="shared" si="35"/>
        <v>2.5878876209282375</v>
      </c>
      <c r="T135" s="14">
        <f t="shared" si="36"/>
        <v>14.025405405405408</v>
      </c>
      <c r="V135" s="14">
        <f t="shared" si="38"/>
        <v>197.22352422723924</v>
      </c>
      <c r="W135" s="14">
        <f t="shared" si="39"/>
        <v>183.19811882183382</v>
      </c>
      <c r="X135" s="163"/>
      <c r="Y135" s="4">
        <v>0.90113383286176396</v>
      </c>
      <c r="Z135" s="4">
        <v>0.59300228927229204</v>
      </c>
      <c r="AA135" s="4">
        <v>4.1118501376355425</v>
      </c>
      <c r="AB135" s="4">
        <v>7.4236840686626833</v>
      </c>
      <c r="AC135" s="4">
        <v>8.4150888184241612</v>
      </c>
      <c r="AD135" s="4">
        <v>5.5250434052320294</v>
      </c>
      <c r="AE135" s="4">
        <v>7.0542352586837822</v>
      </c>
      <c r="AF135" s="4">
        <v>6.5253099113390176</v>
      </c>
      <c r="AG135" s="5"/>
      <c r="AH135" s="5"/>
      <c r="AI135" s="152">
        <f t="shared" si="40"/>
        <v>174.36939665875133</v>
      </c>
      <c r="AJ135" s="152">
        <f t="shared" si="41"/>
        <v>11.860045785445841</v>
      </c>
      <c r="AK135" s="152">
        <f t="shared" si="42"/>
        <v>20.559250688177713</v>
      </c>
      <c r="AL135" s="152">
        <f t="shared" si="43"/>
        <v>22.271052205988049</v>
      </c>
      <c r="AM135" s="152">
        <f t="shared" si="44"/>
        <v>10.93961546395141</v>
      </c>
      <c r="AN135" s="152">
        <f t="shared" si="54"/>
        <v>16.575130215696088</v>
      </c>
      <c r="AO135" s="152">
        <f t="shared" si="45"/>
        <v>9.1705058362889176</v>
      </c>
      <c r="AP135" s="152">
        <f t="shared" si="46"/>
        <v>8.4829028847407226</v>
      </c>
      <c r="AS135" s="152">
        <f t="shared" si="55"/>
        <v>274.22789973904003</v>
      </c>
      <c r="AT135" s="156">
        <v>1779</v>
      </c>
      <c r="AU135" s="109">
        <f t="shared" si="56"/>
        <v>0.66805062138523574</v>
      </c>
      <c r="AV135" s="109">
        <f t="shared" si="62"/>
        <v>0.63481735480746515</v>
      </c>
    </row>
    <row r="136" spans="1:48" x14ac:dyDescent="0.2">
      <c r="A136" s="156">
        <v>1780</v>
      </c>
      <c r="B136" s="56">
        <v>0.61095190038648317</v>
      </c>
      <c r="C136" s="56">
        <v>0.80150561118985109</v>
      </c>
      <c r="D136" s="56">
        <v>0.44585812610827247</v>
      </c>
      <c r="E136" s="57">
        <f t="shared" si="63"/>
        <v>4.3515932967981676</v>
      </c>
      <c r="F136" s="57">
        <f t="shared" si="66"/>
        <v>6.8913815789473674</v>
      </c>
      <c r="G136" s="109">
        <v>3.4970005216484084</v>
      </c>
      <c r="H136" s="55">
        <f t="shared" si="64"/>
        <v>13.460919580818183</v>
      </c>
      <c r="I136" s="55">
        <f t="shared" si="65"/>
        <v>2.0462565165669488</v>
      </c>
      <c r="J136" s="55">
        <f>J135+($J$141-$J$135)/6</f>
        <v>5.9395915155661996</v>
      </c>
      <c r="K136" s="3"/>
      <c r="L136" s="14">
        <f t="shared" si="28"/>
        <v>109.36039016918049</v>
      </c>
      <c r="M136" s="14">
        <f t="shared" si="29"/>
        <v>16.030112223797023</v>
      </c>
      <c r="N136" s="14">
        <f t="shared" si="30"/>
        <v>2.2292906305413625</v>
      </c>
      <c r="O136" s="14">
        <f t="shared" si="31"/>
        <v>13.054779890394503</v>
      </c>
      <c r="P136" s="14">
        <f t="shared" si="32"/>
        <v>8.9587960526315786</v>
      </c>
      <c r="Q136" s="14">
        <f t="shared" si="33"/>
        <v>10.491001564945226</v>
      </c>
      <c r="R136" s="14">
        <f t="shared" si="34"/>
        <v>17.499195455063639</v>
      </c>
      <c r="S136" s="14">
        <f t="shared" si="35"/>
        <v>2.6601334715370335</v>
      </c>
      <c r="T136" s="14">
        <f t="shared" si="36"/>
        <v>17.818774546698599</v>
      </c>
      <c r="V136" s="14">
        <f t="shared" si="38"/>
        <v>198.10247400478946</v>
      </c>
      <c r="W136" s="14">
        <f t="shared" si="39"/>
        <v>180.28369945809087</v>
      </c>
      <c r="X136" s="163"/>
      <c r="Y136" s="4">
        <v>0.92088008002259858</v>
      </c>
      <c r="Z136" s="4">
        <v>0.542695449590062</v>
      </c>
      <c r="AA136" s="4">
        <v>3.9100068235568104</v>
      </c>
      <c r="AB136" s="4">
        <v>6.7964571969234324</v>
      </c>
      <c r="AC136" s="4">
        <v>7.1488064961050455</v>
      </c>
      <c r="AD136" s="4">
        <v>5.5872518108499243</v>
      </c>
      <c r="AE136" s="4">
        <v>7.1177824207495339</v>
      </c>
      <c r="AF136" s="4">
        <v>6.2290665172877091</v>
      </c>
      <c r="AG136" s="5"/>
      <c r="AH136" s="5"/>
      <c r="AI136" s="152">
        <f t="shared" si="40"/>
        <v>178.19029548437283</v>
      </c>
      <c r="AJ136" s="152">
        <f t="shared" si="41"/>
        <v>10.853908991801241</v>
      </c>
      <c r="AK136" s="152">
        <f t="shared" si="42"/>
        <v>19.550034117784051</v>
      </c>
      <c r="AL136" s="152">
        <f t="shared" si="43"/>
        <v>20.389371590770295</v>
      </c>
      <c r="AM136" s="152">
        <f t="shared" si="44"/>
        <v>9.2934484449365602</v>
      </c>
      <c r="AN136" s="152">
        <f t="shared" si="54"/>
        <v>16.761755432549773</v>
      </c>
      <c r="AO136" s="152">
        <f t="shared" si="45"/>
        <v>9.2531171469743949</v>
      </c>
      <c r="AP136" s="152">
        <f t="shared" si="46"/>
        <v>8.0977864724740218</v>
      </c>
      <c r="AS136" s="152">
        <f t="shared" si="55"/>
        <v>272.38971768166311</v>
      </c>
      <c r="AT136" s="156">
        <v>1780</v>
      </c>
      <c r="AU136" s="109">
        <f t="shared" si="56"/>
        <v>0.66185941595925124</v>
      </c>
      <c r="AV136" s="109">
        <f t="shared" si="62"/>
        <v>0.62679133806442977</v>
      </c>
    </row>
    <row r="137" spans="1:48" x14ac:dyDescent="0.2">
      <c r="A137" s="156">
        <v>1781</v>
      </c>
      <c r="B137" s="56">
        <v>0.60216771947782144</v>
      </c>
      <c r="C137" s="56">
        <v>0.80150561118985109</v>
      </c>
      <c r="D137" s="56">
        <v>0.44616726259024486</v>
      </c>
      <c r="E137" s="57">
        <f t="shared" si="63"/>
        <v>4.1282195552851562</v>
      </c>
      <c r="F137" s="57">
        <f t="shared" si="66"/>
        <v>6.2153744939271247</v>
      </c>
      <c r="G137" s="109">
        <v>3.4767866458007295</v>
      </c>
      <c r="H137" s="55">
        <f t="shared" si="64"/>
        <v>13.265737070030893</v>
      </c>
      <c r="I137" s="55">
        <f t="shared" si="65"/>
        <v>2.1018302478044841</v>
      </c>
      <c r="J137" s="55">
        <f>J136+($J$141-$J$135)/6</f>
        <v>7.2040478959972631</v>
      </c>
      <c r="K137" s="3"/>
      <c r="L137" s="14">
        <f t="shared" ref="L137:L200" si="67">B137*179</f>
        <v>107.78802178653004</v>
      </c>
      <c r="M137" s="14">
        <f t="shared" ref="M137:M200" si="68">C137*20</f>
        <v>16.030112223797023</v>
      </c>
      <c r="N137" s="14">
        <f t="shared" ref="N137:N200" si="69">D137*5</f>
        <v>2.2308363129512241</v>
      </c>
      <c r="O137" s="14">
        <f t="shared" ref="O137:O200" si="70">E137*3</f>
        <v>12.384658665855468</v>
      </c>
      <c r="P137" s="14">
        <f t="shared" ref="P137:P200" si="71">F137*1.3</f>
        <v>8.0799868421052619</v>
      </c>
      <c r="Q137" s="14">
        <f t="shared" ref="Q137:Q200" si="72">G137*3</f>
        <v>10.430359937402189</v>
      </c>
      <c r="R137" s="14">
        <f t="shared" ref="R137:R200" si="73">H137*1.3</f>
        <v>17.245458191040161</v>
      </c>
      <c r="S137" s="14">
        <f t="shared" ref="S137:S200" si="74">I137*1.3</f>
        <v>2.7323793221458295</v>
      </c>
      <c r="T137" s="14">
        <f t="shared" ref="T137:T200" si="75">J137*3</f>
        <v>21.612143687991789</v>
      </c>
      <c r="V137" s="14">
        <f t="shared" si="38"/>
        <v>198.53395696981897</v>
      </c>
      <c r="W137" s="14">
        <f t="shared" si="39"/>
        <v>176.92181328182718</v>
      </c>
      <c r="X137" s="163"/>
      <c r="Y137" s="4">
        <v>1.1434192431371892</v>
      </c>
      <c r="Z137" s="4">
        <v>0.53447762241917207</v>
      </c>
      <c r="AA137" s="4">
        <v>3.6988193942055787</v>
      </c>
      <c r="AB137" s="4">
        <v>6.2063070610509579</v>
      </c>
      <c r="AC137" s="4">
        <v>7.2930000151930843</v>
      </c>
      <c r="AD137" s="4">
        <v>6.0308617275144005</v>
      </c>
      <c r="AE137" s="4">
        <v>6.9812765445080327</v>
      </c>
      <c r="AF137" s="4">
        <v>6.7617251134499003</v>
      </c>
      <c r="AG137" s="5"/>
      <c r="AH137" s="5"/>
      <c r="AI137" s="152">
        <f t="shared" si="40"/>
        <v>221.25162354704611</v>
      </c>
      <c r="AJ137" s="152">
        <f t="shared" si="41"/>
        <v>10.689552448383441</v>
      </c>
      <c r="AK137" s="152">
        <f t="shared" si="42"/>
        <v>18.494096971027894</v>
      </c>
      <c r="AL137" s="152">
        <f t="shared" si="43"/>
        <v>18.618921183152874</v>
      </c>
      <c r="AM137" s="152">
        <f t="shared" si="44"/>
        <v>9.4809000197510098</v>
      </c>
      <c r="AN137" s="152">
        <f t="shared" si="54"/>
        <v>18.092585182543203</v>
      </c>
      <c r="AO137" s="152">
        <f t="shared" si="45"/>
        <v>9.0756595078604434</v>
      </c>
      <c r="AP137" s="152">
        <f t="shared" si="46"/>
        <v>8.7902426474848703</v>
      </c>
      <c r="AS137" s="152">
        <f t="shared" si="55"/>
        <v>314.49358150724981</v>
      </c>
      <c r="AT137" s="156">
        <v>1781</v>
      </c>
      <c r="AU137" s="109">
        <f t="shared" si="56"/>
        <v>0.56256096685314616</v>
      </c>
      <c r="AV137" s="109">
        <f t="shared" si="62"/>
        <v>0.60379096270250332</v>
      </c>
    </row>
    <row r="138" spans="1:48" x14ac:dyDescent="0.2">
      <c r="A138" s="156">
        <v>1782</v>
      </c>
      <c r="B138" s="56">
        <v>0.69866538500300956</v>
      </c>
      <c r="C138" s="56">
        <v>0.80150561118985109</v>
      </c>
      <c r="D138" s="57">
        <v>0.44599515967398295</v>
      </c>
      <c r="E138" s="57">
        <f t="shared" si="63"/>
        <v>3.9048458137721447</v>
      </c>
      <c r="F138" s="57">
        <f t="shared" si="66"/>
        <v>5.5393674089068821</v>
      </c>
      <c r="G138" s="55">
        <f t="shared" ref="G138:G146" si="76">G137+($G$147-$G$137)/10</f>
        <v>3.4747652582159616</v>
      </c>
      <c r="H138" s="55">
        <f t="shared" si="64"/>
        <v>13.070554559243602</v>
      </c>
      <c r="I138" s="55">
        <f t="shared" si="65"/>
        <v>2.1574039790420194</v>
      </c>
      <c r="J138" s="55">
        <f>J137+($J$141-$J$135)/6</f>
        <v>8.4685042764283267</v>
      </c>
      <c r="K138" s="3"/>
      <c r="L138" s="14">
        <f t="shared" si="67"/>
        <v>125.06110391553871</v>
      </c>
      <c r="M138" s="14">
        <f t="shared" si="68"/>
        <v>16.030112223797023</v>
      </c>
      <c r="N138" s="14">
        <f t="shared" si="69"/>
        <v>2.2299757983699147</v>
      </c>
      <c r="O138" s="14">
        <f t="shared" si="70"/>
        <v>11.714537441316434</v>
      </c>
      <c r="P138" s="14">
        <f t="shared" si="71"/>
        <v>7.2011776315789469</v>
      </c>
      <c r="Q138" s="14">
        <f t="shared" si="72"/>
        <v>10.424295774647884</v>
      </c>
      <c r="R138" s="14">
        <f t="shared" si="73"/>
        <v>16.991720927016683</v>
      </c>
      <c r="S138" s="14">
        <f t="shared" si="74"/>
        <v>2.8046251727546254</v>
      </c>
      <c r="T138" s="14">
        <f t="shared" si="75"/>
        <v>25.40551282928498</v>
      </c>
      <c r="V138" s="14">
        <f t="shared" ref="V138:V201" si="77">SUM(L138:T138)</f>
        <v>217.86306171430516</v>
      </c>
      <c r="W138" s="14">
        <f t="shared" ref="W138:W201" si="78">V138-T138</f>
        <v>192.45754888502017</v>
      </c>
      <c r="X138" s="163"/>
      <c r="Y138" s="4">
        <v>1.1852225793568916</v>
      </c>
      <c r="Z138" s="4">
        <v>0.54834208855875977</v>
      </c>
      <c r="AA138" s="4">
        <v>3.6358181607083164</v>
      </c>
      <c r="AB138" s="4">
        <v>6.0167817362664806</v>
      </c>
      <c r="AC138" s="4">
        <v>7.2037409268077957</v>
      </c>
      <c r="AD138" s="4">
        <v>5.6233287083176577</v>
      </c>
      <c r="AE138" s="4">
        <v>6.7117133707875274</v>
      </c>
      <c r="AF138" s="4">
        <v>6.35114130590995</v>
      </c>
      <c r="AG138" s="5"/>
      <c r="AH138" s="5"/>
      <c r="AI138" s="152">
        <f t="shared" ref="AI138:AI201" si="79">Y138*AI$8</f>
        <v>229.34056910555853</v>
      </c>
      <c r="AJ138" s="152">
        <f t="shared" ref="AJ138:AJ201" si="80">Z138*AJ$8</f>
        <v>10.966841771175195</v>
      </c>
      <c r="AK138" s="152">
        <f t="shared" ref="AK138:AK201" si="81">AA138*AK$8</f>
        <v>18.179090803541584</v>
      </c>
      <c r="AL138" s="152">
        <f t="shared" ref="AL138:AL201" si="82">AB138*AL$8</f>
        <v>18.050345208799442</v>
      </c>
      <c r="AM138" s="152">
        <f t="shared" ref="AM138:AM201" si="83">AC138*AM$8</f>
        <v>9.3648632048501348</v>
      </c>
      <c r="AN138" s="152">
        <f t="shared" ref="AN138:AN201" si="84">AD138*AN$8</f>
        <v>16.869986124952973</v>
      </c>
      <c r="AO138" s="152">
        <f t="shared" ref="AO138:AO201" si="85">AE138*AO$8</f>
        <v>8.7252273820237853</v>
      </c>
      <c r="AP138" s="152">
        <f t="shared" ref="AP138:AP201" si="86">AF138*AP$8</f>
        <v>8.2564836976829348</v>
      </c>
      <c r="AS138" s="152">
        <f t="shared" ref="AS138:AS201" si="87">SUM(AI138:AP138)</f>
        <v>319.75340729858453</v>
      </c>
      <c r="AT138" s="156">
        <v>1782</v>
      </c>
      <c r="AU138" s="109">
        <f t="shared" ref="AU138:AU201" si="88">W138/AS138</f>
        <v>0.60189366084003615</v>
      </c>
      <c r="AV138" s="109">
        <f t="shared" si="62"/>
        <v>0.57991345614298351</v>
      </c>
    </row>
    <row r="139" spans="1:48" x14ac:dyDescent="0.2">
      <c r="A139" s="156">
        <v>1783</v>
      </c>
      <c r="B139" s="56">
        <v>0.66413447153974881</v>
      </c>
      <c r="C139" s="56">
        <v>0.80150561118985109</v>
      </c>
      <c r="D139" s="56">
        <v>0.44582305675772099</v>
      </c>
      <c r="E139" s="56">
        <v>3.6814720722591363</v>
      </c>
      <c r="F139" s="56">
        <v>4.8633603238866394</v>
      </c>
      <c r="G139" s="55">
        <f t="shared" si="76"/>
        <v>3.4727438706311937</v>
      </c>
      <c r="H139" s="55">
        <f t="shared" si="64"/>
        <v>12.875372048456311</v>
      </c>
      <c r="I139" s="55">
        <f t="shared" si="65"/>
        <v>2.2129777102795547</v>
      </c>
      <c r="J139" s="55">
        <f>J138+($J$141-$J$135)/6</f>
        <v>9.7329606568593903</v>
      </c>
      <c r="K139" s="3"/>
      <c r="L139" s="14">
        <f t="shared" si="67"/>
        <v>118.88007040561503</v>
      </c>
      <c r="M139" s="14">
        <f t="shared" si="68"/>
        <v>16.030112223797023</v>
      </c>
      <c r="N139" s="14">
        <f t="shared" si="69"/>
        <v>2.2291152837886048</v>
      </c>
      <c r="O139" s="14">
        <f t="shared" si="70"/>
        <v>11.044416216777408</v>
      </c>
      <c r="P139" s="14">
        <f t="shared" si="71"/>
        <v>6.3223684210526319</v>
      </c>
      <c r="Q139" s="14">
        <f t="shared" si="72"/>
        <v>10.418231611893582</v>
      </c>
      <c r="R139" s="14">
        <f t="shared" si="73"/>
        <v>16.737983662993205</v>
      </c>
      <c r="S139" s="14">
        <f t="shared" si="74"/>
        <v>2.8768710233634214</v>
      </c>
      <c r="T139" s="14">
        <f t="shared" si="75"/>
        <v>29.198881970578171</v>
      </c>
      <c r="V139" s="14">
        <f t="shared" si="77"/>
        <v>213.7380508198591</v>
      </c>
      <c r="W139" s="14">
        <f t="shared" si="78"/>
        <v>184.53916884928094</v>
      </c>
      <c r="X139" s="163"/>
      <c r="Y139" s="4">
        <v>1.315365466547743</v>
      </c>
      <c r="Z139" s="4">
        <v>0.84633418733451704</v>
      </c>
      <c r="AA139" s="4">
        <v>3.7793049798989409</v>
      </c>
      <c r="AB139" s="4">
        <v>6.3269006138614969</v>
      </c>
      <c r="AC139" s="4">
        <v>6.715756117984669</v>
      </c>
      <c r="AD139" s="4">
        <v>5.4267848294425001</v>
      </c>
      <c r="AE139" s="4">
        <v>6.5537619282916078</v>
      </c>
      <c r="AF139" s="4">
        <v>6.8614959788666283</v>
      </c>
      <c r="AG139" s="5"/>
      <c r="AH139" s="5"/>
      <c r="AI139" s="152">
        <f t="shared" si="79"/>
        <v>254.52321777698828</v>
      </c>
      <c r="AJ139" s="152">
        <f t="shared" si="80"/>
        <v>16.92668374669034</v>
      </c>
      <c r="AK139" s="152">
        <f t="shared" si="81"/>
        <v>18.896524899494704</v>
      </c>
      <c r="AL139" s="152">
        <f t="shared" si="82"/>
        <v>18.980701841584491</v>
      </c>
      <c r="AM139" s="152">
        <f t="shared" si="83"/>
        <v>8.7304829533800703</v>
      </c>
      <c r="AN139" s="152">
        <f t="shared" si="84"/>
        <v>16.2803544883275</v>
      </c>
      <c r="AO139" s="152">
        <f t="shared" si="85"/>
        <v>8.51989050677909</v>
      </c>
      <c r="AP139" s="152">
        <f t="shared" si="86"/>
        <v>8.9199447725266179</v>
      </c>
      <c r="AS139" s="152">
        <f t="shared" si="87"/>
        <v>351.77780098577102</v>
      </c>
      <c r="AT139" s="156">
        <v>1783</v>
      </c>
      <c r="AU139" s="109">
        <f t="shared" si="88"/>
        <v>0.52459014847484742</v>
      </c>
      <c r="AV139" s="109">
        <f t="shared" si="62"/>
        <v>0.56506000230512399</v>
      </c>
    </row>
    <row r="140" spans="1:48" x14ac:dyDescent="0.2">
      <c r="A140" s="156">
        <v>1784</v>
      </c>
      <c r="B140" s="56">
        <v>0.64885380628160383</v>
      </c>
      <c r="C140" s="56">
        <v>0.80150561118985109</v>
      </c>
      <c r="D140" s="56">
        <v>0.5572546814629602</v>
      </c>
      <c r="E140" s="56">
        <v>8.2251954434812831</v>
      </c>
      <c r="F140" s="57">
        <f t="shared" ref="F140:F148" si="89">F139+($F$149-$F$139)/10</f>
        <v>5.0933355748313085</v>
      </c>
      <c r="G140" s="55">
        <f t="shared" si="76"/>
        <v>3.4707224830464258</v>
      </c>
      <c r="H140" s="113">
        <v>12.680189537669012</v>
      </c>
      <c r="I140" s="113">
        <v>2.2685514415170913</v>
      </c>
      <c r="J140" s="55">
        <f>J139+($J$141-$J$135)/6</f>
        <v>10.997417037290454</v>
      </c>
      <c r="K140" s="3"/>
      <c r="L140" s="14">
        <f t="shared" si="67"/>
        <v>116.14483132440708</v>
      </c>
      <c r="M140" s="14">
        <f t="shared" si="68"/>
        <v>16.030112223797023</v>
      </c>
      <c r="N140" s="14">
        <f t="shared" si="69"/>
        <v>2.786273407314801</v>
      </c>
      <c r="O140" s="14">
        <f t="shared" si="70"/>
        <v>24.675586330443849</v>
      </c>
      <c r="P140" s="14">
        <f t="shared" si="71"/>
        <v>6.6213362472807011</v>
      </c>
      <c r="Q140" s="14">
        <f t="shared" si="72"/>
        <v>10.412167449139277</v>
      </c>
      <c r="R140" s="14">
        <f t="shared" si="73"/>
        <v>16.484246398969717</v>
      </c>
      <c r="S140" s="14">
        <f t="shared" si="74"/>
        <v>2.9491168739722187</v>
      </c>
      <c r="T140" s="14">
        <f t="shared" si="75"/>
        <v>32.992251111871362</v>
      </c>
      <c r="V140" s="14">
        <f t="shared" si="77"/>
        <v>229.09592136719604</v>
      </c>
      <c r="W140" s="14">
        <f t="shared" si="78"/>
        <v>196.10367025532469</v>
      </c>
      <c r="X140" s="163"/>
      <c r="Y140" s="4">
        <v>1.3233782334290753</v>
      </c>
      <c r="Z140" s="4">
        <v>0.82381293931988464</v>
      </c>
      <c r="AA140" s="4">
        <v>4.1809868685560083</v>
      </c>
      <c r="AB140" s="4">
        <v>6.7807361207304737</v>
      </c>
      <c r="AC140" s="4">
        <v>7.3423401374267181</v>
      </c>
      <c r="AD140" s="4">
        <v>5.541853063292276</v>
      </c>
      <c r="AE140" s="4">
        <v>7.1334744197026394</v>
      </c>
      <c r="AF140" s="4">
        <v>6.2920924436327299</v>
      </c>
      <c r="AG140" s="5"/>
      <c r="AH140" s="5"/>
      <c r="AI140" s="152">
        <f t="shared" si="79"/>
        <v>256.07368816852608</v>
      </c>
      <c r="AJ140" s="152">
        <f t="shared" si="80"/>
        <v>16.476258786397693</v>
      </c>
      <c r="AK140" s="152">
        <f t="shared" si="81"/>
        <v>20.904934342780042</v>
      </c>
      <c r="AL140" s="152">
        <f t="shared" si="82"/>
        <v>20.342208362191421</v>
      </c>
      <c r="AM140" s="152">
        <f t="shared" si="83"/>
        <v>9.5450421786547341</v>
      </c>
      <c r="AN140" s="152">
        <f t="shared" si="84"/>
        <v>16.625559189876828</v>
      </c>
      <c r="AO140" s="152">
        <f t="shared" si="85"/>
        <v>9.2735167456134313</v>
      </c>
      <c r="AP140" s="152">
        <f t="shared" si="86"/>
        <v>8.1797201767225491</v>
      </c>
      <c r="AS140" s="152">
        <f t="shared" si="87"/>
        <v>357.42092795076275</v>
      </c>
      <c r="AT140" s="156">
        <v>1784</v>
      </c>
      <c r="AU140" s="109">
        <f t="shared" si="88"/>
        <v>0.54866308858763679</v>
      </c>
      <c r="AV140" s="109">
        <f t="shared" si="62"/>
        <v>0.61104731695059289</v>
      </c>
    </row>
    <row r="141" spans="1:48" x14ac:dyDescent="0.2">
      <c r="A141" s="156">
        <v>1785</v>
      </c>
      <c r="B141" s="56">
        <v>0.68306922913460488</v>
      </c>
      <c r="C141" s="56">
        <v>0.82579366001378607</v>
      </c>
      <c r="D141" s="56">
        <v>0.51448159576986585</v>
      </c>
      <c r="E141" s="56">
        <v>7.3555470814088313</v>
      </c>
      <c r="F141" s="57">
        <f t="shared" si="89"/>
        <v>5.3233108257759776</v>
      </c>
      <c r="G141" s="55">
        <f t="shared" si="76"/>
        <v>3.4687010954616579</v>
      </c>
      <c r="H141" s="113">
        <v>11.726102114260009</v>
      </c>
      <c r="I141" s="113">
        <v>3.2033333333333331</v>
      </c>
      <c r="J141" s="109">
        <v>12.261873417721519</v>
      </c>
      <c r="K141" s="3"/>
      <c r="L141" s="14">
        <f t="shared" si="67"/>
        <v>122.26939201509427</v>
      </c>
      <c r="M141" s="14">
        <f t="shared" si="68"/>
        <v>16.51587320027572</v>
      </c>
      <c r="N141" s="14">
        <f t="shared" si="69"/>
        <v>2.5724079788493293</v>
      </c>
      <c r="O141" s="14">
        <f t="shared" si="70"/>
        <v>22.066641244226496</v>
      </c>
      <c r="P141" s="14">
        <f t="shared" si="71"/>
        <v>6.9203040735087713</v>
      </c>
      <c r="Q141" s="14">
        <f t="shared" si="72"/>
        <v>10.406103286384974</v>
      </c>
      <c r="R141" s="14">
        <f t="shared" si="73"/>
        <v>15.243932748538011</v>
      </c>
      <c r="S141" s="14">
        <f t="shared" si="74"/>
        <v>4.1643333333333334</v>
      </c>
      <c r="T141" s="14">
        <f t="shared" si="75"/>
        <v>36.785620253164559</v>
      </c>
      <c r="V141" s="14">
        <f t="shared" si="77"/>
        <v>236.94460813337543</v>
      </c>
      <c r="W141" s="14">
        <f t="shared" si="78"/>
        <v>200.15898788021087</v>
      </c>
      <c r="X141" s="163"/>
      <c r="Y141" s="4">
        <v>1.2335569382787881</v>
      </c>
      <c r="Z141" s="4">
        <v>0.81970094261244586</v>
      </c>
      <c r="AA141" s="4">
        <v>4.3752488250280086</v>
      </c>
      <c r="AB141" s="4">
        <v>6.918795884059449</v>
      </c>
      <c r="AC141" s="4">
        <v>5.6289937293116958</v>
      </c>
      <c r="AD141" s="4">
        <v>5.5037166229338093</v>
      </c>
      <c r="AE141" s="4">
        <v>7.564721198909174</v>
      </c>
      <c r="AF141" s="4">
        <v>7.1229414007341472</v>
      </c>
      <c r="AG141" s="5"/>
      <c r="AH141" s="5"/>
      <c r="AI141" s="152">
        <f t="shared" si="79"/>
        <v>238.6932675569455</v>
      </c>
      <c r="AJ141" s="152">
        <f t="shared" si="80"/>
        <v>16.394018852248916</v>
      </c>
      <c r="AK141" s="152">
        <f t="shared" si="81"/>
        <v>21.876244125140044</v>
      </c>
      <c r="AL141" s="152">
        <f t="shared" si="82"/>
        <v>20.756387652178347</v>
      </c>
      <c r="AM141" s="152">
        <f t="shared" si="83"/>
        <v>7.3176918481052047</v>
      </c>
      <c r="AN141" s="152">
        <f t="shared" si="84"/>
        <v>16.511149868801429</v>
      </c>
      <c r="AO141" s="152">
        <f t="shared" si="85"/>
        <v>9.8341375585819257</v>
      </c>
      <c r="AP141" s="152">
        <f t="shared" si="86"/>
        <v>9.2598238209543915</v>
      </c>
      <c r="AS141" s="152">
        <f t="shared" si="87"/>
        <v>340.64272128295579</v>
      </c>
      <c r="AT141" s="156">
        <v>1785</v>
      </c>
      <c r="AU141" s="109">
        <f t="shared" si="88"/>
        <v>0.58759214676995331</v>
      </c>
      <c r="AV141" s="109">
        <f t="shared" si="62"/>
        <v>0.73132929821358339</v>
      </c>
    </row>
    <row r="142" spans="1:48" x14ac:dyDescent="0.2">
      <c r="A142" s="156">
        <v>1786</v>
      </c>
      <c r="B142" s="56">
        <v>1.0271149422616694</v>
      </c>
      <c r="C142" s="56">
        <v>0.83793768442575334</v>
      </c>
      <c r="D142" s="56">
        <v>0.61289928132376292</v>
      </c>
      <c r="E142" s="56">
        <v>2.4316801619433197</v>
      </c>
      <c r="F142" s="57">
        <f t="shared" si="89"/>
        <v>5.5532860767206467</v>
      </c>
      <c r="G142" s="55">
        <f t="shared" si="76"/>
        <v>3.4666797078768901</v>
      </c>
      <c r="H142" s="55">
        <f>H141+($H$144-$H$141)/3</f>
        <v>13.026600689758585</v>
      </c>
      <c r="I142" s="55">
        <f>I141+($I$144-$I$141)/3</f>
        <v>2.554115438596491</v>
      </c>
      <c r="J142" s="109">
        <v>8.4300379746835432</v>
      </c>
      <c r="K142" s="3"/>
      <c r="L142" s="14">
        <f t="shared" si="67"/>
        <v>183.85357466483882</v>
      </c>
      <c r="M142" s="14">
        <f t="shared" si="68"/>
        <v>16.758753688515068</v>
      </c>
      <c r="N142" s="14">
        <f t="shared" si="69"/>
        <v>3.0644964066188147</v>
      </c>
      <c r="O142" s="14">
        <f t="shared" si="70"/>
        <v>7.2950404858299596</v>
      </c>
      <c r="P142" s="14">
        <f t="shared" si="71"/>
        <v>7.2192718997368406</v>
      </c>
      <c r="Q142" s="14">
        <f t="shared" si="72"/>
        <v>10.40003912363067</v>
      </c>
      <c r="R142" s="14">
        <f t="shared" si="73"/>
        <v>16.93458089668616</v>
      </c>
      <c r="S142" s="14">
        <f t="shared" si="74"/>
        <v>3.3203500701754383</v>
      </c>
      <c r="T142" s="14">
        <f t="shared" si="75"/>
        <v>25.29011392405063</v>
      </c>
      <c r="V142" s="14">
        <f t="shared" si="77"/>
        <v>274.13622116008241</v>
      </c>
      <c r="W142" s="14">
        <f t="shared" si="78"/>
        <v>248.8461072360318</v>
      </c>
      <c r="X142" s="163"/>
      <c r="Y142" s="4">
        <v>1.0745538167795845</v>
      </c>
      <c r="Z142" s="4">
        <v>0.92109508780374916</v>
      </c>
      <c r="AA142" s="4">
        <v>4.3327268352014343</v>
      </c>
      <c r="AB142" s="4">
        <v>7.0637244486221027</v>
      </c>
      <c r="AC142" s="4">
        <v>6.1644097990089826</v>
      </c>
      <c r="AD142" s="4">
        <v>5.6625420625868159</v>
      </c>
      <c r="AE142" s="4">
        <v>7.7251264987356416</v>
      </c>
      <c r="AF142" s="4">
        <v>7.5042120052298742</v>
      </c>
      <c r="AG142" s="5"/>
      <c r="AH142" s="5"/>
      <c r="AI142" s="152">
        <f t="shared" si="79"/>
        <v>207.92616354684961</v>
      </c>
      <c r="AJ142" s="152">
        <f t="shared" si="80"/>
        <v>18.421901756074984</v>
      </c>
      <c r="AK142" s="152">
        <f t="shared" si="81"/>
        <v>21.663634176007172</v>
      </c>
      <c r="AL142" s="152">
        <f t="shared" si="82"/>
        <v>21.191173345866307</v>
      </c>
      <c r="AM142" s="152">
        <f t="shared" si="83"/>
        <v>8.0137327387116777</v>
      </c>
      <c r="AN142" s="152">
        <f t="shared" si="84"/>
        <v>16.987626187760448</v>
      </c>
      <c r="AO142" s="152">
        <f t="shared" si="85"/>
        <v>10.042664448356334</v>
      </c>
      <c r="AP142" s="152">
        <f t="shared" si="86"/>
        <v>9.7554756067988375</v>
      </c>
      <c r="AS142" s="152">
        <f t="shared" si="87"/>
        <v>314.00237180642534</v>
      </c>
      <c r="AT142" s="156">
        <v>1786</v>
      </c>
      <c r="AU142" s="109">
        <f t="shared" si="88"/>
        <v>0.792497540080491</v>
      </c>
      <c r="AV142" s="109">
        <f t="shared" si="62"/>
        <v>0.74964378150845534</v>
      </c>
    </row>
    <row r="143" spans="1:48" x14ac:dyDescent="0.2">
      <c r="A143" s="156">
        <v>1787</v>
      </c>
      <c r="B143" s="56">
        <v>1.6471883295271665</v>
      </c>
      <c r="C143" s="56">
        <v>2.0037640279746274</v>
      </c>
      <c r="D143" s="56">
        <v>0.61293521138838858</v>
      </c>
      <c r="E143" s="57">
        <v>4.4295177045177043</v>
      </c>
      <c r="F143" s="57">
        <f t="shared" si="89"/>
        <v>5.7832613276653158</v>
      </c>
      <c r="G143" s="55">
        <f t="shared" si="76"/>
        <v>3.4646583202921222</v>
      </c>
      <c r="H143" s="55">
        <f>H142+($H$144-$H$141)/3</f>
        <v>14.327099265257161</v>
      </c>
      <c r="I143" s="55">
        <f>I142+($I$144-$I$141)/3</f>
        <v>1.9048975438596489</v>
      </c>
      <c r="J143" s="55">
        <f t="shared" ref="J143:J148" si="90">J142+($J$149-$J$142)/7</f>
        <v>8.8314683544303794</v>
      </c>
      <c r="K143" s="3"/>
      <c r="L143" s="14">
        <f t="shared" si="67"/>
        <v>294.84671098536279</v>
      </c>
      <c r="M143" s="14">
        <f t="shared" si="68"/>
        <v>40.075280559492548</v>
      </c>
      <c r="N143" s="14">
        <f t="shared" si="69"/>
        <v>3.0646760569419431</v>
      </c>
      <c r="O143" s="14">
        <f t="shared" si="70"/>
        <v>13.288553113553114</v>
      </c>
      <c r="P143" s="14">
        <f t="shared" si="71"/>
        <v>7.5182397259649107</v>
      </c>
      <c r="Q143" s="14">
        <f t="shared" si="72"/>
        <v>10.393974960876367</v>
      </c>
      <c r="R143" s="14">
        <f t="shared" si="73"/>
        <v>18.62522904483431</v>
      </c>
      <c r="S143" s="14">
        <f t="shared" si="74"/>
        <v>2.4763668070175435</v>
      </c>
      <c r="T143" s="14">
        <f t="shared" si="75"/>
        <v>26.49440506329114</v>
      </c>
      <c r="V143" s="14">
        <f t="shared" si="77"/>
        <v>416.78343631733475</v>
      </c>
      <c r="W143" s="14">
        <f t="shared" si="78"/>
        <v>390.28903125404361</v>
      </c>
      <c r="X143" s="163"/>
      <c r="Y143" s="4">
        <v>1.1195899249080759</v>
      </c>
      <c r="Z143" s="4">
        <v>0.84870973172670416</v>
      </c>
      <c r="AA143" s="4">
        <v>4.5544011739449974</v>
      </c>
      <c r="AB143" s="4">
        <v>6.8258400191489059</v>
      </c>
      <c r="AC143" s="4">
        <v>9.6070034295817042</v>
      </c>
      <c r="AD143" s="4">
        <v>5.2225635223281115</v>
      </c>
      <c r="AE143" s="4">
        <v>8.2032642671395664</v>
      </c>
      <c r="AF143" s="4">
        <v>6.6634836750314852</v>
      </c>
      <c r="AG143" s="5"/>
      <c r="AH143" s="5"/>
      <c r="AI143" s="152">
        <f t="shared" si="79"/>
        <v>216.64065046971268</v>
      </c>
      <c r="AJ143" s="152">
        <f t="shared" si="80"/>
        <v>16.974194634534083</v>
      </c>
      <c r="AK143" s="152">
        <f t="shared" si="81"/>
        <v>22.772005869724985</v>
      </c>
      <c r="AL143" s="152">
        <f t="shared" si="82"/>
        <v>20.477520057446718</v>
      </c>
      <c r="AM143" s="152">
        <f t="shared" si="83"/>
        <v>12.489104458456216</v>
      </c>
      <c r="AN143" s="152">
        <f t="shared" si="84"/>
        <v>15.667690566984334</v>
      </c>
      <c r="AO143" s="152">
        <f t="shared" si="85"/>
        <v>10.664243547281437</v>
      </c>
      <c r="AP143" s="152">
        <f t="shared" si="86"/>
        <v>8.6625287775409312</v>
      </c>
      <c r="AS143" s="152">
        <f t="shared" si="87"/>
        <v>324.34793838168144</v>
      </c>
      <c r="AT143" s="156">
        <v>1787</v>
      </c>
      <c r="AU143" s="109">
        <f t="shared" si="88"/>
        <v>1.2033035671549883</v>
      </c>
      <c r="AV143" s="109">
        <f t="shared" si="62"/>
        <v>0.82804509297248552</v>
      </c>
    </row>
    <row r="144" spans="1:48" x14ac:dyDescent="0.2">
      <c r="A144" s="156">
        <v>1788</v>
      </c>
      <c r="B144" s="56">
        <v>0.70528189189163526</v>
      </c>
      <c r="C144" s="56">
        <v>0.80150561118985109</v>
      </c>
      <c r="D144" s="56">
        <v>0.61281902982307834</v>
      </c>
      <c r="E144" s="57">
        <v>6.4273552470920894</v>
      </c>
      <c r="F144" s="57">
        <f t="shared" si="89"/>
        <v>6.0132365786099848</v>
      </c>
      <c r="G144" s="55">
        <f t="shared" si="76"/>
        <v>3.4626369327073543</v>
      </c>
      <c r="H144" s="113">
        <v>15.627597840755735</v>
      </c>
      <c r="I144" s="99">
        <v>1.2556796491228071</v>
      </c>
      <c r="J144" s="55">
        <f t="shared" si="90"/>
        <v>9.2328987341772155</v>
      </c>
      <c r="K144" s="3"/>
      <c r="L144" s="14">
        <f t="shared" si="67"/>
        <v>126.24545864860271</v>
      </c>
      <c r="M144" s="14">
        <f t="shared" si="68"/>
        <v>16.030112223797023</v>
      </c>
      <c r="N144" s="14">
        <f t="shared" si="69"/>
        <v>3.0640951491153916</v>
      </c>
      <c r="O144" s="14">
        <f t="shared" si="70"/>
        <v>19.28206574127627</v>
      </c>
      <c r="P144" s="14">
        <f t="shared" si="71"/>
        <v>7.8172075521929809</v>
      </c>
      <c r="Q144" s="14">
        <f t="shared" si="72"/>
        <v>10.387910798122062</v>
      </c>
      <c r="R144" s="14">
        <f t="shared" si="73"/>
        <v>20.315877192982455</v>
      </c>
      <c r="S144" s="14">
        <f t="shared" si="74"/>
        <v>1.6323835438596492</v>
      </c>
      <c r="T144" s="14">
        <f t="shared" si="75"/>
        <v>27.698696202531647</v>
      </c>
      <c r="V144" s="14">
        <f t="shared" si="77"/>
        <v>232.47380705248017</v>
      </c>
      <c r="W144" s="14">
        <f t="shared" si="78"/>
        <v>204.77511084994853</v>
      </c>
      <c r="X144" s="163"/>
      <c r="Y144" s="4">
        <v>1.1982191843153618</v>
      </c>
      <c r="Z144" s="4">
        <v>0.66003059845132861</v>
      </c>
      <c r="AA144" s="4">
        <v>4.5043473946491988</v>
      </c>
      <c r="AB144" s="4">
        <v>6.5427356618382131</v>
      </c>
      <c r="AC144" s="4">
        <v>8.6904551840093394</v>
      </c>
      <c r="AD144" s="4">
        <v>5.293794784561964</v>
      </c>
      <c r="AE144" s="4">
        <v>7.7494363997947922</v>
      </c>
      <c r="AF144" s="4">
        <v>6.0617005760473441</v>
      </c>
      <c r="AG144" s="5"/>
      <c r="AH144" s="5"/>
      <c r="AI144" s="152">
        <f t="shared" si="79"/>
        <v>231.8554121650225</v>
      </c>
      <c r="AJ144" s="152">
        <f t="shared" si="80"/>
        <v>13.200611969026571</v>
      </c>
      <c r="AK144" s="152">
        <f t="shared" si="81"/>
        <v>22.521736973245993</v>
      </c>
      <c r="AL144" s="152">
        <f t="shared" si="82"/>
        <v>19.628206985514637</v>
      </c>
      <c r="AM144" s="152">
        <f t="shared" si="83"/>
        <v>11.297591739212141</v>
      </c>
      <c r="AN144" s="152">
        <f t="shared" si="84"/>
        <v>15.881384353685892</v>
      </c>
      <c r="AO144" s="152">
        <f t="shared" si="85"/>
        <v>10.074267319733231</v>
      </c>
      <c r="AP144" s="152">
        <f t="shared" si="86"/>
        <v>7.8802107488615478</v>
      </c>
      <c r="AS144" s="152">
        <f t="shared" si="87"/>
        <v>332.33942225430246</v>
      </c>
      <c r="AT144" s="156">
        <v>1788</v>
      </c>
      <c r="AU144" s="109">
        <f t="shared" si="88"/>
        <v>0.61616256494920685</v>
      </c>
      <c r="AV144" s="109">
        <f t="shared" si="62"/>
        <v>0.82019861898167234</v>
      </c>
    </row>
    <row r="145" spans="1:48" x14ac:dyDescent="0.2">
      <c r="A145" s="156">
        <v>1789</v>
      </c>
      <c r="B145" s="56">
        <v>1.4307192156956323</v>
      </c>
      <c r="C145" s="56">
        <v>0.80150561118985109</v>
      </c>
      <c r="D145" s="56">
        <v>0.75235854950767223</v>
      </c>
      <c r="E145" s="56">
        <v>8.4251927896664736</v>
      </c>
      <c r="F145" s="57">
        <f t="shared" si="89"/>
        <v>6.2432118295546539</v>
      </c>
      <c r="G145" s="55">
        <f t="shared" si="76"/>
        <v>3.4606155451225864</v>
      </c>
      <c r="H145" s="55">
        <f>H144+($H$149-$H$144)/5</f>
        <v>16.052331309041836</v>
      </c>
      <c r="I145" s="55">
        <f>I144+($I$149-$I$144)/5</f>
        <v>1.2932260877192983</v>
      </c>
      <c r="J145" s="55">
        <f t="shared" si="90"/>
        <v>9.6343291139240517</v>
      </c>
      <c r="K145" s="3"/>
      <c r="L145" s="14">
        <f t="shared" si="67"/>
        <v>256.09873960951819</v>
      </c>
      <c r="M145" s="14">
        <f t="shared" si="68"/>
        <v>16.030112223797023</v>
      </c>
      <c r="N145" s="14">
        <f t="shared" si="69"/>
        <v>3.7617927475383612</v>
      </c>
      <c r="O145" s="14">
        <f t="shared" si="70"/>
        <v>25.275578368999419</v>
      </c>
      <c r="P145" s="14">
        <f t="shared" si="71"/>
        <v>8.1161753784210511</v>
      </c>
      <c r="Q145" s="14">
        <f t="shared" si="72"/>
        <v>10.38184663536776</v>
      </c>
      <c r="R145" s="14">
        <f t="shared" si="73"/>
        <v>20.868030701754389</v>
      </c>
      <c r="S145" s="14">
        <f t="shared" si="74"/>
        <v>1.6811939140350878</v>
      </c>
      <c r="T145" s="14">
        <f t="shared" si="75"/>
        <v>28.902987341772153</v>
      </c>
      <c r="V145" s="14">
        <f t="shared" si="77"/>
        <v>371.11645692120345</v>
      </c>
      <c r="W145" s="14">
        <f t="shared" si="78"/>
        <v>342.21346957943132</v>
      </c>
      <c r="X145" s="163"/>
      <c r="Y145" s="4">
        <v>1.3600746059870636</v>
      </c>
      <c r="Z145" s="4">
        <v>0.64243157261883543</v>
      </c>
      <c r="AA145" s="4">
        <v>4.591120593142116</v>
      </c>
      <c r="AB145" s="4">
        <v>6.3837741947530411</v>
      </c>
      <c r="AC145" s="4">
        <v>8.2695527967861988</v>
      </c>
      <c r="AD145" s="4">
        <v>5.50358475398109</v>
      </c>
      <c r="AE145" s="4">
        <v>8.0644719262340079</v>
      </c>
      <c r="AF145" s="4">
        <v>6.094413293017535</v>
      </c>
      <c r="AG145" s="5"/>
      <c r="AH145" s="5"/>
      <c r="AI145" s="152">
        <f t="shared" si="79"/>
        <v>263.17443625849683</v>
      </c>
      <c r="AJ145" s="152">
        <f t="shared" si="80"/>
        <v>12.848631452376708</v>
      </c>
      <c r="AK145" s="152">
        <f t="shared" si="81"/>
        <v>22.955602965710579</v>
      </c>
      <c r="AL145" s="152">
        <f t="shared" si="82"/>
        <v>19.151322584259123</v>
      </c>
      <c r="AM145" s="152">
        <f t="shared" si="83"/>
        <v>10.75041863582206</v>
      </c>
      <c r="AN145" s="152">
        <f t="shared" si="84"/>
        <v>16.510754261943269</v>
      </c>
      <c r="AO145" s="152">
        <f t="shared" si="85"/>
        <v>10.48381350410421</v>
      </c>
      <c r="AP145" s="152">
        <f t="shared" si="86"/>
        <v>7.9227372809227958</v>
      </c>
      <c r="AS145" s="152">
        <f t="shared" si="87"/>
        <v>363.79771694363552</v>
      </c>
      <c r="AT145" s="156">
        <v>1789</v>
      </c>
      <c r="AU145" s="109">
        <f t="shared" si="88"/>
        <v>0.94066964590778801</v>
      </c>
      <c r="AV145" s="109">
        <f t="shared" si="62"/>
        <v>0.77815850205622639</v>
      </c>
    </row>
    <row r="146" spans="1:48" x14ac:dyDescent="0.2">
      <c r="A146" s="156">
        <v>1790</v>
      </c>
      <c r="B146" s="56">
        <v>0.68371967997645566</v>
      </c>
      <c r="C146" s="56">
        <v>0.80150561118985109</v>
      </c>
      <c r="D146" s="56">
        <v>0.86266748602274912</v>
      </c>
      <c r="E146" s="56">
        <v>8.0245445344129553</v>
      </c>
      <c r="F146" s="57">
        <f t="shared" si="89"/>
        <v>6.473187080499323</v>
      </c>
      <c r="G146" s="55">
        <f t="shared" si="76"/>
        <v>3.4585941575378185</v>
      </c>
      <c r="H146" s="55">
        <f>H145+($H$149-$H$144)/5</f>
        <v>16.477064777327936</v>
      </c>
      <c r="I146" s="55">
        <f>I145+($I$149-$I$144)/5</f>
        <v>1.3307725263157895</v>
      </c>
      <c r="J146" s="55">
        <f t="shared" si="90"/>
        <v>10.035759493670888</v>
      </c>
      <c r="K146" s="3"/>
      <c r="L146" s="14">
        <f t="shared" si="67"/>
        <v>122.38582271578557</v>
      </c>
      <c r="M146" s="14">
        <f t="shared" si="68"/>
        <v>16.030112223797023</v>
      </c>
      <c r="N146" s="14">
        <f t="shared" si="69"/>
        <v>4.3133374301137453</v>
      </c>
      <c r="O146" s="14">
        <f t="shared" si="70"/>
        <v>24.073633603238868</v>
      </c>
      <c r="P146" s="14">
        <f t="shared" si="71"/>
        <v>8.4151432046491195</v>
      </c>
      <c r="Q146" s="14">
        <f t="shared" si="72"/>
        <v>10.375782472613455</v>
      </c>
      <c r="R146" s="14">
        <f t="shared" si="73"/>
        <v>21.420184210526319</v>
      </c>
      <c r="S146" s="14">
        <f t="shared" si="74"/>
        <v>1.7300042842105263</v>
      </c>
      <c r="T146" s="14">
        <f t="shared" si="75"/>
        <v>30.107278481012663</v>
      </c>
      <c r="V146" s="14">
        <f t="shared" si="77"/>
        <v>238.85129862594729</v>
      </c>
      <c r="W146" s="14">
        <f t="shared" si="78"/>
        <v>208.74402014493464</v>
      </c>
      <c r="X146" s="163"/>
      <c r="Y146" s="4">
        <v>1.4381660626233186</v>
      </c>
      <c r="Z146" s="4">
        <v>0.81680263107108697</v>
      </c>
      <c r="AA146" s="4">
        <v>4.4843623474305181</v>
      </c>
      <c r="AB146" s="4">
        <v>6.6271819442759616</v>
      </c>
      <c r="AC146" s="4">
        <v>8.1763072390504909</v>
      </c>
      <c r="AD146" s="4">
        <v>5.2633664528572091</v>
      </c>
      <c r="AE146" s="4">
        <v>7.8818244867151277</v>
      </c>
      <c r="AF146" s="4">
        <v>5.4458544977624799</v>
      </c>
      <c r="AG146" s="5"/>
      <c r="AH146" s="5"/>
      <c r="AI146" s="152">
        <f t="shared" si="79"/>
        <v>278.28513311761213</v>
      </c>
      <c r="AJ146" s="152">
        <f t="shared" si="80"/>
        <v>16.336052621421739</v>
      </c>
      <c r="AK146" s="152">
        <f t="shared" si="81"/>
        <v>22.421811737152591</v>
      </c>
      <c r="AL146" s="152">
        <f t="shared" si="82"/>
        <v>19.881545832827886</v>
      </c>
      <c r="AM146" s="152">
        <f t="shared" si="83"/>
        <v>10.629199410765638</v>
      </c>
      <c r="AN146" s="152">
        <f t="shared" si="84"/>
        <v>15.790099358571627</v>
      </c>
      <c r="AO146" s="152">
        <f t="shared" si="85"/>
        <v>10.246371832729666</v>
      </c>
      <c r="AP146" s="152">
        <f t="shared" si="86"/>
        <v>7.0796108470912245</v>
      </c>
      <c r="AS146" s="152">
        <f t="shared" si="87"/>
        <v>380.66982475817252</v>
      </c>
      <c r="AT146" s="156">
        <v>1790</v>
      </c>
      <c r="AU146" s="109">
        <f t="shared" si="88"/>
        <v>0.54835977681588788</v>
      </c>
      <c r="AV146" s="109">
        <f t="shared" si="62"/>
        <v>0.66084867456856577</v>
      </c>
    </row>
    <row r="147" spans="1:48" x14ac:dyDescent="0.2">
      <c r="A147" s="156">
        <v>1791</v>
      </c>
      <c r="B147" s="56">
        <v>0.6573145064063507</v>
      </c>
      <c r="C147" s="56">
        <v>0.80150561118985109</v>
      </c>
      <c r="D147" s="56">
        <v>0.89074915023057433</v>
      </c>
      <c r="E147" s="56">
        <v>8.0245445344129536</v>
      </c>
      <c r="F147" s="57">
        <f t="shared" si="89"/>
        <v>6.7031623314439921</v>
      </c>
      <c r="G147" s="109">
        <v>3.456572769953052</v>
      </c>
      <c r="H147" s="55">
        <f>H146+($H$149-$H$144)/5</f>
        <v>16.901798245614035</v>
      </c>
      <c r="I147" s="55">
        <f>I146+($I$149-$I$144)/5</f>
        <v>1.3683189649122807</v>
      </c>
      <c r="J147" s="55">
        <f t="shared" si="90"/>
        <v>10.437189873417724</v>
      </c>
      <c r="K147" s="3"/>
      <c r="L147" s="14">
        <f t="shared" si="67"/>
        <v>117.65929664673678</v>
      </c>
      <c r="M147" s="14">
        <f t="shared" si="68"/>
        <v>16.030112223797023</v>
      </c>
      <c r="N147" s="14">
        <f t="shared" si="69"/>
        <v>4.453745751152872</v>
      </c>
      <c r="O147" s="14">
        <f t="shared" si="70"/>
        <v>24.073633603238861</v>
      </c>
      <c r="P147" s="14">
        <f t="shared" si="71"/>
        <v>8.7141110308771896</v>
      </c>
      <c r="Q147" s="14">
        <f t="shared" si="72"/>
        <v>10.369718309859156</v>
      </c>
      <c r="R147" s="14">
        <f t="shared" si="73"/>
        <v>21.972337719298245</v>
      </c>
      <c r="S147" s="14">
        <f t="shared" si="74"/>
        <v>1.7788146543859649</v>
      </c>
      <c r="T147" s="14">
        <f t="shared" si="75"/>
        <v>31.311569620253174</v>
      </c>
      <c r="V147" s="14">
        <f t="shared" si="77"/>
        <v>236.3633395595993</v>
      </c>
      <c r="W147" s="14">
        <f t="shared" si="78"/>
        <v>205.05176993934612</v>
      </c>
      <c r="X147" s="163"/>
      <c r="Y147" s="4">
        <v>1.2897733828016373</v>
      </c>
      <c r="Z147" s="4">
        <v>0.75548526995772092</v>
      </c>
      <c r="AA147" s="4">
        <v>4.5801424823377346</v>
      </c>
      <c r="AB147" s="4">
        <v>6.7493180093875829</v>
      </c>
      <c r="AC147" s="4">
        <v>7.6515053581481682</v>
      </c>
      <c r="AD147" s="4">
        <v>5.4008887776746075</v>
      </c>
      <c r="AE147" s="4">
        <v>7.6784461872588992</v>
      </c>
      <c r="AF147" s="4">
        <v>6.2937147270823486</v>
      </c>
      <c r="AG147" s="5"/>
      <c r="AH147" s="5"/>
      <c r="AI147" s="152">
        <f t="shared" si="79"/>
        <v>249.57114957211684</v>
      </c>
      <c r="AJ147" s="152">
        <f t="shared" si="80"/>
        <v>15.109705399154418</v>
      </c>
      <c r="AK147" s="152">
        <f t="shared" si="81"/>
        <v>22.900712411688673</v>
      </c>
      <c r="AL147" s="152">
        <f t="shared" si="82"/>
        <v>20.247954028162749</v>
      </c>
      <c r="AM147" s="152">
        <f t="shared" si="83"/>
        <v>9.9469569655926193</v>
      </c>
      <c r="AN147" s="152">
        <f t="shared" si="84"/>
        <v>16.202666333023821</v>
      </c>
      <c r="AO147" s="152">
        <f t="shared" si="85"/>
        <v>9.98198004343657</v>
      </c>
      <c r="AP147" s="152">
        <f t="shared" si="86"/>
        <v>8.181829145207054</v>
      </c>
      <c r="AS147" s="152">
        <f t="shared" si="87"/>
        <v>352.14295389838276</v>
      </c>
      <c r="AT147" s="156">
        <v>1791</v>
      </c>
      <c r="AU147" s="109">
        <f t="shared" si="88"/>
        <v>0.58229695545326043</v>
      </c>
      <c r="AV147" s="109">
        <f t="shared" si="62"/>
        <v>0.65427686816529074</v>
      </c>
    </row>
    <row r="148" spans="1:48" x14ac:dyDescent="0.2">
      <c r="A148" s="156">
        <v>1792</v>
      </c>
      <c r="B148" s="56">
        <v>0.66077876319579987</v>
      </c>
      <c r="C148" s="56">
        <v>0.80150561118985109</v>
      </c>
      <c r="D148" s="56">
        <v>0.89242661943319845</v>
      </c>
      <c r="E148" s="57">
        <v>7.077354147979344</v>
      </c>
      <c r="F148" s="57">
        <f t="shared" si="89"/>
        <v>6.9331375823886612</v>
      </c>
      <c r="G148" s="55">
        <f>G147+($G$150-$G$147)/3</f>
        <v>3.4548882802990786</v>
      </c>
      <c r="H148" s="55">
        <f>H147+($H$149-$H$144)/5</f>
        <v>17.326531713900135</v>
      </c>
      <c r="I148" s="55">
        <f>I147+($I$149-$I$144)/5</f>
        <v>1.4058654035087719</v>
      </c>
      <c r="J148" s="55">
        <f t="shared" si="90"/>
        <v>10.83862025316456</v>
      </c>
      <c r="K148" s="3"/>
      <c r="L148" s="14">
        <f t="shared" si="67"/>
        <v>118.27939861204818</v>
      </c>
      <c r="M148" s="14">
        <f t="shared" si="68"/>
        <v>16.030112223797023</v>
      </c>
      <c r="N148" s="14">
        <f t="shared" si="69"/>
        <v>4.4621330971659923</v>
      </c>
      <c r="O148" s="14">
        <f t="shared" si="70"/>
        <v>21.232062443938034</v>
      </c>
      <c r="P148" s="14">
        <f t="shared" si="71"/>
        <v>9.0130788571052598</v>
      </c>
      <c r="Q148" s="14">
        <f t="shared" si="72"/>
        <v>10.364664840897236</v>
      </c>
      <c r="R148" s="14">
        <f t="shared" si="73"/>
        <v>22.524491228070175</v>
      </c>
      <c r="S148" s="14">
        <f t="shared" si="74"/>
        <v>1.8276250245614034</v>
      </c>
      <c r="T148" s="14">
        <f t="shared" si="75"/>
        <v>32.515860759493677</v>
      </c>
      <c r="V148" s="14">
        <f t="shared" si="77"/>
        <v>236.24942708707698</v>
      </c>
      <c r="W148" s="14">
        <f t="shared" si="78"/>
        <v>203.7335663275833</v>
      </c>
      <c r="X148" s="163"/>
      <c r="Y148" s="4">
        <v>1.1671729365963266</v>
      </c>
      <c r="Z148" s="4">
        <v>0.82688554291790806</v>
      </c>
      <c r="AA148" s="4">
        <v>4.6117302316045725</v>
      </c>
      <c r="AB148" s="4">
        <v>6.9951738746076293</v>
      </c>
      <c r="AC148" s="4">
        <v>8.0976703401460011</v>
      </c>
      <c r="AD148" s="4">
        <v>5.1904615774326768</v>
      </c>
      <c r="AE148" s="4">
        <v>7.4312286465227544</v>
      </c>
      <c r="AF148" s="4">
        <v>6.2638027810911057</v>
      </c>
      <c r="AG148" s="5"/>
      <c r="AH148" s="5"/>
      <c r="AI148" s="152">
        <f t="shared" si="79"/>
        <v>225.8479632313892</v>
      </c>
      <c r="AJ148" s="152">
        <f t="shared" si="80"/>
        <v>16.53771085835816</v>
      </c>
      <c r="AK148" s="152">
        <f t="shared" si="81"/>
        <v>23.058651158022862</v>
      </c>
      <c r="AL148" s="152">
        <f t="shared" si="82"/>
        <v>20.985521623822887</v>
      </c>
      <c r="AM148" s="152">
        <f t="shared" si="83"/>
        <v>10.526971442189803</v>
      </c>
      <c r="AN148" s="152">
        <f t="shared" si="84"/>
        <v>15.57138473229803</v>
      </c>
      <c r="AO148" s="152">
        <f t="shared" si="85"/>
        <v>9.6605972404795803</v>
      </c>
      <c r="AP148" s="152">
        <f t="shared" si="86"/>
        <v>8.1429436154184369</v>
      </c>
      <c r="AS148" s="152">
        <f t="shared" si="87"/>
        <v>330.331743901979</v>
      </c>
      <c r="AT148" s="156">
        <v>1792</v>
      </c>
      <c r="AU148" s="109">
        <f t="shared" si="88"/>
        <v>0.61675442971668559</v>
      </c>
      <c r="AV148" s="109">
        <f t="shared" si="62"/>
        <v>0.57176537407936223</v>
      </c>
    </row>
    <row r="149" spans="1:48" x14ac:dyDescent="0.2">
      <c r="A149" s="156">
        <v>1793</v>
      </c>
      <c r="B149" s="56">
        <v>0.71400995885128182</v>
      </c>
      <c r="C149" s="56">
        <v>0.80150561118985109</v>
      </c>
      <c r="D149" s="56">
        <v>0.7802920360202652</v>
      </c>
      <c r="E149" s="56">
        <v>6.1301637615457354</v>
      </c>
      <c r="F149" s="56">
        <v>7.1631128333333338</v>
      </c>
      <c r="G149" s="55">
        <f>G148+($G$150-$G$147)/3</f>
        <v>3.4532037906451052</v>
      </c>
      <c r="H149" s="113">
        <v>17.751265182186238</v>
      </c>
      <c r="I149" s="99">
        <v>1.4434118421052635</v>
      </c>
      <c r="J149" s="109">
        <v>11.240050632911395</v>
      </c>
      <c r="K149" s="3"/>
      <c r="L149" s="14">
        <f t="shared" si="67"/>
        <v>127.80778263437945</v>
      </c>
      <c r="M149" s="14">
        <f t="shared" si="68"/>
        <v>16.030112223797023</v>
      </c>
      <c r="N149" s="14">
        <f t="shared" si="69"/>
        <v>3.901460180101326</v>
      </c>
      <c r="O149" s="14">
        <f t="shared" si="70"/>
        <v>18.390491284637207</v>
      </c>
      <c r="P149" s="14">
        <f t="shared" si="71"/>
        <v>9.3120466833333335</v>
      </c>
      <c r="Q149" s="14">
        <f t="shared" si="72"/>
        <v>10.359611371935316</v>
      </c>
      <c r="R149" s="14">
        <f t="shared" si="73"/>
        <v>23.076644736842109</v>
      </c>
      <c r="S149" s="14">
        <f t="shared" si="74"/>
        <v>1.8764353947368426</v>
      </c>
      <c r="T149" s="14">
        <f t="shared" si="75"/>
        <v>33.720151898734187</v>
      </c>
      <c r="V149" s="14">
        <f t="shared" si="77"/>
        <v>244.47473640849677</v>
      </c>
      <c r="W149" s="14">
        <f t="shared" si="78"/>
        <v>210.75458450976259</v>
      </c>
      <c r="X149" s="163"/>
      <c r="Y149" s="4">
        <v>1.3084076915015104</v>
      </c>
      <c r="Z149" s="4">
        <v>0.90176111791254399</v>
      </c>
      <c r="AA149" s="4">
        <v>4.8519732207526554</v>
      </c>
      <c r="AB149" s="4">
        <v>7.4052027586310896</v>
      </c>
      <c r="AC149" s="4">
        <v>9.2506125582778207</v>
      </c>
      <c r="AD149" s="4">
        <v>4.2778027132442311</v>
      </c>
      <c r="AE149" s="4">
        <v>7.6751940139801391</v>
      </c>
      <c r="AF149" s="4">
        <v>6.7596075765156973</v>
      </c>
      <c r="AG149" s="5"/>
      <c r="AH149" s="5"/>
      <c r="AI149" s="152">
        <f t="shared" si="79"/>
        <v>253.17688830554226</v>
      </c>
      <c r="AJ149" s="152">
        <f t="shared" si="80"/>
        <v>18.035222358250881</v>
      </c>
      <c r="AK149" s="152">
        <f t="shared" si="81"/>
        <v>24.259866103763276</v>
      </c>
      <c r="AL149" s="152">
        <f t="shared" si="82"/>
        <v>22.215608275893267</v>
      </c>
      <c r="AM149" s="152">
        <f t="shared" si="83"/>
        <v>12.025796325761167</v>
      </c>
      <c r="AN149" s="152">
        <f t="shared" si="84"/>
        <v>12.833408139732693</v>
      </c>
      <c r="AO149" s="152">
        <f t="shared" si="85"/>
        <v>9.9777522181741816</v>
      </c>
      <c r="AP149" s="152">
        <f t="shared" si="86"/>
        <v>8.7874898494704077</v>
      </c>
      <c r="AS149" s="152">
        <f t="shared" si="87"/>
        <v>361.3120315765882</v>
      </c>
      <c r="AT149" s="156">
        <v>1793</v>
      </c>
      <c r="AU149" s="109">
        <f t="shared" si="88"/>
        <v>0.58330353293283133</v>
      </c>
      <c r="AV149" s="109">
        <f t="shared" si="62"/>
        <v>0.54820239791030179</v>
      </c>
    </row>
    <row r="150" spans="1:48" x14ac:dyDescent="0.2">
      <c r="A150" s="156">
        <v>1794</v>
      </c>
      <c r="B150" s="56">
        <v>0.64250292904744688</v>
      </c>
      <c r="C150" s="56">
        <v>0.80150561118985109</v>
      </c>
      <c r="D150" s="57">
        <v>1.1577625713434663</v>
      </c>
      <c r="E150" s="57">
        <v>6.9000519461593015</v>
      </c>
      <c r="F150" s="57">
        <f>F149+($F$152-$F$149)/3</f>
        <v>8.6142209712100772</v>
      </c>
      <c r="G150" s="109">
        <v>3.4515193009911314</v>
      </c>
      <c r="H150" s="55">
        <f>H149+($H$153-$H$149)/4</f>
        <v>14.891991396761135</v>
      </c>
      <c r="I150" s="55">
        <f>I149+($I$153-$I$149)/4</f>
        <v>1.1906520394736846</v>
      </c>
      <c r="J150" s="55">
        <f>J149+($J$153-$J$149)/4</f>
        <v>10.404215189873419</v>
      </c>
      <c r="K150" s="3"/>
      <c r="L150" s="14">
        <f t="shared" si="67"/>
        <v>115.00802429949299</v>
      </c>
      <c r="M150" s="14">
        <f t="shared" si="68"/>
        <v>16.030112223797023</v>
      </c>
      <c r="N150" s="14">
        <f t="shared" si="69"/>
        <v>5.7888128567173318</v>
      </c>
      <c r="O150" s="14">
        <f t="shared" si="70"/>
        <v>20.700155838477905</v>
      </c>
      <c r="P150" s="14">
        <f t="shared" si="71"/>
        <v>11.198487262573101</v>
      </c>
      <c r="Q150" s="14">
        <f t="shared" si="72"/>
        <v>10.354557902973394</v>
      </c>
      <c r="R150" s="14">
        <f t="shared" si="73"/>
        <v>19.359588815789476</v>
      </c>
      <c r="S150" s="14">
        <f t="shared" si="74"/>
        <v>1.5478476513157899</v>
      </c>
      <c r="T150" s="14">
        <f t="shared" si="75"/>
        <v>31.212645569620257</v>
      </c>
      <c r="V150" s="14">
        <f t="shared" si="77"/>
        <v>231.20023242075726</v>
      </c>
      <c r="W150" s="14">
        <f t="shared" si="78"/>
        <v>199.987586851137</v>
      </c>
      <c r="X150" s="163"/>
      <c r="Y150" s="4">
        <v>1.3849982349874057</v>
      </c>
      <c r="Z150" s="4">
        <v>0.92098395885812923</v>
      </c>
      <c r="AA150" s="4">
        <v>4.86190551278849</v>
      </c>
      <c r="AB150" s="4">
        <v>7.8421403325134431</v>
      </c>
      <c r="AC150" s="4">
        <v>8.4218518764277359</v>
      </c>
      <c r="AD150" s="4">
        <v>4.7615505597794865</v>
      </c>
      <c r="AE150" s="4">
        <v>7.8505417479398529</v>
      </c>
      <c r="AF150" s="4">
        <v>6.9172051472992031</v>
      </c>
      <c r="AG150" s="5"/>
      <c r="AH150" s="5"/>
      <c r="AI150" s="152">
        <f t="shared" si="79"/>
        <v>267.99715847006303</v>
      </c>
      <c r="AJ150" s="152">
        <f t="shared" si="80"/>
        <v>18.419679177162585</v>
      </c>
      <c r="AK150" s="152">
        <f t="shared" si="81"/>
        <v>24.309527563942449</v>
      </c>
      <c r="AL150" s="152">
        <f t="shared" si="82"/>
        <v>23.526420997540328</v>
      </c>
      <c r="AM150" s="152">
        <f t="shared" si="83"/>
        <v>10.948407439356057</v>
      </c>
      <c r="AN150" s="152">
        <f t="shared" si="84"/>
        <v>14.284651679338459</v>
      </c>
      <c r="AO150" s="152">
        <f t="shared" si="85"/>
        <v>10.205704272321809</v>
      </c>
      <c r="AP150" s="152">
        <f t="shared" si="86"/>
        <v>8.9923666914889644</v>
      </c>
      <c r="AS150" s="152">
        <f t="shared" si="87"/>
        <v>378.68391629121362</v>
      </c>
      <c r="AT150" s="156">
        <v>1794</v>
      </c>
      <c r="AU150" s="109">
        <f t="shared" si="88"/>
        <v>0.52811217547814615</v>
      </c>
      <c r="AV150" s="109">
        <f t="shared" si="62"/>
        <v>0.51445006173995222</v>
      </c>
    </row>
    <row r="151" spans="1:48" x14ac:dyDescent="0.2">
      <c r="A151" s="156">
        <v>1795</v>
      </c>
      <c r="B151" s="56">
        <v>0.59994165498475538</v>
      </c>
      <c r="C151" s="56">
        <v>1.0353400404284501</v>
      </c>
      <c r="D151" s="56">
        <v>1.5352331066666671</v>
      </c>
      <c r="E151" s="57">
        <v>7.6699401307728676</v>
      </c>
      <c r="F151" s="57">
        <f>F150+($F$152-$F$149)/3</f>
        <v>10.06532910908682</v>
      </c>
      <c r="G151" s="55">
        <f t="shared" ref="G151:G190" si="91">G150+($G$191-$G$150)/41</f>
        <v>3.431473882891154</v>
      </c>
      <c r="H151" s="55">
        <f>H150+($H$153-$H$149)/4</f>
        <v>12.032717611336032</v>
      </c>
      <c r="I151" s="55">
        <f>I150+($I$153-$I$149)/4</f>
        <v>0.93789223684210565</v>
      </c>
      <c r="J151" s="55">
        <f>J150+($J$153-$J$149)/4</f>
        <v>9.5683797468354435</v>
      </c>
      <c r="K151" s="3"/>
      <c r="L151" s="14">
        <f t="shared" si="67"/>
        <v>107.38955624227121</v>
      </c>
      <c r="M151" s="14">
        <f t="shared" si="68"/>
        <v>20.706800808569</v>
      </c>
      <c r="N151" s="14">
        <f t="shared" si="69"/>
        <v>7.6761655333333358</v>
      </c>
      <c r="O151" s="14">
        <f t="shared" si="70"/>
        <v>23.009820392318602</v>
      </c>
      <c r="P151" s="14">
        <f t="shared" si="71"/>
        <v>13.084927841812867</v>
      </c>
      <c r="Q151" s="14">
        <f t="shared" si="72"/>
        <v>10.294421648673461</v>
      </c>
      <c r="R151" s="14">
        <f t="shared" si="73"/>
        <v>15.642532894736842</v>
      </c>
      <c r="S151" s="14">
        <f t="shared" si="74"/>
        <v>1.2192599078947375</v>
      </c>
      <c r="T151" s="14">
        <f t="shared" si="75"/>
        <v>28.70513924050633</v>
      </c>
      <c r="V151" s="14">
        <f t="shared" si="77"/>
        <v>227.72862451011633</v>
      </c>
      <c r="W151" s="14">
        <f t="shared" si="78"/>
        <v>199.02348526961001</v>
      </c>
      <c r="X151" s="163"/>
      <c r="Y151" s="4">
        <v>1.7390213816972135</v>
      </c>
      <c r="Z151" s="4">
        <v>1.1283834186416235</v>
      </c>
      <c r="AA151" s="4">
        <v>5.0732422351329296</v>
      </c>
      <c r="AB151" s="4">
        <v>7.8481784802303229</v>
      </c>
      <c r="AC151" s="4">
        <v>9.8661865136722362</v>
      </c>
      <c r="AD151" s="4">
        <v>5.5569496215083571</v>
      </c>
      <c r="AE151" s="4">
        <v>8.7866560027942651</v>
      </c>
      <c r="AF151" s="4">
        <v>10.277648338729135</v>
      </c>
      <c r="AG151" s="5"/>
      <c r="AH151" s="5"/>
      <c r="AI151" s="152">
        <f t="shared" si="79"/>
        <v>336.50063735841081</v>
      </c>
      <c r="AJ151" s="152">
        <f t="shared" si="80"/>
        <v>22.567668372832472</v>
      </c>
      <c r="AK151" s="152">
        <f t="shared" si="81"/>
        <v>25.366211175664649</v>
      </c>
      <c r="AL151" s="152">
        <f t="shared" si="82"/>
        <v>23.544535440690968</v>
      </c>
      <c r="AM151" s="152">
        <f t="shared" si="83"/>
        <v>12.826042467773908</v>
      </c>
      <c r="AN151" s="152">
        <f t="shared" si="84"/>
        <v>16.67084886452507</v>
      </c>
      <c r="AO151" s="152">
        <f t="shared" si="85"/>
        <v>11.422652803632545</v>
      </c>
      <c r="AP151" s="152">
        <f t="shared" si="86"/>
        <v>13.360942840347876</v>
      </c>
      <c r="AS151" s="152">
        <f t="shared" si="87"/>
        <v>462.25953932387836</v>
      </c>
      <c r="AT151" s="156">
        <v>1795</v>
      </c>
      <c r="AU151" s="109">
        <f t="shared" si="88"/>
        <v>0.43054489597058554</v>
      </c>
      <c r="AV151" s="109">
        <f t="shared" si="62"/>
        <v>0.50933260535896718</v>
      </c>
    </row>
    <row r="152" spans="1:48" x14ac:dyDescent="0.2">
      <c r="A152" s="156">
        <v>1796</v>
      </c>
      <c r="B152" s="56">
        <v>0.711723669230233</v>
      </c>
      <c r="C152" s="57">
        <v>1.0353400404284494</v>
      </c>
      <c r="D152" s="57">
        <v>1.5350929283333337</v>
      </c>
      <c r="E152" s="57">
        <v>8.4398283153864337</v>
      </c>
      <c r="F152" s="92">
        <v>11.516437246963562</v>
      </c>
      <c r="G152" s="55">
        <f t="shared" si="91"/>
        <v>3.4114284647911766</v>
      </c>
      <c r="H152" s="55">
        <f>H151+($H$153-$H$149)/4</f>
        <v>9.1734438259109297</v>
      </c>
      <c r="I152" s="55">
        <f>I151+($I$153-$I$149)/4</f>
        <v>0.68513243421052672</v>
      </c>
      <c r="J152" s="55">
        <f>J151+($J$153-$J$149)/4</f>
        <v>8.7325443037974679</v>
      </c>
      <c r="K152" s="3"/>
      <c r="L152" s="14">
        <f t="shared" si="67"/>
        <v>127.3985367922117</v>
      </c>
      <c r="M152" s="14">
        <f t="shared" si="68"/>
        <v>20.706800808568989</v>
      </c>
      <c r="N152" s="14">
        <f t="shared" si="69"/>
        <v>7.6754646416666681</v>
      </c>
      <c r="O152" s="14">
        <f t="shared" si="70"/>
        <v>25.319484946159299</v>
      </c>
      <c r="P152" s="14">
        <f t="shared" si="71"/>
        <v>14.971368421052631</v>
      </c>
      <c r="Q152" s="14">
        <f t="shared" si="72"/>
        <v>10.234285394373529</v>
      </c>
      <c r="R152" s="14">
        <f t="shared" si="73"/>
        <v>11.925476973684209</v>
      </c>
      <c r="S152" s="14">
        <f t="shared" si="74"/>
        <v>0.8906721644736848</v>
      </c>
      <c r="T152" s="14">
        <f t="shared" si="75"/>
        <v>26.197632911392404</v>
      </c>
      <c r="V152" s="14">
        <f t="shared" si="77"/>
        <v>245.31972305358312</v>
      </c>
      <c r="W152" s="14">
        <f t="shared" si="78"/>
        <v>219.1220901421907</v>
      </c>
      <c r="X152" s="163"/>
      <c r="Y152" s="4">
        <v>2.0838679575402188</v>
      </c>
      <c r="Z152" s="4">
        <v>0.96224636593962054</v>
      </c>
      <c r="AA152" s="4">
        <v>6.0614517761230795</v>
      </c>
      <c r="AB152" s="4">
        <v>7.9259144032223929</v>
      </c>
      <c r="AC152" s="4">
        <v>9.7806959143983097</v>
      </c>
      <c r="AD152" s="4">
        <v>5.1022833721807244</v>
      </c>
      <c r="AE152" s="4">
        <v>9.3926027539546215</v>
      </c>
      <c r="AF152" s="4">
        <v>10.065147403258131</v>
      </c>
      <c r="AG152" s="5"/>
      <c r="AH152" s="5"/>
      <c r="AI152" s="152">
        <f t="shared" si="79"/>
        <v>403.22844978403236</v>
      </c>
      <c r="AJ152" s="152">
        <f t="shared" si="80"/>
        <v>19.24492731879241</v>
      </c>
      <c r="AK152" s="152">
        <f t="shared" si="81"/>
        <v>30.307258880615397</v>
      </c>
      <c r="AL152" s="152">
        <f t="shared" si="82"/>
        <v>23.777743209667179</v>
      </c>
      <c r="AM152" s="152">
        <f t="shared" si="83"/>
        <v>12.714904688717803</v>
      </c>
      <c r="AN152" s="152">
        <f t="shared" si="84"/>
        <v>15.306850116542172</v>
      </c>
      <c r="AO152" s="152">
        <f t="shared" si="85"/>
        <v>12.210383580141009</v>
      </c>
      <c r="AP152" s="152">
        <f t="shared" si="86"/>
        <v>13.084691624235569</v>
      </c>
      <c r="AS152" s="152">
        <f t="shared" si="87"/>
        <v>529.87520920274392</v>
      </c>
      <c r="AT152" s="156">
        <v>1796</v>
      </c>
      <c r="AU152" s="109">
        <f t="shared" si="88"/>
        <v>0.41353527460151274</v>
      </c>
      <c r="AV152" s="109">
        <f t="shared" si="62"/>
        <v>0.54192555133823705</v>
      </c>
    </row>
    <row r="153" spans="1:48" x14ac:dyDescent="0.2">
      <c r="A153" s="156">
        <v>1797</v>
      </c>
      <c r="B153" s="56">
        <v>0.83337029769335369</v>
      </c>
      <c r="C153" s="56">
        <v>1.0353400404284487</v>
      </c>
      <c r="D153" s="56">
        <v>1.5349527500000002</v>
      </c>
      <c r="E153" s="56">
        <v>9.2097165000000007</v>
      </c>
      <c r="F153" s="56">
        <v>8.1864146666666677</v>
      </c>
      <c r="G153" s="55">
        <f t="shared" si="91"/>
        <v>3.3913830466911992</v>
      </c>
      <c r="H153" s="113">
        <v>6.3141700404858314</v>
      </c>
      <c r="I153" s="99">
        <v>0.43237263157894756</v>
      </c>
      <c r="J153" s="109">
        <v>7.8967088607594942</v>
      </c>
      <c r="K153" s="3"/>
      <c r="L153" s="14">
        <f t="shared" si="67"/>
        <v>149.17328328711031</v>
      </c>
      <c r="M153" s="14">
        <f t="shared" si="68"/>
        <v>20.706800808568975</v>
      </c>
      <c r="N153" s="14">
        <f t="shared" si="69"/>
        <v>7.6747637500000012</v>
      </c>
      <c r="O153" s="14">
        <f t="shared" si="70"/>
        <v>27.629149500000004</v>
      </c>
      <c r="P153" s="14">
        <f t="shared" si="71"/>
        <v>10.642339066666668</v>
      </c>
      <c r="Q153" s="14">
        <f t="shared" si="72"/>
        <v>10.174149140073597</v>
      </c>
      <c r="R153" s="14">
        <f t="shared" si="73"/>
        <v>8.2084210526315804</v>
      </c>
      <c r="S153" s="14">
        <f t="shared" si="74"/>
        <v>0.5620844210526319</v>
      </c>
      <c r="T153" s="14">
        <f t="shared" si="75"/>
        <v>23.690126582278481</v>
      </c>
      <c r="V153" s="14">
        <f t="shared" si="77"/>
        <v>258.46111760838232</v>
      </c>
      <c r="W153" s="14">
        <f t="shared" si="78"/>
        <v>234.77099102610384</v>
      </c>
      <c r="X153" s="163"/>
      <c r="Y153" s="4">
        <v>1.4504536771859498</v>
      </c>
      <c r="Z153" s="4">
        <v>0.65863278073495057</v>
      </c>
      <c r="AA153" s="4">
        <v>6.8841245092280827</v>
      </c>
      <c r="AB153" s="4">
        <v>9.1392956647976007</v>
      </c>
      <c r="AC153" s="4">
        <v>0</v>
      </c>
      <c r="AD153" s="4">
        <v>5.2795701641745874</v>
      </c>
      <c r="AE153" s="4">
        <v>9.1700254804697874</v>
      </c>
      <c r="AF153" s="4">
        <v>10.536636037597001</v>
      </c>
      <c r="AG153" s="5"/>
      <c r="AH153" s="5"/>
      <c r="AI153" s="152">
        <f t="shared" si="79"/>
        <v>280.6627865354813</v>
      </c>
      <c r="AJ153" s="152">
        <f t="shared" si="80"/>
        <v>13.172655614699011</v>
      </c>
      <c r="AK153" s="152">
        <f t="shared" si="81"/>
        <v>34.420622546140414</v>
      </c>
      <c r="AL153" s="152">
        <f t="shared" si="82"/>
        <v>27.417886994392802</v>
      </c>
      <c r="AM153" s="152">
        <f t="shared" si="83"/>
        <v>0</v>
      </c>
      <c r="AN153" s="152">
        <f t="shared" si="84"/>
        <v>15.838710492523763</v>
      </c>
      <c r="AO153" s="152">
        <f t="shared" si="85"/>
        <v>11.921033124610725</v>
      </c>
      <c r="AP153" s="152">
        <f t="shared" si="86"/>
        <v>13.697626848876101</v>
      </c>
      <c r="AS153" s="152">
        <f t="shared" si="87"/>
        <v>397.13132215672414</v>
      </c>
      <c r="AT153" s="156">
        <v>1797</v>
      </c>
      <c r="AU153" s="109">
        <f t="shared" si="88"/>
        <v>0.59116714781176005</v>
      </c>
      <c r="AV153" s="109">
        <f t="shared" si="62"/>
        <v>0.5752655406478635</v>
      </c>
    </row>
    <row r="154" spans="1:48" x14ac:dyDescent="0.2">
      <c r="A154" s="156">
        <v>1798</v>
      </c>
      <c r="B154" s="56">
        <v>0.84121378284811454</v>
      </c>
      <c r="C154" s="57">
        <f t="shared" ref="C154:C180" si="92">C153+($C$181-$C$153)/28</f>
        <v>1.033214463998172</v>
      </c>
      <c r="D154" s="56">
        <v>3.0699055000000004</v>
      </c>
      <c r="E154" s="56">
        <v>27.629149500000004</v>
      </c>
      <c r="F154" s="56">
        <v>12.279622000000002</v>
      </c>
      <c r="G154" s="55">
        <f t="shared" si="91"/>
        <v>3.3713376285912218</v>
      </c>
      <c r="H154" s="113">
        <v>11.275303643724698</v>
      </c>
      <c r="I154" s="99">
        <v>0.87093684210526334</v>
      </c>
      <c r="J154" s="109">
        <v>13.819240506329114</v>
      </c>
      <c r="K154" s="3"/>
      <c r="L154" s="14">
        <f t="shared" si="67"/>
        <v>150.5772671298125</v>
      </c>
      <c r="M154" s="14">
        <f t="shared" si="68"/>
        <v>20.664289279963441</v>
      </c>
      <c r="N154" s="14">
        <f t="shared" si="69"/>
        <v>15.349527500000002</v>
      </c>
      <c r="O154" s="14">
        <f t="shared" si="70"/>
        <v>82.887448500000005</v>
      </c>
      <c r="P154" s="14">
        <f t="shared" si="71"/>
        <v>15.963508600000003</v>
      </c>
      <c r="Q154" s="14">
        <f t="shared" si="72"/>
        <v>10.114012885773665</v>
      </c>
      <c r="R154" s="14">
        <f t="shared" si="73"/>
        <v>14.657894736842108</v>
      </c>
      <c r="S154" s="14">
        <f t="shared" si="74"/>
        <v>1.1322178947368424</v>
      </c>
      <c r="T154" s="14">
        <f t="shared" si="75"/>
        <v>41.457721518987341</v>
      </c>
      <c r="V154" s="14">
        <f t="shared" si="77"/>
        <v>352.8038880461159</v>
      </c>
      <c r="W154" s="14">
        <f t="shared" si="78"/>
        <v>311.34616652712856</v>
      </c>
      <c r="X154" s="163"/>
      <c r="Y154" s="4">
        <v>1.4693764087269696</v>
      </c>
      <c r="Z154" s="4">
        <v>0.75535803303708393</v>
      </c>
      <c r="AA154" s="4">
        <v>6.6031029049443895</v>
      </c>
      <c r="AB154" s="4">
        <v>9.4544074771745059</v>
      </c>
      <c r="AC154" s="4">
        <v>10.220934057575088</v>
      </c>
      <c r="AD154" s="4">
        <v>5.6553901364102463</v>
      </c>
      <c r="AE154" s="4">
        <v>9.3002080945351047</v>
      </c>
      <c r="AF154" s="4">
        <v>10.807842644423181</v>
      </c>
      <c r="AG154" s="5"/>
      <c r="AH154" s="5"/>
      <c r="AI154" s="152">
        <f t="shared" si="79"/>
        <v>284.32433508866865</v>
      </c>
      <c r="AJ154" s="152">
        <f t="shared" si="80"/>
        <v>15.107160660741679</v>
      </c>
      <c r="AK154" s="152">
        <f t="shared" si="81"/>
        <v>33.015514524721951</v>
      </c>
      <c r="AL154" s="152">
        <f t="shared" si="82"/>
        <v>28.363222431523518</v>
      </c>
      <c r="AM154" s="152">
        <f t="shared" si="83"/>
        <v>13.287214274847614</v>
      </c>
      <c r="AN154" s="152">
        <f t="shared" si="84"/>
        <v>16.966170409230738</v>
      </c>
      <c r="AO154" s="152">
        <f t="shared" si="85"/>
        <v>12.090270522895636</v>
      </c>
      <c r="AP154" s="152">
        <f t="shared" si="86"/>
        <v>14.050195437750135</v>
      </c>
      <c r="AS154" s="152">
        <f t="shared" si="87"/>
        <v>417.2040833503799</v>
      </c>
      <c r="AT154" s="156">
        <v>1798</v>
      </c>
      <c r="AU154" s="109">
        <f t="shared" si="88"/>
        <v>0.74626826282918035</v>
      </c>
      <c r="AV154" s="109">
        <f t="shared" si="62"/>
        <v>0.58823637554495478</v>
      </c>
    </row>
    <row r="155" spans="1:48" x14ac:dyDescent="0.2">
      <c r="A155" s="156">
        <v>1799</v>
      </c>
      <c r="B155" s="57">
        <v>0.91670732746268901</v>
      </c>
      <c r="C155" s="57">
        <f t="shared" si="92"/>
        <v>1.0310888875678952</v>
      </c>
      <c r="D155" s="57">
        <v>2.7629149500000008</v>
      </c>
      <c r="E155" s="57">
        <v>23.535942166666672</v>
      </c>
      <c r="F155" s="57">
        <f>F154+($F$157-$F$154)/3</f>
        <v>14.326225666666668</v>
      </c>
      <c r="G155" s="55">
        <f t="shared" si="91"/>
        <v>3.3512922104912444</v>
      </c>
      <c r="H155" s="55">
        <f t="shared" ref="H155:H166" si="93">H154+($H$167-$H$154)/13</f>
        <v>11.384832267412541</v>
      </c>
      <c r="I155" s="55">
        <f t="shared" ref="I155:I166" si="94">I154+($I$167-$I$154)/13</f>
        <v>0.88061917243926879</v>
      </c>
      <c r="J155" s="55">
        <f t="shared" ref="J155:J160" si="95">J154+($J$161-$J$154)/7</f>
        <v>12.923810126582278</v>
      </c>
      <c r="K155" s="3"/>
      <c r="L155" s="14">
        <f t="shared" si="67"/>
        <v>164.09061161582133</v>
      </c>
      <c r="M155" s="14">
        <f t="shared" si="68"/>
        <v>20.621777751357904</v>
      </c>
      <c r="N155" s="14">
        <f t="shared" si="69"/>
        <v>13.814574750000004</v>
      </c>
      <c r="O155" s="14">
        <f t="shared" si="70"/>
        <v>70.607826500000016</v>
      </c>
      <c r="P155" s="14">
        <f t="shared" si="71"/>
        <v>18.624093366666667</v>
      </c>
      <c r="Q155" s="14">
        <f t="shared" si="72"/>
        <v>10.053876631473733</v>
      </c>
      <c r="R155" s="14">
        <f t="shared" si="73"/>
        <v>14.800281947636304</v>
      </c>
      <c r="S155" s="14">
        <f t="shared" si="74"/>
        <v>1.1448049241710494</v>
      </c>
      <c r="T155" s="14">
        <f t="shared" si="75"/>
        <v>38.771430379746832</v>
      </c>
      <c r="V155" s="14">
        <f t="shared" si="77"/>
        <v>352.52927786687383</v>
      </c>
      <c r="W155" s="14">
        <f t="shared" si="78"/>
        <v>313.75784748712698</v>
      </c>
      <c r="X155" s="163"/>
      <c r="Y155" s="4">
        <v>1.6370325662961078</v>
      </c>
      <c r="Z155" s="4">
        <v>1.0578056985938549</v>
      </c>
      <c r="AA155" s="4">
        <v>6.2937543503899276</v>
      </c>
      <c r="AB155" s="4">
        <v>9.1934578286603852</v>
      </c>
      <c r="AC155" s="4">
        <v>9.7484282677588165</v>
      </c>
      <c r="AD155" s="4">
        <v>5.687358414826055</v>
      </c>
      <c r="AE155" s="4">
        <v>9.0716473031265163</v>
      </c>
      <c r="AF155" s="4">
        <v>10.056137397380988</v>
      </c>
      <c r="AG155" s="5"/>
      <c r="AH155" s="5"/>
      <c r="AI155" s="152">
        <f t="shared" si="79"/>
        <v>316.76580157829687</v>
      </c>
      <c r="AJ155" s="152">
        <f t="shared" si="80"/>
        <v>21.156113971877097</v>
      </c>
      <c r="AK155" s="152">
        <f t="shared" si="81"/>
        <v>31.468771751949639</v>
      </c>
      <c r="AL155" s="152">
        <f t="shared" si="82"/>
        <v>27.580373485981156</v>
      </c>
      <c r="AM155" s="152">
        <f t="shared" si="83"/>
        <v>12.672956748086461</v>
      </c>
      <c r="AN155" s="152">
        <f t="shared" si="84"/>
        <v>17.062075244478166</v>
      </c>
      <c r="AO155" s="152">
        <f t="shared" si="85"/>
        <v>11.793141494064471</v>
      </c>
      <c r="AP155" s="152">
        <f t="shared" si="86"/>
        <v>13.072978616595286</v>
      </c>
      <c r="AS155" s="152">
        <f t="shared" si="87"/>
        <v>451.57221289132917</v>
      </c>
      <c r="AT155" s="156">
        <v>1799</v>
      </c>
      <c r="AU155" s="109">
        <f t="shared" si="88"/>
        <v>0.69481212202627884</v>
      </c>
      <c r="AV155" s="109">
        <f t="shared" si="62"/>
        <v>0.59676009327103263</v>
      </c>
    </row>
    <row r="156" spans="1:48" x14ac:dyDescent="0.2">
      <c r="A156" s="156">
        <v>1800</v>
      </c>
      <c r="B156" s="57">
        <v>0.99220087207726348</v>
      </c>
      <c r="C156" s="57">
        <f t="shared" si="92"/>
        <v>1.0289633111376184</v>
      </c>
      <c r="D156" s="56">
        <v>2.4559244000000007</v>
      </c>
      <c r="E156" s="57">
        <v>19.44273483333334</v>
      </c>
      <c r="F156" s="57">
        <f>F155+($F$157-$F$154)/3</f>
        <v>16.372829333333335</v>
      </c>
      <c r="G156" s="55">
        <f t="shared" si="91"/>
        <v>3.331246792391267</v>
      </c>
      <c r="H156" s="55">
        <f t="shared" si="93"/>
        <v>11.494360891100385</v>
      </c>
      <c r="I156" s="55">
        <f t="shared" si="94"/>
        <v>0.89030150277327424</v>
      </c>
      <c r="J156" s="55">
        <f t="shared" si="95"/>
        <v>12.028379746835444</v>
      </c>
      <c r="K156" s="3"/>
      <c r="L156" s="14">
        <f t="shared" si="67"/>
        <v>177.60395610183016</v>
      </c>
      <c r="M156" s="14">
        <f t="shared" si="68"/>
        <v>20.579266222752366</v>
      </c>
      <c r="N156" s="14">
        <f t="shared" si="69"/>
        <v>12.279622000000003</v>
      </c>
      <c r="O156" s="14">
        <f t="shared" si="70"/>
        <v>58.32820450000002</v>
      </c>
      <c r="P156" s="14">
        <f t="shared" si="71"/>
        <v>21.284678133333337</v>
      </c>
      <c r="Q156" s="14">
        <f t="shared" si="72"/>
        <v>9.9937403771738005</v>
      </c>
      <c r="R156" s="14">
        <f t="shared" si="73"/>
        <v>14.942669158430501</v>
      </c>
      <c r="S156" s="14">
        <f t="shared" si="74"/>
        <v>1.1573919536052566</v>
      </c>
      <c r="T156" s="14">
        <f t="shared" si="75"/>
        <v>36.085139240506336</v>
      </c>
      <c r="V156" s="14">
        <f t="shared" si="77"/>
        <v>352.25466768763181</v>
      </c>
      <c r="W156" s="14">
        <f t="shared" si="78"/>
        <v>316.16952844712546</v>
      </c>
      <c r="X156" s="163"/>
      <c r="Y156" s="4">
        <v>2.5463075763272132</v>
      </c>
      <c r="Z156" s="4">
        <v>1.4504992032364639</v>
      </c>
      <c r="AA156" s="4">
        <v>6.9160090552325313</v>
      </c>
      <c r="AB156" s="4">
        <v>10.087623071794987</v>
      </c>
      <c r="AC156" s="4">
        <v>9.0332496662565411</v>
      </c>
      <c r="AD156" s="4">
        <v>5.1599407573766207</v>
      </c>
      <c r="AE156" s="4">
        <v>9.0751324686122015</v>
      </c>
      <c r="AF156" s="4">
        <v>9.7135832678811873</v>
      </c>
      <c r="AG156" s="5"/>
      <c r="AH156" s="5"/>
      <c r="AI156" s="152">
        <f t="shared" si="79"/>
        <v>492.71051601931572</v>
      </c>
      <c r="AJ156" s="152">
        <f t="shared" si="80"/>
        <v>29.009984064729277</v>
      </c>
      <c r="AK156" s="152">
        <f t="shared" si="81"/>
        <v>34.580045276162657</v>
      </c>
      <c r="AL156" s="152">
        <f t="shared" si="82"/>
        <v>30.26286921538496</v>
      </c>
      <c r="AM156" s="152">
        <f t="shared" si="83"/>
        <v>11.743224566133504</v>
      </c>
      <c r="AN156" s="152">
        <f t="shared" si="84"/>
        <v>15.479822272129862</v>
      </c>
      <c r="AO156" s="152">
        <f t="shared" si="85"/>
        <v>11.797672209195863</v>
      </c>
      <c r="AP156" s="152">
        <f t="shared" si="86"/>
        <v>12.627658248245544</v>
      </c>
      <c r="AS156" s="152">
        <f t="shared" si="87"/>
        <v>638.21179187129724</v>
      </c>
      <c r="AT156" s="156">
        <v>1800</v>
      </c>
      <c r="AU156" s="109">
        <f t="shared" si="88"/>
        <v>0.49539907045604181</v>
      </c>
      <c r="AV156" s="109">
        <f t="shared" si="62"/>
        <v>0.63040883265693537</v>
      </c>
    </row>
    <row r="157" spans="1:48" x14ac:dyDescent="0.2">
      <c r="A157" s="156">
        <v>1801</v>
      </c>
      <c r="B157" s="56">
        <v>1.0676944166918378</v>
      </c>
      <c r="C157" s="57">
        <f t="shared" si="92"/>
        <v>1.0268377347073416</v>
      </c>
      <c r="D157" s="56">
        <v>2.0466036666666669</v>
      </c>
      <c r="E157" s="56">
        <v>15.349527500000002</v>
      </c>
      <c r="F157" s="56">
        <v>18.419433000000001</v>
      </c>
      <c r="G157" s="55">
        <f t="shared" si="91"/>
        <v>3.3112013742912896</v>
      </c>
      <c r="H157" s="55">
        <f t="shared" si="93"/>
        <v>11.603889514788229</v>
      </c>
      <c r="I157" s="55">
        <f t="shared" si="94"/>
        <v>0.8999838331072797</v>
      </c>
      <c r="J157" s="55">
        <f t="shared" si="95"/>
        <v>11.13294936708861</v>
      </c>
      <c r="K157" s="3"/>
      <c r="L157" s="14">
        <f t="shared" si="67"/>
        <v>191.11730058783897</v>
      </c>
      <c r="M157" s="14">
        <f t="shared" si="68"/>
        <v>20.536754694146833</v>
      </c>
      <c r="N157" s="14">
        <f t="shared" si="69"/>
        <v>10.233018333333334</v>
      </c>
      <c r="O157" s="14">
        <f t="shared" si="70"/>
        <v>46.048582500000009</v>
      </c>
      <c r="P157" s="14">
        <f t="shared" si="71"/>
        <v>23.945262900000003</v>
      </c>
      <c r="Q157" s="14">
        <f t="shared" si="72"/>
        <v>9.9336041228738683</v>
      </c>
      <c r="R157" s="14">
        <f t="shared" si="73"/>
        <v>15.085056369224697</v>
      </c>
      <c r="S157" s="14">
        <f t="shared" si="74"/>
        <v>1.1699789830394636</v>
      </c>
      <c r="T157" s="14">
        <f t="shared" si="75"/>
        <v>33.398848101265827</v>
      </c>
      <c r="V157" s="14">
        <f t="shared" si="77"/>
        <v>351.46840659172301</v>
      </c>
      <c r="W157" s="14">
        <f t="shared" si="78"/>
        <v>318.06955849045721</v>
      </c>
      <c r="X157" s="163"/>
      <c r="Y157" s="4">
        <v>2.8399989598721493</v>
      </c>
      <c r="Z157" s="4">
        <v>1.4800223080941595</v>
      </c>
      <c r="AA157" s="4">
        <v>7.6491403009231478</v>
      </c>
      <c r="AB157" s="4">
        <v>9.3539584689519089</v>
      </c>
      <c r="AC157" s="4">
        <v>8.7593575442310527</v>
      </c>
      <c r="AD157" s="4">
        <v>5.1606889278031502</v>
      </c>
      <c r="AE157" s="4">
        <v>9.1938553351582417</v>
      </c>
      <c r="AF157" s="4">
        <v>10.012783516712581</v>
      </c>
      <c r="AG157" s="5"/>
      <c r="AH157" s="5"/>
      <c r="AI157" s="152">
        <f t="shared" si="79"/>
        <v>549.53979873526089</v>
      </c>
      <c r="AJ157" s="152">
        <f t="shared" si="80"/>
        <v>29.600446161883191</v>
      </c>
      <c r="AK157" s="152">
        <f t="shared" si="81"/>
        <v>38.245701504615738</v>
      </c>
      <c r="AL157" s="152">
        <f t="shared" si="82"/>
        <v>28.061875406855727</v>
      </c>
      <c r="AM157" s="152">
        <f t="shared" si="83"/>
        <v>11.387164807500369</v>
      </c>
      <c r="AN157" s="152">
        <f t="shared" si="84"/>
        <v>15.482066783409451</v>
      </c>
      <c r="AO157" s="152">
        <f t="shared" si="85"/>
        <v>11.952011935705714</v>
      </c>
      <c r="AP157" s="152">
        <f t="shared" si="86"/>
        <v>13.016618571726356</v>
      </c>
      <c r="AS157" s="152">
        <f t="shared" si="87"/>
        <v>697.28568390695739</v>
      </c>
      <c r="AT157" s="156">
        <v>1801</v>
      </c>
      <c r="AU157" s="109">
        <f t="shared" si="88"/>
        <v>0.4561538632319016</v>
      </c>
      <c r="AV157" s="109">
        <f t="shared" si="62"/>
        <v>0.65344172608671536</v>
      </c>
    </row>
    <row r="158" spans="1:48" x14ac:dyDescent="0.2">
      <c r="A158" s="156">
        <v>1802</v>
      </c>
      <c r="B158" s="56">
        <v>1.1129905434605822</v>
      </c>
      <c r="C158" s="57">
        <f t="shared" si="92"/>
        <v>1.0247121582770649</v>
      </c>
      <c r="D158" s="57">
        <v>2.5582545833333334</v>
      </c>
      <c r="E158" s="57">
        <v>19.954385750000004</v>
      </c>
      <c r="F158" s="57">
        <f>F157+($F$159-$F$157)/2</f>
        <v>21.489338500000002</v>
      </c>
      <c r="G158" s="55">
        <f t="shared" si="91"/>
        <v>3.2911559561913122</v>
      </c>
      <c r="H158" s="55">
        <f t="shared" si="93"/>
        <v>11.713418138476072</v>
      </c>
      <c r="I158" s="55">
        <f t="shared" si="94"/>
        <v>0.90966616344128515</v>
      </c>
      <c r="J158" s="55">
        <f t="shared" si="95"/>
        <v>10.237518987341776</v>
      </c>
      <c r="K158" s="3"/>
      <c r="L158" s="14">
        <f t="shared" si="67"/>
        <v>199.22530727944422</v>
      </c>
      <c r="M158" s="14">
        <f t="shared" si="68"/>
        <v>20.494243165541299</v>
      </c>
      <c r="N158" s="14">
        <f t="shared" si="69"/>
        <v>12.791272916666667</v>
      </c>
      <c r="O158" s="14">
        <f t="shared" si="70"/>
        <v>59.863157250000015</v>
      </c>
      <c r="P158" s="14">
        <f t="shared" si="71"/>
        <v>27.936140050000002</v>
      </c>
      <c r="Q158" s="14">
        <f t="shared" si="72"/>
        <v>9.8734678685739361</v>
      </c>
      <c r="R158" s="14">
        <f t="shared" si="73"/>
        <v>15.227443580018894</v>
      </c>
      <c r="S158" s="14">
        <f t="shared" si="74"/>
        <v>1.1825660124736708</v>
      </c>
      <c r="T158" s="14">
        <f t="shared" si="75"/>
        <v>30.712556962025328</v>
      </c>
      <c r="V158" s="14">
        <f t="shared" si="77"/>
        <v>377.30615508474398</v>
      </c>
      <c r="W158" s="14">
        <f t="shared" si="78"/>
        <v>346.59359812271867</v>
      </c>
      <c r="X158" s="163"/>
      <c r="Y158" s="4">
        <v>1.6524309667386812</v>
      </c>
      <c r="Z158" s="4">
        <v>0.82617554121839742</v>
      </c>
      <c r="AA158" s="4">
        <v>7.9520924353842029</v>
      </c>
      <c r="AB158" s="4">
        <v>9.4886794411268287</v>
      </c>
      <c r="AC158" s="4">
        <v>9.0119853184253103</v>
      </c>
      <c r="AD158" s="4">
        <v>4.9298507542123096</v>
      </c>
      <c r="AE158" s="4">
        <v>9.7550314050992544</v>
      </c>
      <c r="AF158" s="4">
        <v>9.7814864296047705</v>
      </c>
      <c r="AG158" s="5"/>
      <c r="AH158" s="5"/>
      <c r="AI158" s="152">
        <f t="shared" si="79"/>
        <v>319.74539206393479</v>
      </c>
      <c r="AJ158" s="152">
        <f t="shared" si="80"/>
        <v>16.52351082436795</v>
      </c>
      <c r="AK158" s="152">
        <f t="shared" si="81"/>
        <v>39.760462176921017</v>
      </c>
      <c r="AL158" s="152">
        <f t="shared" si="82"/>
        <v>28.466038323380488</v>
      </c>
      <c r="AM158" s="152">
        <f t="shared" si="83"/>
        <v>11.715580913952904</v>
      </c>
      <c r="AN158" s="152">
        <f t="shared" si="84"/>
        <v>14.789552262636928</v>
      </c>
      <c r="AO158" s="152">
        <f t="shared" si="85"/>
        <v>12.681540826629032</v>
      </c>
      <c r="AP158" s="152">
        <f t="shared" si="86"/>
        <v>12.715932358486203</v>
      </c>
      <c r="AS158" s="152">
        <f t="shared" si="87"/>
        <v>456.39800975030931</v>
      </c>
      <c r="AT158" s="156">
        <v>1802</v>
      </c>
      <c r="AU158" s="109">
        <f t="shared" si="88"/>
        <v>0.75941084474127418</v>
      </c>
      <c r="AV158" s="109">
        <f t="shared" si="62"/>
        <v>0.67866527936991117</v>
      </c>
    </row>
    <row r="159" spans="1:48" x14ac:dyDescent="0.2">
      <c r="A159" s="156">
        <v>1803</v>
      </c>
      <c r="B159" s="57">
        <v>1.0690670265939208</v>
      </c>
      <c r="C159" s="57">
        <f t="shared" si="92"/>
        <v>1.0225865818467881</v>
      </c>
      <c r="D159" s="56">
        <v>3.0699055000000004</v>
      </c>
      <c r="E159" s="56">
        <v>24.559244000000003</v>
      </c>
      <c r="F159" s="56">
        <v>24.559244000000003</v>
      </c>
      <c r="G159" s="55">
        <f t="shared" si="91"/>
        <v>3.2711105380913348</v>
      </c>
      <c r="H159" s="55">
        <f t="shared" si="93"/>
        <v>11.822946762163916</v>
      </c>
      <c r="I159" s="55">
        <f t="shared" si="94"/>
        <v>0.9193484937752906</v>
      </c>
      <c r="J159" s="55">
        <f t="shared" si="95"/>
        <v>9.3420886075949419</v>
      </c>
      <c r="K159" s="3"/>
      <c r="L159" s="14">
        <f t="shared" si="67"/>
        <v>191.36299776031183</v>
      </c>
      <c r="M159" s="14">
        <f t="shared" si="68"/>
        <v>20.451731636935762</v>
      </c>
      <c r="N159" s="14">
        <f t="shared" si="69"/>
        <v>15.349527500000002</v>
      </c>
      <c r="O159" s="14">
        <f t="shared" si="70"/>
        <v>73.677732000000006</v>
      </c>
      <c r="P159" s="14">
        <f t="shared" si="71"/>
        <v>31.927017200000005</v>
      </c>
      <c r="Q159" s="14">
        <f t="shared" si="72"/>
        <v>9.8133316142740039</v>
      </c>
      <c r="R159" s="14">
        <f t="shared" si="73"/>
        <v>15.369830790813092</v>
      </c>
      <c r="S159" s="14">
        <f t="shared" si="74"/>
        <v>1.1951530419078777</v>
      </c>
      <c r="T159" s="14">
        <f t="shared" si="75"/>
        <v>28.026265822784826</v>
      </c>
      <c r="V159" s="14">
        <f t="shared" si="77"/>
        <v>387.17358736702732</v>
      </c>
      <c r="W159" s="14">
        <f t="shared" si="78"/>
        <v>359.14732154424252</v>
      </c>
      <c r="X159" s="163"/>
      <c r="Y159" s="4">
        <v>1.447460881889532</v>
      </c>
      <c r="Z159" s="4">
        <v>0.77203791325187932</v>
      </c>
      <c r="AA159" s="4">
        <v>7.5275188244420841</v>
      </c>
      <c r="AB159" s="4">
        <v>10.021169835958153</v>
      </c>
      <c r="AC159" s="4">
        <v>9.9106583806774804</v>
      </c>
      <c r="AD159" s="4">
        <v>4.6301075801842559</v>
      </c>
      <c r="AE159" s="4">
        <v>9.7818886815676169</v>
      </c>
      <c r="AF159" s="4">
        <v>10.924935617585758</v>
      </c>
      <c r="AG159" s="5"/>
      <c r="AH159" s="5"/>
      <c r="AI159" s="152">
        <f t="shared" si="79"/>
        <v>280.08368064562444</v>
      </c>
      <c r="AJ159" s="152">
        <f t="shared" si="80"/>
        <v>15.440758265037587</v>
      </c>
      <c r="AK159" s="152">
        <f t="shared" si="81"/>
        <v>37.637594122210423</v>
      </c>
      <c r="AL159" s="152">
        <f t="shared" si="82"/>
        <v>30.063509507874457</v>
      </c>
      <c r="AM159" s="152">
        <f t="shared" si="83"/>
        <v>12.883855894880725</v>
      </c>
      <c r="AN159" s="152">
        <f t="shared" si="84"/>
        <v>13.890322740552769</v>
      </c>
      <c r="AO159" s="152">
        <f t="shared" si="85"/>
        <v>12.716455286037903</v>
      </c>
      <c r="AP159" s="152">
        <f t="shared" si="86"/>
        <v>14.202416302861486</v>
      </c>
      <c r="AS159" s="152">
        <f t="shared" si="87"/>
        <v>416.91859276507984</v>
      </c>
      <c r="AT159" s="156">
        <v>1803</v>
      </c>
      <c r="AU159" s="109">
        <f t="shared" si="88"/>
        <v>0.86143272997808096</v>
      </c>
      <c r="AV159" s="109">
        <f t="shared" si="62"/>
        <v>0.70671993606079619</v>
      </c>
    </row>
    <row r="160" spans="1:48" x14ac:dyDescent="0.2">
      <c r="A160" s="156">
        <v>1804</v>
      </c>
      <c r="B160" s="57">
        <v>1.0251435097272594</v>
      </c>
      <c r="C160" s="57">
        <f t="shared" si="92"/>
        <v>1.0204610054165113</v>
      </c>
      <c r="D160" s="57">
        <v>2.9260036796875002</v>
      </c>
      <c r="E160" s="57">
        <f t="shared" ref="E160:E178" si="96">E159+($E$179-$E$159)/20</f>
        <v>23.955826608333336</v>
      </c>
      <c r="F160" s="57">
        <f t="shared" ref="F160:F177" si="97">F159+($F$178-$F$159)/19</f>
        <v>23.458819843859651</v>
      </c>
      <c r="G160" s="55">
        <f t="shared" si="91"/>
        <v>3.2510651199913574</v>
      </c>
      <c r="H160" s="55">
        <f t="shared" si="93"/>
        <v>11.93247538585176</v>
      </c>
      <c r="I160" s="55">
        <f t="shared" si="94"/>
        <v>0.92903082410929605</v>
      </c>
      <c r="J160" s="55">
        <f t="shared" si="95"/>
        <v>8.4466582278481077</v>
      </c>
      <c r="K160" s="3"/>
      <c r="L160" s="14">
        <f t="shared" si="67"/>
        <v>183.50068824117943</v>
      </c>
      <c r="M160" s="14">
        <f t="shared" si="68"/>
        <v>20.409220108330224</v>
      </c>
      <c r="N160" s="14">
        <f t="shared" si="69"/>
        <v>14.630018398437501</v>
      </c>
      <c r="O160" s="14">
        <f t="shared" si="70"/>
        <v>71.867479825000004</v>
      </c>
      <c r="P160" s="14">
        <f t="shared" si="71"/>
        <v>30.496465797017546</v>
      </c>
      <c r="Q160" s="14">
        <f t="shared" si="72"/>
        <v>9.7531953599740717</v>
      </c>
      <c r="R160" s="14">
        <f t="shared" si="73"/>
        <v>15.512218001607287</v>
      </c>
      <c r="S160" s="14">
        <f t="shared" si="74"/>
        <v>1.2077400713420849</v>
      </c>
      <c r="T160" s="14">
        <f t="shared" si="75"/>
        <v>25.339974683544323</v>
      </c>
      <c r="V160" s="14">
        <f t="shared" si="77"/>
        <v>372.71700048643243</v>
      </c>
      <c r="W160" s="14">
        <f t="shared" si="78"/>
        <v>347.37702580288811</v>
      </c>
      <c r="X160" s="163"/>
      <c r="Y160" s="4">
        <v>1.4765249324978251</v>
      </c>
      <c r="Z160" s="4">
        <v>0.89626942204803495</v>
      </c>
      <c r="AA160" s="4">
        <v>7.5040650839719918</v>
      </c>
      <c r="AB160" s="4">
        <v>10.201311002769744</v>
      </c>
      <c r="AC160" s="4">
        <v>9.9860806155568405</v>
      </c>
      <c r="AD160" s="4">
        <v>3.5396753222676445</v>
      </c>
      <c r="AE160" s="4">
        <v>10.665540014405025</v>
      </c>
      <c r="AF160" s="4">
        <v>10.713313824077463</v>
      </c>
      <c r="AG160" s="5"/>
      <c r="AH160" s="5"/>
      <c r="AI160" s="152">
        <f t="shared" si="79"/>
        <v>285.70757443832917</v>
      </c>
      <c r="AJ160" s="152">
        <f t="shared" si="80"/>
        <v>17.925388440960699</v>
      </c>
      <c r="AK160" s="152">
        <f t="shared" si="81"/>
        <v>37.520325419859958</v>
      </c>
      <c r="AL160" s="152">
        <f t="shared" si="82"/>
        <v>30.603933008309234</v>
      </c>
      <c r="AM160" s="152">
        <f t="shared" si="83"/>
        <v>12.981904800223893</v>
      </c>
      <c r="AN160" s="152">
        <f t="shared" si="84"/>
        <v>10.619025966802933</v>
      </c>
      <c r="AO160" s="152">
        <f t="shared" si="85"/>
        <v>13.865202018726533</v>
      </c>
      <c r="AP160" s="152">
        <f t="shared" si="86"/>
        <v>13.927307971300703</v>
      </c>
      <c r="AS160" s="152">
        <f t="shared" si="87"/>
        <v>423.15066206451314</v>
      </c>
      <c r="AT160" s="156">
        <v>1804</v>
      </c>
      <c r="AU160" s="109">
        <f t="shared" si="88"/>
        <v>0.82092988844225734</v>
      </c>
      <c r="AV160" s="109">
        <f t="shared" si="62"/>
        <v>0.75113758761299643</v>
      </c>
    </row>
    <row r="161" spans="1:48" x14ac:dyDescent="0.2">
      <c r="A161" s="156">
        <v>1805</v>
      </c>
      <c r="B161" s="56">
        <v>0.9812199928605978</v>
      </c>
      <c r="C161" s="57">
        <f t="shared" si="92"/>
        <v>1.0183354289862345</v>
      </c>
      <c r="D161" s="57">
        <v>2.782101859375</v>
      </c>
      <c r="E161" s="57">
        <f t="shared" si="96"/>
        <v>23.352409216666668</v>
      </c>
      <c r="F161" s="57">
        <f t="shared" si="97"/>
        <v>22.358395687719298</v>
      </c>
      <c r="G161" s="55">
        <f t="shared" si="91"/>
        <v>3.23101970189138</v>
      </c>
      <c r="H161" s="55">
        <f t="shared" si="93"/>
        <v>12.042004009539603</v>
      </c>
      <c r="I161" s="55">
        <f t="shared" si="94"/>
        <v>0.9387131544433015</v>
      </c>
      <c r="J161" s="109">
        <v>7.5512278481012691</v>
      </c>
      <c r="K161" s="3"/>
      <c r="L161" s="14">
        <f t="shared" si="67"/>
        <v>175.63837872204701</v>
      </c>
      <c r="M161" s="14">
        <f t="shared" si="68"/>
        <v>20.366708579724691</v>
      </c>
      <c r="N161" s="14">
        <f t="shared" si="69"/>
        <v>13.910509296875</v>
      </c>
      <c r="O161" s="14">
        <f t="shared" si="70"/>
        <v>70.057227650000002</v>
      </c>
      <c r="P161" s="14">
        <f t="shared" si="71"/>
        <v>29.06591439403509</v>
      </c>
      <c r="Q161" s="14">
        <f t="shared" si="72"/>
        <v>9.6930591056741395</v>
      </c>
      <c r="R161" s="14">
        <f t="shared" si="73"/>
        <v>15.654605212401485</v>
      </c>
      <c r="S161" s="14">
        <f t="shared" si="74"/>
        <v>1.2203271007762919</v>
      </c>
      <c r="T161" s="14">
        <f t="shared" si="75"/>
        <v>22.653683544303806</v>
      </c>
      <c r="V161" s="14">
        <f t="shared" si="77"/>
        <v>358.26041360583747</v>
      </c>
      <c r="W161" s="14">
        <f t="shared" si="78"/>
        <v>335.60673006153365</v>
      </c>
      <c r="X161" s="163"/>
      <c r="Y161" s="4">
        <v>2.0367324540601972</v>
      </c>
      <c r="Z161" s="4">
        <v>1.013117550272705</v>
      </c>
      <c r="AA161" s="4">
        <v>7.1911734346597953</v>
      </c>
      <c r="AB161" s="4">
        <v>9.8200942387596406</v>
      </c>
      <c r="AC161" s="4">
        <v>9.5750395166606346</v>
      </c>
      <c r="AD161" s="4">
        <v>3.1629915831525452</v>
      </c>
      <c r="AE161" s="4">
        <v>9.8819361792955647</v>
      </c>
      <c r="AF161" s="4">
        <v>10.297114679978161</v>
      </c>
      <c r="AG161" s="5"/>
      <c r="AH161" s="5"/>
      <c r="AI161" s="152">
        <f t="shared" si="79"/>
        <v>394.10772986064813</v>
      </c>
      <c r="AJ161" s="152">
        <f t="shared" si="80"/>
        <v>20.2623510054541</v>
      </c>
      <c r="AK161" s="152">
        <f t="shared" si="81"/>
        <v>35.955867173298977</v>
      </c>
      <c r="AL161" s="152">
        <f t="shared" si="82"/>
        <v>29.460282716278922</v>
      </c>
      <c r="AM161" s="152">
        <f t="shared" si="83"/>
        <v>12.447551371658825</v>
      </c>
      <c r="AN161" s="152">
        <f t="shared" si="84"/>
        <v>9.4889747494576362</v>
      </c>
      <c r="AO161" s="152">
        <f t="shared" si="85"/>
        <v>12.846517033084234</v>
      </c>
      <c r="AP161" s="152">
        <f t="shared" si="86"/>
        <v>13.38624908397161</v>
      </c>
      <c r="AS161" s="152">
        <f t="shared" si="87"/>
        <v>527.95552299385247</v>
      </c>
      <c r="AT161" s="156">
        <v>1805</v>
      </c>
      <c r="AU161" s="109">
        <f t="shared" si="88"/>
        <v>0.63567235391046661</v>
      </c>
      <c r="AV161" s="109">
        <f t="shared" si="62"/>
        <v>0.73515638066040478</v>
      </c>
    </row>
    <row r="162" spans="1:48" x14ac:dyDescent="0.2">
      <c r="A162" s="156">
        <v>1806</v>
      </c>
      <c r="B162" s="57">
        <v>1.0359604723596361</v>
      </c>
      <c r="C162" s="57">
        <f t="shared" si="92"/>
        <v>1.0162098525559577</v>
      </c>
      <c r="D162" s="57">
        <v>2.6382000390624998</v>
      </c>
      <c r="E162" s="57">
        <f t="shared" si="96"/>
        <v>22.748991825000001</v>
      </c>
      <c r="F162" s="57">
        <f t="shared" si="97"/>
        <v>21.257971531578946</v>
      </c>
      <c r="G162" s="55">
        <f t="shared" si="91"/>
        <v>3.2109742837914026</v>
      </c>
      <c r="H162" s="55">
        <f t="shared" si="93"/>
        <v>12.151532633227447</v>
      </c>
      <c r="I162" s="55">
        <f t="shared" si="94"/>
        <v>0.94839548477730695</v>
      </c>
      <c r="J162" s="55">
        <f t="shared" ref="J162:J181" si="98">J161+($J$182-$J$161)/21</f>
        <v>7.3714268196202566</v>
      </c>
      <c r="K162" s="3"/>
      <c r="L162" s="14">
        <f t="shared" si="67"/>
        <v>185.43692455237485</v>
      </c>
      <c r="M162" s="14">
        <f t="shared" si="68"/>
        <v>20.324197051119157</v>
      </c>
      <c r="N162" s="14">
        <f t="shared" si="69"/>
        <v>13.191000195312499</v>
      </c>
      <c r="O162" s="14">
        <f t="shared" si="70"/>
        <v>68.246975474999999</v>
      </c>
      <c r="P162" s="14">
        <f t="shared" si="71"/>
        <v>27.635362991052631</v>
      </c>
      <c r="Q162" s="14">
        <f t="shared" si="72"/>
        <v>9.6329228513742073</v>
      </c>
      <c r="R162" s="14">
        <f t="shared" si="73"/>
        <v>15.796992423195682</v>
      </c>
      <c r="S162" s="14">
        <f t="shared" si="74"/>
        <v>1.2329141302104991</v>
      </c>
      <c r="T162" s="14">
        <f t="shared" si="75"/>
        <v>22.114280458860769</v>
      </c>
      <c r="V162" s="14">
        <f t="shared" si="77"/>
        <v>363.6115701285002</v>
      </c>
      <c r="W162" s="14">
        <f t="shared" si="78"/>
        <v>341.49728966963943</v>
      </c>
      <c r="X162" s="163"/>
      <c r="Y162" s="4">
        <v>1.9029819334305307</v>
      </c>
      <c r="Z162" s="4">
        <v>1.0325655900488644</v>
      </c>
      <c r="AA162" s="4">
        <v>7.4350378535733466</v>
      </c>
      <c r="AB162" s="4">
        <v>9.9968198556064198</v>
      </c>
      <c r="AC162" s="4">
        <v>9.8535123084883764</v>
      </c>
      <c r="AD162" s="4">
        <v>3.0166935853638881</v>
      </c>
      <c r="AE162" s="4">
        <v>9.8103384271886274</v>
      </c>
      <c r="AF162" s="4">
        <v>9.8818924493773874</v>
      </c>
      <c r="AG162" s="5"/>
      <c r="AH162" s="5"/>
      <c r="AI162" s="152">
        <f t="shared" si="79"/>
        <v>368.22700411880771</v>
      </c>
      <c r="AJ162" s="152">
        <f t="shared" si="80"/>
        <v>20.65131180097729</v>
      </c>
      <c r="AK162" s="152">
        <f t="shared" si="81"/>
        <v>37.175189267866735</v>
      </c>
      <c r="AL162" s="152">
        <f t="shared" si="82"/>
        <v>29.990459566819261</v>
      </c>
      <c r="AM162" s="152">
        <f t="shared" si="83"/>
        <v>12.80956600103489</v>
      </c>
      <c r="AN162" s="152">
        <f t="shared" si="84"/>
        <v>9.0500807560916634</v>
      </c>
      <c r="AO162" s="152">
        <f t="shared" si="85"/>
        <v>12.753439955345216</v>
      </c>
      <c r="AP162" s="152">
        <f t="shared" si="86"/>
        <v>12.846460184190605</v>
      </c>
      <c r="AS162" s="152">
        <f t="shared" si="87"/>
        <v>503.50351165113346</v>
      </c>
      <c r="AT162" s="156">
        <v>1806</v>
      </c>
      <c r="AU162" s="109">
        <f t="shared" si="88"/>
        <v>0.6782421209929026</v>
      </c>
      <c r="AV162" s="109">
        <f t="shared" si="62"/>
        <v>0.70652848488792108</v>
      </c>
    </row>
    <row r="163" spans="1:48" x14ac:dyDescent="0.2">
      <c r="A163" s="156">
        <v>1807</v>
      </c>
      <c r="B163" s="57">
        <v>1.0907009518586746</v>
      </c>
      <c r="C163" s="57">
        <f t="shared" si="92"/>
        <v>1.014084276125681</v>
      </c>
      <c r="D163" s="57">
        <v>2.4942982187499996</v>
      </c>
      <c r="E163" s="57">
        <f t="shared" si="96"/>
        <v>22.145574433333334</v>
      </c>
      <c r="F163" s="57">
        <f t="shared" si="97"/>
        <v>20.157547375438593</v>
      </c>
      <c r="G163" s="55">
        <f t="shared" si="91"/>
        <v>3.1909288656914252</v>
      </c>
      <c r="H163" s="55">
        <f t="shared" si="93"/>
        <v>12.261061256915291</v>
      </c>
      <c r="I163" s="55">
        <f t="shared" si="94"/>
        <v>0.9580778151113124</v>
      </c>
      <c r="J163" s="55">
        <f t="shared" si="98"/>
        <v>7.1916257911392441</v>
      </c>
      <c r="K163" s="3"/>
      <c r="L163" s="14">
        <f t="shared" si="67"/>
        <v>195.23547038270274</v>
      </c>
      <c r="M163" s="14">
        <f t="shared" si="68"/>
        <v>20.281685522513619</v>
      </c>
      <c r="N163" s="14">
        <f t="shared" si="69"/>
        <v>12.471491093749998</v>
      </c>
      <c r="O163" s="14">
        <f t="shared" si="70"/>
        <v>66.436723299999997</v>
      </c>
      <c r="P163" s="14">
        <f t="shared" si="71"/>
        <v>26.204811588070172</v>
      </c>
      <c r="Q163" s="14">
        <f t="shared" si="72"/>
        <v>9.5727865970742752</v>
      </c>
      <c r="R163" s="14">
        <f t="shared" si="73"/>
        <v>15.939379633989878</v>
      </c>
      <c r="S163" s="14">
        <f t="shared" si="74"/>
        <v>1.2455011596447061</v>
      </c>
      <c r="T163" s="14">
        <f t="shared" si="75"/>
        <v>21.574877373417731</v>
      </c>
      <c r="V163" s="14">
        <f t="shared" si="77"/>
        <v>368.96272665116317</v>
      </c>
      <c r="W163" s="14">
        <f t="shared" si="78"/>
        <v>347.38784927774543</v>
      </c>
      <c r="X163" s="163"/>
      <c r="Y163" s="4">
        <v>1.9127941989353894</v>
      </c>
      <c r="Z163" s="4">
        <v>1.1067486569981706</v>
      </c>
      <c r="AA163" s="4">
        <v>7.4859780776013904</v>
      </c>
      <c r="AB163" s="4">
        <v>10.54070087767818</v>
      </c>
      <c r="AC163" s="4">
        <v>13.429113252955098</v>
      </c>
      <c r="AD163" s="4">
        <v>3.1068911692156145</v>
      </c>
      <c r="AE163" s="4">
        <v>8.8067791337929169</v>
      </c>
      <c r="AF163" s="4">
        <v>8.9975385612469694</v>
      </c>
      <c r="AG163" s="5"/>
      <c r="AH163" s="5"/>
      <c r="AI163" s="152">
        <f t="shared" si="79"/>
        <v>370.12567749399784</v>
      </c>
      <c r="AJ163" s="152">
        <f t="shared" si="80"/>
        <v>22.134973139963414</v>
      </c>
      <c r="AK163" s="152">
        <f t="shared" si="81"/>
        <v>37.429890388006953</v>
      </c>
      <c r="AL163" s="152">
        <f t="shared" si="82"/>
        <v>31.62210263303454</v>
      </c>
      <c r="AM163" s="152">
        <f t="shared" si="83"/>
        <v>17.457847228841629</v>
      </c>
      <c r="AN163" s="152">
        <f t="shared" si="84"/>
        <v>9.320673507646843</v>
      </c>
      <c r="AO163" s="152">
        <f t="shared" si="85"/>
        <v>11.448812873930793</v>
      </c>
      <c r="AP163" s="152">
        <f t="shared" si="86"/>
        <v>11.69680012962106</v>
      </c>
      <c r="AS163" s="152">
        <f t="shared" si="87"/>
        <v>511.23677739504313</v>
      </c>
      <c r="AT163" s="156">
        <v>1807</v>
      </c>
      <c r="AU163" s="109">
        <f t="shared" si="88"/>
        <v>0.67950480997831597</v>
      </c>
      <c r="AV163" s="109">
        <f t="shared" si="62"/>
        <v>0.6620872226395178</v>
      </c>
    </row>
    <row r="164" spans="1:48" x14ac:dyDescent="0.2">
      <c r="A164" s="156">
        <v>1808</v>
      </c>
      <c r="B164" s="57">
        <v>1.145441431357713</v>
      </c>
      <c r="C164" s="57">
        <f t="shared" si="92"/>
        <v>1.0119586996954042</v>
      </c>
      <c r="D164" s="57">
        <v>2.3503963984374994</v>
      </c>
      <c r="E164" s="57">
        <f t="shared" si="96"/>
        <v>21.542157041666666</v>
      </c>
      <c r="F164" s="57">
        <f t="shared" si="97"/>
        <v>19.057123219298241</v>
      </c>
      <c r="G164" s="55">
        <f t="shared" si="91"/>
        <v>3.1708834475914478</v>
      </c>
      <c r="H164" s="55">
        <f t="shared" si="93"/>
        <v>12.370589880603134</v>
      </c>
      <c r="I164" s="55">
        <f t="shared" si="94"/>
        <v>0.96776014544531785</v>
      </c>
      <c r="J164" s="55">
        <f t="shared" si="98"/>
        <v>7.0118247626582315</v>
      </c>
      <c r="K164" s="3"/>
      <c r="L164" s="14">
        <f t="shared" si="67"/>
        <v>205.03401621303064</v>
      </c>
      <c r="M164" s="14">
        <f t="shared" si="68"/>
        <v>20.239173993908082</v>
      </c>
      <c r="N164" s="14">
        <f t="shared" si="69"/>
        <v>11.751981992187497</v>
      </c>
      <c r="O164" s="14">
        <f t="shared" si="70"/>
        <v>64.626471124999995</v>
      </c>
      <c r="P164" s="14">
        <f t="shared" si="71"/>
        <v>24.774260185087712</v>
      </c>
      <c r="Q164" s="14">
        <f t="shared" si="72"/>
        <v>9.512650342774343</v>
      </c>
      <c r="R164" s="14">
        <f t="shared" si="73"/>
        <v>16.081766844784074</v>
      </c>
      <c r="S164" s="14">
        <f t="shared" si="74"/>
        <v>1.2580881890789133</v>
      </c>
      <c r="T164" s="14">
        <f t="shared" si="75"/>
        <v>21.035474287974694</v>
      </c>
      <c r="V164" s="14">
        <f t="shared" si="77"/>
        <v>374.31388317382596</v>
      </c>
      <c r="W164" s="14">
        <f t="shared" si="78"/>
        <v>353.27840888585126</v>
      </c>
      <c r="X164" s="163"/>
      <c r="Y164" s="4">
        <v>1.8702824130419062</v>
      </c>
      <c r="Z164" s="4">
        <v>1.3081879262905951</v>
      </c>
      <c r="AA164" s="4">
        <v>7.3890784073304214</v>
      </c>
      <c r="AB164" s="4">
        <v>11.061685449282546</v>
      </c>
      <c r="AC164" s="4">
        <v>0</v>
      </c>
      <c r="AD164" s="4">
        <v>2.6122309863878623</v>
      </c>
      <c r="AE164" s="4">
        <v>9.9242684803772754</v>
      </c>
      <c r="AF164" s="4">
        <v>9.92172090739715</v>
      </c>
      <c r="AG164" s="5"/>
      <c r="AH164" s="5"/>
      <c r="AI164" s="152">
        <f t="shared" si="79"/>
        <v>361.89964692360888</v>
      </c>
      <c r="AJ164" s="152">
        <f t="shared" si="80"/>
        <v>26.1637585258119</v>
      </c>
      <c r="AK164" s="152">
        <f t="shared" si="81"/>
        <v>36.945392036652109</v>
      </c>
      <c r="AL164" s="152">
        <f t="shared" si="82"/>
        <v>33.185056347847635</v>
      </c>
      <c r="AM164" s="152">
        <f t="shared" si="83"/>
        <v>0</v>
      </c>
      <c r="AN164" s="152">
        <f t="shared" si="84"/>
        <v>7.836692959163587</v>
      </c>
      <c r="AO164" s="152">
        <f t="shared" si="85"/>
        <v>12.901549024490459</v>
      </c>
      <c r="AP164" s="152">
        <f t="shared" si="86"/>
        <v>12.898237179616295</v>
      </c>
      <c r="AS164" s="152">
        <f t="shared" si="87"/>
        <v>491.83033299719085</v>
      </c>
      <c r="AT164" s="156">
        <v>1808</v>
      </c>
      <c r="AU164" s="109">
        <f t="shared" si="88"/>
        <v>0.71829325111566278</v>
      </c>
      <c r="AV164" s="109">
        <f t="shared" si="62"/>
        <v>0.64837359968568775</v>
      </c>
    </row>
    <row r="165" spans="1:48" x14ac:dyDescent="0.2">
      <c r="A165" s="156">
        <v>1809</v>
      </c>
      <c r="B165" s="57">
        <v>1.2001819108567515</v>
      </c>
      <c r="C165" s="57">
        <f t="shared" si="92"/>
        <v>1.0098331232651274</v>
      </c>
      <c r="D165" s="57">
        <v>2.2064945781249992</v>
      </c>
      <c r="E165" s="57">
        <f t="shared" si="96"/>
        <v>20.938739649999999</v>
      </c>
      <c r="F165" s="57">
        <f t="shared" si="97"/>
        <v>17.956699063157888</v>
      </c>
      <c r="G165" s="55">
        <f t="shared" si="91"/>
        <v>3.1508380294914704</v>
      </c>
      <c r="H165" s="55">
        <f t="shared" si="93"/>
        <v>12.480118504290978</v>
      </c>
      <c r="I165" s="55">
        <f t="shared" si="94"/>
        <v>0.97744247577932331</v>
      </c>
      <c r="J165" s="55">
        <f t="shared" si="98"/>
        <v>6.832023734177219</v>
      </c>
      <c r="K165" s="3"/>
      <c r="L165" s="14">
        <f t="shared" si="67"/>
        <v>214.83256204335854</v>
      </c>
      <c r="M165" s="14">
        <f t="shared" si="68"/>
        <v>20.196662465302548</v>
      </c>
      <c r="N165" s="14">
        <f t="shared" si="69"/>
        <v>11.032472890624996</v>
      </c>
      <c r="O165" s="14">
        <f t="shared" si="70"/>
        <v>62.816218949999993</v>
      </c>
      <c r="P165" s="14">
        <f t="shared" si="71"/>
        <v>23.343708782105256</v>
      </c>
      <c r="Q165" s="14">
        <f t="shared" si="72"/>
        <v>9.4525140884744108</v>
      </c>
      <c r="R165" s="14">
        <f t="shared" si="73"/>
        <v>16.224154055578271</v>
      </c>
      <c r="S165" s="14">
        <f t="shared" si="74"/>
        <v>1.2706752185131203</v>
      </c>
      <c r="T165" s="14">
        <f t="shared" si="75"/>
        <v>20.496071202531656</v>
      </c>
      <c r="V165" s="14">
        <f t="shared" si="77"/>
        <v>379.66503969648875</v>
      </c>
      <c r="W165" s="14">
        <f t="shared" si="78"/>
        <v>359.1689684939571</v>
      </c>
      <c r="X165" s="163"/>
      <c r="Y165" s="4">
        <v>2.2878840262033209</v>
      </c>
      <c r="Z165" s="4">
        <v>1.3803552024830548</v>
      </c>
      <c r="AA165" s="4">
        <v>7.468184725755334</v>
      </c>
      <c r="AB165" s="4">
        <v>11.251520981007952</v>
      </c>
      <c r="AC165" s="4">
        <v>12.891191659037924</v>
      </c>
      <c r="AD165" s="4">
        <v>3.3915382589518859</v>
      </c>
      <c r="AE165" s="4">
        <v>12.460953820270836</v>
      </c>
      <c r="AF165" s="4">
        <v>11.808142391938922</v>
      </c>
      <c r="AG165" s="5"/>
      <c r="AH165" s="5"/>
      <c r="AI165" s="152">
        <f t="shared" si="79"/>
        <v>442.70555907034259</v>
      </c>
      <c r="AJ165" s="152">
        <f t="shared" si="80"/>
        <v>27.607104049661096</v>
      </c>
      <c r="AK165" s="152">
        <f t="shared" si="81"/>
        <v>37.340923628776672</v>
      </c>
      <c r="AL165" s="152">
        <f t="shared" si="82"/>
        <v>33.754562943023856</v>
      </c>
      <c r="AM165" s="152">
        <f t="shared" si="83"/>
        <v>16.7585491567493</v>
      </c>
      <c r="AN165" s="152">
        <f t="shared" si="84"/>
        <v>10.174614776855657</v>
      </c>
      <c r="AO165" s="152">
        <f t="shared" si="85"/>
        <v>16.199239966352089</v>
      </c>
      <c r="AP165" s="152">
        <f t="shared" si="86"/>
        <v>15.350585109520599</v>
      </c>
      <c r="AS165" s="152">
        <f t="shared" si="87"/>
        <v>599.89113870128176</v>
      </c>
      <c r="AT165" s="156">
        <v>1809</v>
      </c>
      <c r="AU165" s="109">
        <f t="shared" si="88"/>
        <v>0.59872357720024061</v>
      </c>
      <c r="AV165" s="109">
        <f t="shared" si="62"/>
        <v>0.63869764724465417</v>
      </c>
    </row>
    <row r="166" spans="1:48" x14ac:dyDescent="0.2">
      <c r="A166" s="156">
        <v>1810</v>
      </c>
      <c r="B166" s="57">
        <v>1.25492239035579</v>
      </c>
      <c r="C166" s="57">
        <f t="shared" si="92"/>
        <v>1.0077075468348506</v>
      </c>
      <c r="D166" s="57">
        <v>2.062592757812499</v>
      </c>
      <c r="E166" s="57">
        <f t="shared" si="96"/>
        <v>20.335322258333331</v>
      </c>
      <c r="F166" s="57">
        <f t="shared" si="97"/>
        <v>16.856274907017536</v>
      </c>
      <c r="G166" s="55">
        <f t="shared" si="91"/>
        <v>3.130792611391493</v>
      </c>
      <c r="H166" s="55">
        <f t="shared" si="93"/>
        <v>12.589647127978822</v>
      </c>
      <c r="I166" s="55">
        <f t="shared" si="94"/>
        <v>0.98712480611332876</v>
      </c>
      <c r="J166" s="55">
        <f t="shared" si="98"/>
        <v>6.6522227056962064</v>
      </c>
      <c r="K166" s="3"/>
      <c r="L166" s="14">
        <f t="shared" si="67"/>
        <v>224.6311078736864</v>
      </c>
      <c r="M166" s="14">
        <f t="shared" si="68"/>
        <v>20.154150936697015</v>
      </c>
      <c r="N166" s="14">
        <f t="shared" si="69"/>
        <v>10.312963789062495</v>
      </c>
      <c r="O166" s="14">
        <f t="shared" si="70"/>
        <v>61.00596677499999</v>
      </c>
      <c r="P166" s="14">
        <f t="shared" si="71"/>
        <v>21.913157379122797</v>
      </c>
      <c r="Q166" s="14">
        <f t="shared" si="72"/>
        <v>9.3923778341744786</v>
      </c>
      <c r="R166" s="14">
        <f t="shared" si="73"/>
        <v>16.366541266372469</v>
      </c>
      <c r="S166" s="14">
        <f t="shared" si="74"/>
        <v>1.2832622479473275</v>
      </c>
      <c r="T166" s="14">
        <f t="shared" si="75"/>
        <v>19.956668117088618</v>
      </c>
      <c r="V166" s="14">
        <f t="shared" si="77"/>
        <v>385.0161962191516</v>
      </c>
      <c r="W166" s="14">
        <f t="shared" si="78"/>
        <v>365.05952810206298</v>
      </c>
      <c r="X166" s="163"/>
      <c r="Y166" s="4">
        <v>2.5313733313550895</v>
      </c>
      <c r="Z166" s="4">
        <v>1.2903783229116854</v>
      </c>
      <c r="AA166" s="4">
        <v>7.8419344955946446</v>
      </c>
      <c r="AB166" s="4">
        <v>11.420544785768316</v>
      </c>
      <c r="AC166" s="4">
        <v>10.677351872912412</v>
      </c>
      <c r="AD166" s="4">
        <v>3.2080580074857545</v>
      </c>
      <c r="AE166" s="4">
        <v>10.356430703843728</v>
      </c>
      <c r="AF166" s="4">
        <v>13.583012301889061</v>
      </c>
      <c r="AG166" s="5"/>
      <c r="AH166" s="5"/>
      <c r="AI166" s="152">
        <f t="shared" si="79"/>
        <v>489.82073961720982</v>
      </c>
      <c r="AJ166" s="152">
        <f t="shared" si="80"/>
        <v>25.807566458233708</v>
      </c>
      <c r="AK166" s="152">
        <f t="shared" si="81"/>
        <v>39.209672477973221</v>
      </c>
      <c r="AL166" s="152">
        <f t="shared" si="82"/>
        <v>34.261634357304949</v>
      </c>
      <c r="AM166" s="152">
        <f t="shared" si="83"/>
        <v>13.880557434786137</v>
      </c>
      <c r="AN166" s="152">
        <f t="shared" si="84"/>
        <v>9.6241740224572645</v>
      </c>
      <c r="AO166" s="152">
        <f t="shared" si="85"/>
        <v>13.463359914996847</v>
      </c>
      <c r="AP166" s="152">
        <f t="shared" si="86"/>
        <v>17.657915992455781</v>
      </c>
      <c r="AS166" s="152">
        <f t="shared" si="87"/>
        <v>643.72562027541778</v>
      </c>
      <c r="AT166" s="156">
        <v>1810</v>
      </c>
      <c r="AU166" s="109">
        <f t="shared" si="88"/>
        <v>0.5671042391413168</v>
      </c>
      <c r="AV166" s="109">
        <f t="shared" si="62"/>
        <v>0.61876485047089358</v>
      </c>
    </row>
    <row r="167" spans="1:48" x14ac:dyDescent="0.2">
      <c r="A167" s="156">
        <v>1811</v>
      </c>
      <c r="B167" s="57">
        <v>1.3096628698548285</v>
      </c>
      <c r="C167" s="57">
        <f t="shared" si="92"/>
        <v>1.0055819704045739</v>
      </c>
      <c r="D167" s="56">
        <v>1.9186909375000003</v>
      </c>
      <c r="E167" s="57">
        <f t="shared" si="96"/>
        <v>19.731904866666664</v>
      </c>
      <c r="F167" s="57">
        <f t="shared" si="97"/>
        <v>15.755850750877185</v>
      </c>
      <c r="G167" s="55">
        <f t="shared" si="91"/>
        <v>3.1107471932915156</v>
      </c>
      <c r="H167" s="109">
        <v>12.699175751666669</v>
      </c>
      <c r="I167" s="99">
        <v>0.99680713644733354</v>
      </c>
      <c r="J167" s="55">
        <f t="shared" si="98"/>
        <v>6.4724216772151939</v>
      </c>
      <c r="K167" s="3"/>
      <c r="L167" s="14">
        <f t="shared" si="67"/>
        <v>234.4296537040143</v>
      </c>
      <c r="M167" s="14">
        <f t="shared" si="68"/>
        <v>20.111639408091477</v>
      </c>
      <c r="N167" s="14">
        <f t="shared" si="69"/>
        <v>9.5934546875000013</v>
      </c>
      <c r="O167" s="14">
        <f t="shared" si="70"/>
        <v>59.195714599999988</v>
      </c>
      <c r="P167" s="14">
        <f t="shared" si="71"/>
        <v>20.482605976140341</v>
      </c>
      <c r="Q167" s="14">
        <f t="shared" si="72"/>
        <v>9.3322415798745464</v>
      </c>
      <c r="R167" s="14">
        <f t="shared" si="73"/>
        <v>16.50892847716667</v>
      </c>
      <c r="S167" s="14">
        <f t="shared" si="74"/>
        <v>1.2958492773815335</v>
      </c>
      <c r="T167" s="14">
        <f t="shared" si="75"/>
        <v>19.417265031645581</v>
      </c>
      <c r="V167" s="14">
        <f t="shared" si="77"/>
        <v>390.36735274181444</v>
      </c>
      <c r="W167" s="14">
        <f t="shared" si="78"/>
        <v>370.95008771016887</v>
      </c>
      <c r="X167" s="163"/>
      <c r="Y167" s="4">
        <v>2.2460333075613503</v>
      </c>
      <c r="Z167" s="4">
        <v>1.1011313603929702</v>
      </c>
      <c r="AA167" s="4">
        <v>7.9567630294577931</v>
      </c>
      <c r="AB167" s="4">
        <v>12.552584986276241</v>
      </c>
      <c r="AC167" s="4">
        <v>10.223516057636612</v>
      </c>
      <c r="AD167" s="4">
        <v>3.9378176886213234</v>
      </c>
      <c r="AE167" s="4">
        <v>9.5416589317450793</v>
      </c>
      <c r="AF167" s="4">
        <v>13.352700222742111</v>
      </c>
      <c r="AG167" s="5"/>
      <c r="AH167" s="5"/>
      <c r="AI167" s="152">
        <f t="shared" si="79"/>
        <v>434.60744501312126</v>
      </c>
      <c r="AJ167" s="152">
        <f t="shared" si="80"/>
        <v>22.022627207859404</v>
      </c>
      <c r="AK167" s="152">
        <f t="shared" si="81"/>
        <v>39.783815147288962</v>
      </c>
      <c r="AL167" s="152">
        <f t="shared" si="82"/>
        <v>37.657754958828718</v>
      </c>
      <c r="AM167" s="152">
        <f t="shared" si="83"/>
        <v>13.290570874927596</v>
      </c>
      <c r="AN167" s="152">
        <f t="shared" si="84"/>
        <v>11.813453065863971</v>
      </c>
      <c r="AO167" s="152">
        <f t="shared" si="85"/>
        <v>12.404156611268604</v>
      </c>
      <c r="AP167" s="152">
        <f t="shared" si="86"/>
        <v>17.358510289564745</v>
      </c>
      <c r="AS167" s="152">
        <f t="shared" si="87"/>
        <v>588.93833316872326</v>
      </c>
      <c r="AT167" s="156">
        <v>1811</v>
      </c>
      <c r="AU167" s="109">
        <f t="shared" si="88"/>
        <v>0.62986235878773478</v>
      </c>
      <c r="AV167" s="109">
        <f t="shared" si="62"/>
        <v>0.60471604743698359</v>
      </c>
    </row>
    <row r="168" spans="1:48" x14ac:dyDescent="0.2">
      <c r="A168" s="156">
        <v>1812</v>
      </c>
      <c r="B168" s="57">
        <v>1.364403349353867</v>
      </c>
      <c r="C168" s="57">
        <f t="shared" si="92"/>
        <v>1.0034563939742971</v>
      </c>
      <c r="D168" s="56">
        <v>1.7907782083333337</v>
      </c>
      <c r="E168" s="57">
        <f t="shared" si="96"/>
        <v>19.128487474999996</v>
      </c>
      <c r="F168" s="57">
        <f t="shared" si="97"/>
        <v>14.655426594736834</v>
      </c>
      <c r="G168" s="55">
        <f t="shared" si="91"/>
        <v>3.0907017751915382</v>
      </c>
      <c r="H168" s="109">
        <v>10.785601323333335</v>
      </c>
      <c r="I168" s="99">
        <v>0.82764715698266689</v>
      </c>
      <c r="J168" s="55">
        <f t="shared" si="98"/>
        <v>6.2926206487341814</v>
      </c>
      <c r="K168" s="3"/>
      <c r="L168" s="14">
        <f t="shared" si="67"/>
        <v>244.2281995343422</v>
      </c>
      <c r="M168" s="14">
        <f t="shared" si="68"/>
        <v>20.06912787948594</v>
      </c>
      <c r="N168" s="14">
        <f t="shared" si="69"/>
        <v>8.9538910416666688</v>
      </c>
      <c r="O168" s="14">
        <f t="shared" si="70"/>
        <v>57.385462424999986</v>
      </c>
      <c r="P168" s="14">
        <f t="shared" si="71"/>
        <v>19.052054573157886</v>
      </c>
      <c r="Q168" s="14">
        <f t="shared" si="72"/>
        <v>9.2721053255746142</v>
      </c>
      <c r="R168" s="14">
        <f t="shared" si="73"/>
        <v>14.021281720333336</v>
      </c>
      <c r="S168" s="14">
        <f t="shared" si="74"/>
        <v>1.075941304077467</v>
      </c>
      <c r="T168" s="14">
        <f t="shared" si="75"/>
        <v>18.877861946202543</v>
      </c>
      <c r="V168" s="14">
        <f t="shared" si="77"/>
        <v>392.93592574984064</v>
      </c>
      <c r="W168" s="14">
        <f t="shared" si="78"/>
        <v>374.05806380363811</v>
      </c>
      <c r="X168" s="163"/>
      <c r="Y168" s="4">
        <v>2.5503829687024266</v>
      </c>
      <c r="Z168" s="4">
        <v>1.4842283483616399</v>
      </c>
      <c r="AA168" s="4">
        <v>7.5345952024069609</v>
      </c>
      <c r="AB168" s="4">
        <v>11.713188921087497</v>
      </c>
      <c r="AC168" s="4">
        <v>9.2663578721786433</v>
      </c>
      <c r="AD168" s="4">
        <v>3.5380715877382509</v>
      </c>
      <c r="AE168" s="4">
        <v>10.268163727832313</v>
      </c>
      <c r="AF168" s="4">
        <v>10.076484823915576</v>
      </c>
      <c r="AG168" s="5"/>
      <c r="AH168" s="5"/>
      <c r="AI168" s="152">
        <f t="shared" si="79"/>
        <v>493.49910444391958</v>
      </c>
      <c r="AJ168" s="152">
        <f t="shared" si="80"/>
        <v>29.684566967232797</v>
      </c>
      <c r="AK168" s="152">
        <f t="shared" si="81"/>
        <v>37.672976012034802</v>
      </c>
      <c r="AL168" s="152">
        <f t="shared" si="82"/>
        <v>35.139566763262494</v>
      </c>
      <c r="AM168" s="152">
        <f t="shared" si="83"/>
        <v>12.046265233832237</v>
      </c>
      <c r="AN168" s="152">
        <f t="shared" si="84"/>
        <v>10.614214763214752</v>
      </c>
      <c r="AO168" s="152">
        <f t="shared" si="85"/>
        <v>13.348612846182007</v>
      </c>
      <c r="AP168" s="152">
        <f t="shared" si="86"/>
        <v>13.099430271090251</v>
      </c>
      <c r="AS168" s="152">
        <f t="shared" si="87"/>
        <v>645.10473730076887</v>
      </c>
      <c r="AT168" s="156">
        <v>1812</v>
      </c>
      <c r="AU168" s="109">
        <f t="shared" si="88"/>
        <v>0.57984082610951282</v>
      </c>
      <c r="AV168" s="109">
        <f t="shared" si="62"/>
        <v>0.67450408053900923</v>
      </c>
    </row>
    <row r="169" spans="1:48" x14ac:dyDescent="0.2">
      <c r="A169" s="156">
        <v>1813</v>
      </c>
      <c r="B169" s="56">
        <v>1.4191438288529048</v>
      </c>
      <c r="C169" s="57">
        <f t="shared" si="92"/>
        <v>1.0013308175440203</v>
      </c>
      <c r="D169" s="57">
        <v>1.801277488252315</v>
      </c>
      <c r="E169" s="57">
        <f t="shared" si="96"/>
        <v>18.525070083333329</v>
      </c>
      <c r="F169" s="57">
        <f t="shared" si="97"/>
        <v>13.555002438596484</v>
      </c>
      <c r="G169" s="55">
        <f t="shared" si="91"/>
        <v>3.0706563570915608</v>
      </c>
      <c r="H169" s="55">
        <f t="shared" ref="H169:H177" si="99">H168+($H$178-$H$168)/10</f>
        <v>10.860046991000001</v>
      </c>
      <c r="I169" s="55">
        <f t="shared" ref="I169:I177" si="100">I168+($I$178-$I$168)/10</f>
        <v>0.8342281540044002</v>
      </c>
      <c r="J169" s="55">
        <f t="shared" si="98"/>
        <v>6.1128196202531688</v>
      </c>
      <c r="K169" s="3"/>
      <c r="L169" s="14">
        <f t="shared" si="67"/>
        <v>254.02674536466995</v>
      </c>
      <c r="M169" s="14">
        <f t="shared" si="68"/>
        <v>20.026616350880406</v>
      </c>
      <c r="N169" s="14">
        <f t="shared" si="69"/>
        <v>9.006387441261575</v>
      </c>
      <c r="O169" s="14">
        <f t="shared" si="70"/>
        <v>55.575210249999984</v>
      </c>
      <c r="P169" s="14">
        <f t="shared" si="71"/>
        <v>17.62150317017543</v>
      </c>
      <c r="Q169" s="14">
        <f t="shared" si="72"/>
        <v>9.211969071274682</v>
      </c>
      <c r="R169" s="14">
        <f t="shared" si="73"/>
        <v>14.118061088300001</v>
      </c>
      <c r="S169" s="14">
        <f t="shared" si="74"/>
        <v>1.0844966002057204</v>
      </c>
      <c r="T169" s="14">
        <f t="shared" si="75"/>
        <v>18.338458860759506</v>
      </c>
      <c r="V169" s="14">
        <f t="shared" si="77"/>
        <v>399.00944819752726</v>
      </c>
      <c r="W169" s="14">
        <f t="shared" si="78"/>
        <v>380.67098933676778</v>
      </c>
      <c r="X169" s="163"/>
      <c r="Y169" s="4">
        <v>2.2399573366248711</v>
      </c>
      <c r="Z169" s="4">
        <v>1.598387477211596</v>
      </c>
      <c r="AA169" s="4">
        <v>7.4473882180268323</v>
      </c>
      <c r="AB169" s="4">
        <v>10.697453826119052</v>
      </c>
      <c r="AC169" s="4">
        <v>11.067387228727235</v>
      </c>
      <c r="AD169" s="4">
        <v>3.3621327422482796</v>
      </c>
      <c r="AE169" s="4">
        <v>10.433215304687737</v>
      </c>
      <c r="AF169" s="4">
        <v>11.265092238089418</v>
      </c>
      <c r="AG169" s="5"/>
      <c r="AH169" s="5"/>
      <c r="AI169" s="152">
        <f t="shared" si="79"/>
        <v>433.43174463691253</v>
      </c>
      <c r="AJ169" s="152">
        <f t="shared" si="80"/>
        <v>31.967749544231921</v>
      </c>
      <c r="AK169" s="152">
        <f t="shared" si="81"/>
        <v>37.23694109013416</v>
      </c>
      <c r="AL169" s="152">
        <f t="shared" si="82"/>
        <v>32.092361478357155</v>
      </c>
      <c r="AM169" s="152">
        <f t="shared" si="83"/>
        <v>14.387603397345405</v>
      </c>
      <c r="AN169" s="152">
        <f t="shared" si="84"/>
        <v>10.086398226744839</v>
      </c>
      <c r="AO169" s="152">
        <f t="shared" si="85"/>
        <v>13.563179896094059</v>
      </c>
      <c r="AP169" s="152">
        <f t="shared" si="86"/>
        <v>14.644619909516244</v>
      </c>
      <c r="AS169" s="152">
        <f t="shared" si="87"/>
        <v>587.41059817933626</v>
      </c>
      <c r="AT169" s="156">
        <v>1813</v>
      </c>
      <c r="AU169" s="109">
        <f t="shared" si="88"/>
        <v>0.64804923594611252</v>
      </c>
      <c r="AV169" s="109">
        <f t="shared" si="62"/>
        <v>0.73145551885019655</v>
      </c>
    </row>
    <row r="170" spans="1:48" x14ac:dyDescent="0.2">
      <c r="A170" s="156">
        <v>1814</v>
      </c>
      <c r="B170" s="56">
        <v>1.9396448569901774</v>
      </c>
      <c r="C170" s="57">
        <f t="shared" si="92"/>
        <v>0.99920524111374354</v>
      </c>
      <c r="D170" s="57">
        <v>1.8117767681712964</v>
      </c>
      <c r="E170" s="57">
        <f t="shared" si="96"/>
        <v>17.921652691666662</v>
      </c>
      <c r="F170" s="57">
        <f t="shared" si="97"/>
        <v>12.454578282456133</v>
      </c>
      <c r="G170" s="55">
        <f t="shared" si="91"/>
        <v>3.0506109389915834</v>
      </c>
      <c r="H170" s="55">
        <f t="shared" si="99"/>
        <v>10.934492658666667</v>
      </c>
      <c r="I170" s="55">
        <f t="shared" si="100"/>
        <v>0.84080915102613352</v>
      </c>
      <c r="J170" s="55">
        <f t="shared" si="98"/>
        <v>5.9330185917721563</v>
      </c>
      <c r="K170" s="3"/>
      <c r="L170" s="14">
        <f t="shared" si="67"/>
        <v>347.19642940124174</v>
      </c>
      <c r="M170" s="14">
        <f t="shared" si="68"/>
        <v>19.984104822274873</v>
      </c>
      <c r="N170" s="14">
        <f t="shared" si="69"/>
        <v>9.0588838408564811</v>
      </c>
      <c r="O170" s="14">
        <f t="shared" si="70"/>
        <v>53.764958074999981</v>
      </c>
      <c r="P170" s="14">
        <f t="shared" si="71"/>
        <v>16.190951767192974</v>
      </c>
      <c r="Q170" s="14">
        <f t="shared" si="72"/>
        <v>9.1518328169747498</v>
      </c>
      <c r="R170" s="14">
        <f t="shared" si="73"/>
        <v>14.214840456266668</v>
      </c>
      <c r="S170" s="14">
        <f t="shared" si="74"/>
        <v>1.0930518963339737</v>
      </c>
      <c r="T170" s="14">
        <f t="shared" si="75"/>
        <v>17.799055775316468</v>
      </c>
      <c r="V170" s="14">
        <f t="shared" si="77"/>
        <v>488.45410885145787</v>
      </c>
      <c r="W170" s="14">
        <f t="shared" si="78"/>
        <v>470.65505307614143</v>
      </c>
      <c r="X170" s="163"/>
      <c r="Y170" s="4">
        <v>1.7515432524029555</v>
      </c>
      <c r="Z170" s="4">
        <v>1.0267369180113384</v>
      </c>
      <c r="AA170" s="4">
        <v>8.5272407607798115</v>
      </c>
      <c r="AB170" s="4">
        <v>11.761131940493298</v>
      </c>
      <c r="AC170" s="4">
        <v>12.619296799848611</v>
      </c>
      <c r="AD170" s="4">
        <v>4.2559646906423856</v>
      </c>
      <c r="AE170" s="4">
        <v>11.748797964587901</v>
      </c>
      <c r="AF170" s="4">
        <v>11.402586323837291</v>
      </c>
      <c r="AG170" s="5"/>
      <c r="AH170" s="5"/>
      <c r="AI170" s="152">
        <f t="shared" si="79"/>
        <v>338.92361933997188</v>
      </c>
      <c r="AJ170" s="152">
        <f t="shared" si="80"/>
        <v>20.534738360226768</v>
      </c>
      <c r="AK170" s="152">
        <f t="shared" si="81"/>
        <v>42.636203803899058</v>
      </c>
      <c r="AL170" s="152">
        <f t="shared" si="82"/>
        <v>35.283395821479893</v>
      </c>
      <c r="AM170" s="152">
        <f t="shared" si="83"/>
        <v>16.405085839803196</v>
      </c>
      <c r="AN170" s="152">
        <f t="shared" si="84"/>
        <v>12.767894071927156</v>
      </c>
      <c r="AO170" s="152">
        <f t="shared" si="85"/>
        <v>15.273437353964271</v>
      </c>
      <c r="AP170" s="152">
        <f t="shared" si="86"/>
        <v>14.823362220988479</v>
      </c>
      <c r="AS170" s="152">
        <f t="shared" si="87"/>
        <v>496.64773681226063</v>
      </c>
      <c r="AT170" s="156">
        <v>1814</v>
      </c>
      <c r="AU170" s="109">
        <f t="shared" si="88"/>
        <v>0.94766374271036946</v>
      </c>
      <c r="AV170" s="109">
        <f t="shared" si="62"/>
        <v>0.7077736542118237</v>
      </c>
    </row>
    <row r="171" spans="1:48" x14ac:dyDescent="0.2">
      <c r="A171" s="156">
        <v>1815</v>
      </c>
      <c r="B171" s="56">
        <v>1.3324081014146636</v>
      </c>
      <c r="C171" s="57">
        <f t="shared" si="92"/>
        <v>0.99707966468346676</v>
      </c>
      <c r="D171" s="57">
        <v>1.8222760480902778</v>
      </c>
      <c r="E171" s="57">
        <f t="shared" si="96"/>
        <v>17.318235299999994</v>
      </c>
      <c r="F171" s="57">
        <f t="shared" si="97"/>
        <v>11.354154126315782</v>
      </c>
      <c r="G171" s="55">
        <f t="shared" si="91"/>
        <v>3.030565520891606</v>
      </c>
      <c r="H171" s="55">
        <f t="shared" si="99"/>
        <v>11.008938326333332</v>
      </c>
      <c r="I171" s="55">
        <f t="shared" si="100"/>
        <v>0.84739014804786683</v>
      </c>
      <c r="J171" s="55">
        <f t="shared" si="98"/>
        <v>5.7532175632911438</v>
      </c>
      <c r="K171" s="3"/>
      <c r="L171" s="14">
        <f t="shared" si="67"/>
        <v>238.50105015322478</v>
      </c>
      <c r="M171" s="14">
        <f t="shared" si="68"/>
        <v>19.941593293669335</v>
      </c>
      <c r="N171" s="14">
        <f t="shared" si="69"/>
        <v>9.1113802404513891</v>
      </c>
      <c r="O171" s="14">
        <f t="shared" si="70"/>
        <v>51.954705899999979</v>
      </c>
      <c r="P171" s="14">
        <f t="shared" si="71"/>
        <v>14.760400364210517</v>
      </c>
      <c r="Q171" s="14">
        <f t="shared" si="72"/>
        <v>9.0916965626748176</v>
      </c>
      <c r="R171" s="14">
        <f t="shared" si="73"/>
        <v>14.311619824233333</v>
      </c>
      <c r="S171" s="14">
        <f t="shared" si="74"/>
        <v>1.1016071924622268</v>
      </c>
      <c r="T171" s="14">
        <f t="shared" si="75"/>
        <v>17.25965268987343</v>
      </c>
      <c r="V171" s="14">
        <f t="shared" si="77"/>
        <v>376.03370622079979</v>
      </c>
      <c r="W171" s="14">
        <f t="shared" si="78"/>
        <v>358.77405353092638</v>
      </c>
      <c r="X171" s="163"/>
      <c r="Y171" s="4">
        <v>1.4595540860306915</v>
      </c>
      <c r="Z171" s="4">
        <v>0.80856229188830009</v>
      </c>
      <c r="AA171" s="4">
        <v>7.3048502488057618</v>
      </c>
      <c r="AB171" s="4">
        <v>11.896139098650124</v>
      </c>
      <c r="AC171" s="4">
        <v>10.54385098703599</v>
      </c>
      <c r="AD171" s="4">
        <v>3.9549492383517868</v>
      </c>
      <c r="AE171" s="4">
        <v>9.8762476308506866</v>
      </c>
      <c r="AF171" s="4">
        <v>9.1893840564260643</v>
      </c>
      <c r="AG171" s="5"/>
      <c r="AH171" s="5"/>
      <c r="AI171" s="152">
        <f t="shared" si="79"/>
        <v>282.42371564693877</v>
      </c>
      <c r="AJ171" s="152">
        <f t="shared" si="80"/>
        <v>16.171245837766001</v>
      </c>
      <c r="AK171" s="152">
        <f t="shared" si="81"/>
        <v>36.524251244028811</v>
      </c>
      <c r="AL171" s="152">
        <f t="shared" si="82"/>
        <v>35.688417295950373</v>
      </c>
      <c r="AM171" s="152">
        <f t="shared" si="83"/>
        <v>13.707006283146788</v>
      </c>
      <c r="AN171" s="152">
        <f t="shared" si="84"/>
        <v>11.86484771505536</v>
      </c>
      <c r="AO171" s="152">
        <f t="shared" si="85"/>
        <v>12.839121920105892</v>
      </c>
      <c r="AP171" s="152">
        <f t="shared" si="86"/>
        <v>11.946199273353884</v>
      </c>
      <c r="AS171" s="152">
        <f t="shared" si="87"/>
        <v>421.16480521634583</v>
      </c>
      <c r="AT171" s="156">
        <v>1815</v>
      </c>
      <c r="AU171" s="109">
        <f t="shared" si="88"/>
        <v>0.85186143069725329</v>
      </c>
      <c r="AV171" s="109">
        <f t="shared" si="62"/>
        <v>0.68305463485044504</v>
      </c>
    </row>
    <row r="172" spans="1:48" x14ac:dyDescent="0.2">
      <c r="A172" s="156">
        <v>1816</v>
      </c>
      <c r="B172" s="56">
        <v>0.86075032722259937</v>
      </c>
      <c r="C172" s="57">
        <f t="shared" si="92"/>
        <v>0.99495408825318998</v>
      </c>
      <c r="D172" s="57">
        <v>1.8327753280092591</v>
      </c>
      <c r="E172" s="57">
        <f t="shared" si="96"/>
        <v>16.714817908333327</v>
      </c>
      <c r="F172" s="57">
        <f t="shared" si="97"/>
        <v>10.253729970175431</v>
      </c>
      <c r="G172" s="55">
        <f t="shared" si="91"/>
        <v>3.0105201027916286</v>
      </c>
      <c r="H172" s="55">
        <f t="shared" si="99"/>
        <v>11.083383993999998</v>
      </c>
      <c r="I172" s="55">
        <f t="shared" si="100"/>
        <v>0.85397114506960015</v>
      </c>
      <c r="J172" s="55">
        <f t="shared" si="98"/>
        <v>5.5734165348101312</v>
      </c>
      <c r="K172" s="3"/>
      <c r="L172" s="14">
        <f t="shared" si="67"/>
        <v>154.0743085728453</v>
      </c>
      <c r="M172" s="14">
        <f t="shared" si="68"/>
        <v>19.899081765063798</v>
      </c>
      <c r="N172" s="14">
        <f t="shared" si="69"/>
        <v>9.1638766400462952</v>
      </c>
      <c r="O172" s="14">
        <f t="shared" si="70"/>
        <v>50.144453724999977</v>
      </c>
      <c r="P172" s="14">
        <f t="shared" si="71"/>
        <v>13.329848961228061</v>
      </c>
      <c r="Q172" s="14">
        <f t="shared" si="72"/>
        <v>9.0315603083748854</v>
      </c>
      <c r="R172" s="14">
        <f t="shared" si="73"/>
        <v>14.408399192199997</v>
      </c>
      <c r="S172" s="14">
        <f t="shared" si="74"/>
        <v>1.1101624885904802</v>
      </c>
      <c r="T172" s="14">
        <f t="shared" si="75"/>
        <v>16.720249604430393</v>
      </c>
      <c r="V172" s="14">
        <f t="shared" si="77"/>
        <v>287.8819412577792</v>
      </c>
      <c r="W172" s="14">
        <f t="shared" si="78"/>
        <v>271.16169165334884</v>
      </c>
      <c r="X172" s="163"/>
      <c r="Y172" s="4">
        <v>1.9810217595375181</v>
      </c>
      <c r="Z172" s="4">
        <v>0.86815520434403626</v>
      </c>
      <c r="AA172" s="4">
        <v>7.9715290763942184</v>
      </c>
      <c r="AB172" s="4">
        <v>11.166170152432223</v>
      </c>
      <c r="AC172" s="4">
        <v>11.898646193603001</v>
      </c>
      <c r="AD172" s="4">
        <v>4.2860246553427741</v>
      </c>
      <c r="AE172" s="4">
        <v>9.6641622329574499</v>
      </c>
      <c r="AF172" s="4">
        <v>11.724898928359291</v>
      </c>
      <c r="AG172" s="5"/>
      <c r="AH172" s="5"/>
      <c r="AI172" s="152">
        <f t="shared" si="79"/>
        <v>383.32771047050977</v>
      </c>
      <c r="AJ172" s="152">
        <f t="shared" si="80"/>
        <v>17.363104086880725</v>
      </c>
      <c r="AK172" s="152">
        <f t="shared" si="81"/>
        <v>39.857645381971089</v>
      </c>
      <c r="AL172" s="152">
        <f t="shared" si="82"/>
        <v>33.498510457296668</v>
      </c>
      <c r="AM172" s="152">
        <f t="shared" si="83"/>
        <v>15.468240051683903</v>
      </c>
      <c r="AN172" s="152">
        <f t="shared" si="84"/>
        <v>12.858073966028321</v>
      </c>
      <c r="AO172" s="152">
        <f t="shared" si="85"/>
        <v>12.563410902844685</v>
      </c>
      <c r="AP172" s="152">
        <f t="shared" si="86"/>
        <v>15.242368606867078</v>
      </c>
      <c r="AS172" s="152">
        <f t="shared" si="87"/>
        <v>530.17906392408224</v>
      </c>
      <c r="AT172" s="156">
        <v>1816</v>
      </c>
      <c r="AU172" s="109">
        <f t="shared" si="88"/>
        <v>0.5114530355958703</v>
      </c>
      <c r="AV172" s="109">
        <f t="shared" si="62"/>
        <v>0.71127771504672954</v>
      </c>
    </row>
    <row r="173" spans="1:48" x14ac:dyDescent="0.2">
      <c r="A173" s="156">
        <v>1817</v>
      </c>
      <c r="B173" s="56">
        <v>1.0006222553962687</v>
      </c>
      <c r="C173" s="57">
        <f t="shared" si="92"/>
        <v>0.99282851182291321</v>
      </c>
      <c r="D173" s="56">
        <v>1.8432746079282407</v>
      </c>
      <c r="E173" s="57">
        <f t="shared" si="96"/>
        <v>16.111400516666659</v>
      </c>
      <c r="F173" s="57">
        <f t="shared" si="97"/>
        <v>9.1533058140350807</v>
      </c>
      <c r="G173" s="55">
        <f t="shared" si="91"/>
        <v>2.9904746846916512</v>
      </c>
      <c r="H173" s="55">
        <f t="shared" si="99"/>
        <v>11.157829661666664</v>
      </c>
      <c r="I173" s="55">
        <f t="shared" si="100"/>
        <v>0.86055214209133346</v>
      </c>
      <c r="J173" s="55">
        <f t="shared" si="98"/>
        <v>5.3936155063291187</v>
      </c>
      <c r="K173" s="3"/>
      <c r="L173" s="14">
        <f t="shared" si="67"/>
        <v>179.11138371593211</v>
      </c>
      <c r="M173" s="14">
        <f t="shared" si="68"/>
        <v>19.856570236458264</v>
      </c>
      <c r="N173" s="14">
        <f t="shared" si="69"/>
        <v>9.2163730396412031</v>
      </c>
      <c r="O173" s="14">
        <f t="shared" si="70"/>
        <v>48.334201549999975</v>
      </c>
      <c r="P173" s="14">
        <f t="shared" si="71"/>
        <v>11.899297558245605</v>
      </c>
      <c r="Q173" s="14">
        <f t="shared" si="72"/>
        <v>8.9714240540749532</v>
      </c>
      <c r="R173" s="14">
        <f t="shared" si="73"/>
        <v>14.505178560166664</v>
      </c>
      <c r="S173" s="14">
        <f t="shared" si="74"/>
        <v>1.1187177847187335</v>
      </c>
      <c r="T173" s="14">
        <f t="shared" si="75"/>
        <v>16.180846518987355</v>
      </c>
      <c r="V173" s="14">
        <f t="shared" si="77"/>
        <v>309.19399301822489</v>
      </c>
      <c r="W173" s="14">
        <f t="shared" si="78"/>
        <v>293.01314649923751</v>
      </c>
      <c r="X173" s="163"/>
      <c r="Y173" s="4">
        <v>2.6458355757391536</v>
      </c>
      <c r="Z173" s="4">
        <v>1.2381290355156631</v>
      </c>
      <c r="AA173" s="4">
        <v>6.8086202944551308</v>
      </c>
      <c r="AB173" s="4">
        <v>10.870501720556682</v>
      </c>
      <c r="AC173" s="4">
        <v>0</v>
      </c>
      <c r="AD173" s="4">
        <v>3.8829874583766206</v>
      </c>
      <c r="AE173" s="4">
        <v>9.9617484133752114</v>
      </c>
      <c r="AF173" s="4">
        <v>10.954615402609948</v>
      </c>
      <c r="AG173" s="5"/>
      <c r="AH173" s="5"/>
      <c r="AI173" s="152">
        <f t="shared" si="79"/>
        <v>511.96918390552622</v>
      </c>
      <c r="AJ173" s="152">
        <f t="shared" si="80"/>
        <v>24.762580710313262</v>
      </c>
      <c r="AK173" s="152">
        <f t="shared" si="81"/>
        <v>34.043101472275652</v>
      </c>
      <c r="AL173" s="152">
        <f t="shared" si="82"/>
        <v>32.611505161670046</v>
      </c>
      <c r="AM173" s="152">
        <f t="shared" si="83"/>
        <v>0</v>
      </c>
      <c r="AN173" s="152">
        <f t="shared" si="84"/>
        <v>11.648962375129862</v>
      </c>
      <c r="AO173" s="152">
        <f t="shared" si="85"/>
        <v>12.950272937387775</v>
      </c>
      <c r="AP173" s="152">
        <f t="shared" si="86"/>
        <v>14.241000023392932</v>
      </c>
      <c r="AS173" s="152">
        <f t="shared" si="87"/>
        <v>642.22660658569578</v>
      </c>
      <c r="AT173" s="156">
        <v>1817</v>
      </c>
      <c r="AU173" s="109">
        <f t="shared" si="88"/>
        <v>0.45624572930261986</v>
      </c>
      <c r="AV173" s="109">
        <f t="shared" si="62"/>
        <v>0.70559263034931574</v>
      </c>
    </row>
    <row r="174" spans="1:48" x14ac:dyDescent="0.2">
      <c r="A174" s="156">
        <v>1818</v>
      </c>
      <c r="B174" s="56">
        <v>1.9497752231956367</v>
      </c>
      <c r="C174" s="57">
        <f t="shared" si="92"/>
        <v>0.99070293539263643</v>
      </c>
      <c r="D174" s="57">
        <v>2.1835714586226844</v>
      </c>
      <c r="E174" s="57">
        <f t="shared" si="96"/>
        <v>15.507983124999992</v>
      </c>
      <c r="F174" s="57">
        <f t="shared" si="97"/>
        <v>8.05288165789473</v>
      </c>
      <c r="G174" s="55">
        <f t="shared" si="91"/>
        <v>2.9704292665916738</v>
      </c>
      <c r="H174" s="55">
        <f t="shared" si="99"/>
        <v>11.23227532933333</v>
      </c>
      <c r="I174" s="55">
        <f t="shared" si="100"/>
        <v>0.86713313911306678</v>
      </c>
      <c r="J174" s="55">
        <f t="shared" si="98"/>
        <v>5.2138144778481061</v>
      </c>
      <c r="K174" s="3"/>
      <c r="L174" s="14">
        <f t="shared" si="67"/>
        <v>349.00976495201894</v>
      </c>
      <c r="M174" s="14">
        <f t="shared" si="68"/>
        <v>19.81405870785273</v>
      </c>
      <c r="N174" s="14">
        <f t="shared" si="69"/>
        <v>10.917857293113421</v>
      </c>
      <c r="O174" s="14">
        <f t="shared" si="70"/>
        <v>46.523949374999972</v>
      </c>
      <c r="P174" s="14">
        <f t="shared" si="71"/>
        <v>10.468746155263149</v>
      </c>
      <c r="Q174" s="14">
        <f t="shared" si="72"/>
        <v>8.9112877997750211</v>
      </c>
      <c r="R174" s="14">
        <f t="shared" si="73"/>
        <v>14.601957928133329</v>
      </c>
      <c r="S174" s="14">
        <f t="shared" si="74"/>
        <v>1.1272730808469869</v>
      </c>
      <c r="T174" s="14">
        <f t="shared" si="75"/>
        <v>15.641443433544318</v>
      </c>
      <c r="V174" s="14">
        <f t="shared" si="77"/>
        <v>477.01633872554788</v>
      </c>
      <c r="W174" s="14">
        <f t="shared" si="78"/>
        <v>461.37489529200354</v>
      </c>
      <c r="X174" s="163"/>
      <c r="Y174" s="4">
        <v>2.2784618496284907</v>
      </c>
      <c r="Z174" s="4">
        <v>1.5027970364775487</v>
      </c>
      <c r="AA174" s="4">
        <v>6.6267213502449449</v>
      </c>
      <c r="AB174" s="4">
        <v>12.508076071266846</v>
      </c>
      <c r="AC174" s="4">
        <v>0</v>
      </c>
      <c r="AD174" s="4">
        <v>3.818051010478229</v>
      </c>
      <c r="AE174" s="4">
        <v>11.726500312579379</v>
      </c>
      <c r="AF174" s="4">
        <v>12.571012022318598</v>
      </c>
      <c r="AG174" s="5"/>
      <c r="AH174" s="5"/>
      <c r="AI174" s="152">
        <f t="shared" si="79"/>
        <v>440.88236790311294</v>
      </c>
      <c r="AJ174" s="152">
        <f t="shared" si="80"/>
        <v>30.055940729550976</v>
      </c>
      <c r="AK174" s="152">
        <f t="shared" si="81"/>
        <v>33.133606751224725</v>
      </c>
      <c r="AL174" s="152">
        <f t="shared" si="82"/>
        <v>37.524228213800541</v>
      </c>
      <c r="AM174" s="152">
        <f t="shared" si="83"/>
        <v>0</v>
      </c>
      <c r="AN174" s="152">
        <f t="shared" si="84"/>
        <v>11.454153031434688</v>
      </c>
      <c r="AO174" s="152">
        <f t="shared" si="85"/>
        <v>15.244450406353193</v>
      </c>
      <c r="AP174" s="152">
        <f t="shared" si="86"/>
        <v>16.342315629014177</v>
      </c>
      <c r="AS174" s="152">
        <f t="shared" si="87"/>
        <v>584.63706266449117</v>
      </c>
      <c r="AT174" s="156">
        <v>1818</v>
      </c>
      <c r="AU174" s="109">
        <f t="shared" si="88"/>
        <v>0.78916463692753469</v>
      </c>
      <c r="AV174" s="109">
        <f t="shared" si="62"/>
        <v>0.64341653397927701</v>
      </c>
    </row>
    <row r="175" spans="1:48" x14ac:dyDescent="0.2">
      <c r="A175" s="156">
        <v>1819</v>
      </c>
      <c r="B175" s="56">
        <v>1.9994771081457863</v>
      </c>
      <c r="C175" s="57">
        <f t="shared" si="92"/>
        <v>0.98857735896235965</v>
      </c>
      <c r="D175" s="56">
        <v>2.5238683093171281</v>
      </c>
      <c r="E175" s="57">
        <f t="shared" si="96"/>
        <v>14.904565733333325</v>
      </c>
      <c r="F175" s="57">
        <f t="shared" si="97"/>
        <v>6.9524575017543793</v>
      </c>
      <c r="G175" s="55">
        <f t="shared" si="91"/>
        <v>2.9503838484916964</v>
      </c>
      <c r="H175" s="55">
        <f t="shared" si="99"/>
        <v>11.306720996999996</v>
      </c>
      <c r="I175" s="55">
        <f t="shared" si="100"/>
        <v>0.87371413613480009</v>
      </c>
      <c r="J175" s="55">
        <f t="shared" si="98"/>
        <v>5.0340134493670936</v>
      </c>
      <c r="K175" s="3"/>
      <c r="L175" s="14">
        <f t="shared" si="67"/>
        <v>357.90640235809576</v>
      </c>
      <c r="M175" s="14">
        <f t="shared" si="68"/>
        <v>19.771547179247193</v>
      </c>
      <c r="N175" s="14">
        <f t="shared" si="69"/>
        <v>12.619341546585641</v>
      </c>
      <c r="O175" s="14">
        <f t="shared" si="70"/>
        <v>44.71369719999997</v>
      </c>
      <c r="P175" s="14">
        <f t="shared" si="71"/>
        <v>9.0381947522806936</v>
      </c>
      <c r="Q175" s="14">
        <f t="shared" si="72"/>
        <v>8.8511515454750889</v>
      </c>
      <c r="R175" s="14">
        <f t="shared" si="73"/>
        <v>14.698737296099996</v>
      </c>
      <c r="S175" s="14">
        <f t="shared" si="74"/>
        <v>1.1358283769752402</v>
      </c>
      <c r="T175" s="14">
        <f t="shared" si="75"/>
        <v>15.10204034810128</v>
      </c>
      <c r="V175" s="14">
        <f t="shared" si="77"/>
        <v>483.83694060286081</v>
      </c>
      <c r="W175" s="14">
        <f t="shared" si="78"/>
        <v>468.73490025475951</v>
      </c>
      <c r="X175" s="163"/>
      <c r="Y175" s="4">
        <v>1.8813283470958417</v>
      </c>
      <c r="Z175" s="4">
        <v>1.5589687885668173</v>
      </c>
      <c r="AA175" s="4">
        <v>8.0708892765727835</v>
      </c>
      <c r="AB175" s="4">
        <v>12.365644572229117</v>
      </c>
      <c r="AC175" s="4">
        <v>0</v>
      </c>
      <c r="AD175" s="4">
        <v>3.1691866977114809</v>
      </c>
      <c r="AE175" s="4">
        <v>9.7323050703957588</v>
      </c>
      <c r="AF175" s="4">
        <v>11.607135488104134</v>
      </c>
      <c r="AG175" s="5"/>
      <c r="AH175" s="5"/>
      <c r="AI175" s="152">
        <f t="shared" si="79"/>
        <v>364.0370351630454</v>
      </c>
      <c r="AJ175" s="152">
        <f t="shared" si="80"/>
        <v>31.179375771336346</v>
      </c>
      <c r="AK175" s="152">
        <f t="shared" si="81"/>
        <v>40.354446382863919</v>
      </c>
      <c r="AL175" s="152">
        <f t="shared" si="82"/>
        <v>37.096933716687353</v>
      </c>
      <c r="AM175" s="152">
        <f t="shared" si="83"/>
        <v>0</v>
      </c>
      <c r="AN175" s="152">
        <f t="shared" si="84"/>
        <v>9.5075600931344422</v>
      </c>
      <c r="AO175" s="152">
        <f t="shared" si="85"/>
        <v>12.651996591514488</v>
      </c>
      <c r="AP175" s="152">
        <f t="shared" si="86"/>
        <v>15.089276134535375</v>
      </c>
      <c r="AS175" s="152">
        <f t="shared" si="87"/>
        <v>509.91662385311736</v>
      </c>
      <c r="AT175" s="156">
        <v>1819</v>
      </c>
      <c r="AU175" s="109">
        <f t="shared" si="88"/>
        <v>0.91923831922330046</v>
      </c>
      <c r="AV175" s="109">
        <f t="shared" si="62"/>
        <v>0.7452353503355984</v>
      </c>
    </row>
    <row r="176" spans="1:48" x14ac:dyDescent="0.2">
      <c r="A176" s="156">
        <v>1820</v>
      </c>
      <c r="B176" s="56">
        <v>0.87749460158042047</v>
      </c>
      <c r="C176" s="57">
        <f t="shared" si="92"/>
        <v>0.98645178253208288</v>
      </c>
      <c r="D176" s="56">
        <v>5.0444003749999995</v>
      </c>
      <c r="E176" s="57">
        <f t="shared" si="96"/>
        <v>14.301148341666657</v>
      </c>
      <c r="F176" s="57">
        <f t="shared" si="97"/>
        <v>5.8520333456140285</v>
      </c>
      <c r="G176" s="55">
        <f t="shared" si="91"/>
        <v>2.930338430391719</v>
      </c>
      <c r="H176" s="55">
        <f t="shared" si="99"/>
        <v>11.381166664666662</v>
      </c>
      <c r="I176" s="55">
        <f t="shared" si="100"/>
        <v>0.8802951331565334</v>
      </c>
      <c r="J176" s="55">
        <f t="shared" si="98"/>
        <v>4.8542124208860811</v>
      </c>
      <c r="K176" s="3"/>
      <c r="L176" s="14">
        <f t="shared" si="67"/>
        <v>157.07153368289528</v>
      </c>
      <c r="M176" s="14">
        <f t="shared" si="68"/>
        <v>19.729035650641656</v>
      </c>
      <c r="N176" s="14">
        <f t="shared" si="69"/>
        <v>25.222001874999997</v>
      </c>
      <c r="O176" s="14">
        <f t="shared" si="70"/>
        <v>42.903445024999968</v>
      </c>
      <c r="P176" s="14">
        <f t="shared" si="71"/>
        <v>7.6076433492982369</v>
      </c>
      <c r="Q176" s="14">
        <f t="shared" si="72"/>
        <v>8.7910152911751567</v>
      </c>
      <c r="R176" s="14">
        <f t="shared" si="73"/>
        <v>14.79551666406666</v>
      </c>
      <c r="S176" s="14">
        <f t="shared" si="74"/>
        <v>1.1443836731034935</v>
      </c>
      <c r="T176" s="14">
        <f t="shared" si="75"/>
        <v>14.562637262658242</v>
      </c>
      <c r="V176" s="14">
        <f t="shared" si="77"/>
        <v>291.8272124738387</v>
      </c>
      <c r="W176" s="14">
        <f t="shared" si="78"/>
        <v>277.26457521118044</v>
      </c>
      <c r="X176" s="163"/>
      <c r="Y176" s="4">
        <v>1.8591854582847342</v>
      </c>
      <c r="Z176" s="4">
        <v>1.2018871432794016</v>
      </c>
      <c r="AA176" s="4">
        <v>8.7449906805638182</v>
      </c>
      <c r="AB176" s="4">
        <v>11.785552295815563</v>
      </c>
      <c r="AC176" s="4">
        <v>10.554141506860731</v>
      </c>
      <c r="AD176" s="4">
        <v>3.057225679237757</v>
      </c>
      <c r="AE176" s="4">
        <v>9.2452152070926648</v>
      </c>
      <c r="AF176" s="4">
        <v>11.337926219234912</v>
      </c>
      <c r="AG176" s="5"/>
      <c r="AH176" s="5"/>
      <c r="AI176" s="152">
        <f t="shared" si="79"/>
        <v>359.75238617809606</v>
      </c>
      <c r="AJ176" s="152">
        <f t="shared" si="80"/>
        <v>24.037742865588033</v>
      </c>
      <c r="AK176" s="152">
        <f t="shared" si="81"/>
        <v>43.724953402819089</v>
      </c>
      <c r="AL176" s="152">
        <f t="shared" si="82"/>
        <v>35.35665688744669</v>
      </c>
      <c r="AM176" s="152">
        <f t="shared" si="83"/>
        <v>13.72038395891895</v>
      </c>
      <c r="AN176" s="152">
        <f t="shared" si="84"/>
        <v>9.1716770377132715</v>
      </c>
      <c r="AO176" s="152">
        <f t="shared" si="85"/>
        <v>12.018779769220465</v>
      </c>
      <c r="AP176" s="152">
        <f t="shared" si="86"/>
        <v>14.739304085005386</v>
      </c>
      <c r="AS176" s="152">
        <f t="shared" si="87"/>
        <v>512.52188418480796</v>
      </c>
      <c r="AT176" s="156">
        <v>1820</v>
      </c>
      <c r="AU176" s="109">
        <f t="shared" si="88"/>
        <v>0.54098094884706005</v>
      </c>
      <c r="AV176" s="109">
        <f t="shared" si="62"/>
        <v>0.91906400149509015</v>
      </c>
    </row>
    <row r="177" spans="1:48" x14ac:dyDescent="0.2">
      <c r="A177" s="156">
        <v>1821</v>
      </c>
      <c r="B177" s="56">
        <v>2.0261962972389846</v>
      </c>
      <c r="C177" s="57">
        <f t="shared" si="92"/>
        <v>0.9843262061018061</v>
      </c>
      <c r="D177" s="57">
        <v>4.1761429691840277</v>
      </c>
      <c r="E177" s="57">
        <f t="shared" si="96"/>
        <v>13.69773094999999</v>
      </c>
      <c r="F177" s="57">
        <f t="shared" si="97"/>
        <v>4.7516091894736778</v>
      </c>
      <c r="G177" s="55">
        <f t="shared" si="91"/>
        <v>2.9102930122917416</v>
      </c>
      <c r="H177" s="55">
        <f t="shared" si="99"/>
        <v>11.455612332333327</v>
      </c>
      <c r="I177" s="55">
        <f t="shared" si="100"/>
        <v>0.88687613017826672</v>
      </c>
      <c r="J177" s="55">
        <f t="shared" si="98"/>
        <v>4.6744113924050685</v>
      </c>
      <c r="K177" s="3"/>
      <c r="L177" s="14">
        <f t="shared" si="67"/>
        <v>362.68913720577825</v>
      </c>
      <c r="M177" s="14">
        <f t="shared" si="68"/>
        <v>19.686524122036122</v>
      </c>
      <c r="N177" s="14">
        <f t="shared" si="69"/>
        <v>20.880714845920139</v>
      </c>
      <c r="O177" s="14">
        <f t="shared" si="70"/>
        <v>41.093192849999966</v>
      </c>
      <c r="P177" s="14">
        <f t="shared" si="71"/>
        <v>6.1770919463157812</v>
      </c>
      <c r="Q177" s="14">
        <f t="shared" si="72"/>
        <v>8.7308790368752245</v>
      </c>
      <c r="R177" s="14">
        <f t="shared" si="73"/>
        <v>14.892296032033325</v>
      </c>
      <c r="S177" s="14">
        <f t="shared" si="74"/>
        <v>1.1529389692317469</v>
      </c>
      <c r="T177" s="14">
        <f t="shared" si="75"/>
        <v>14.023234177215205</v>
      </c>
      <c r="V177" s="14">
        <f t="shared" si="77"/>
        <v>489.32600918540578</v>
      </c>
      <c r="W177" s="14">
        <f t="shared" si="78"/>
        <v>475.30277500819057</v>
      </c>
      <c r="X177" s="163"/>
      <c r="Y177" s="4">
        <v>1.6625530297491211</v>
      </c>
      <c r="Z177" s="4">
        <v>1.0343030987665773</v>
      </c>
      <c r="AA177" s="4">
        <v>8.0177109806887774</v>
      </c>
      <c r="AB177" s="4">
        <v>11.220509668599226</v>
      </c>
      <c r="AC177" s="4">
        <v>11.13127002741968</v>
      </c>
      <c r="AD177" s="4">
        <v>2.9540655922720842</v>
      </c>
      <c r="AE177" s="4">
        <v>9.1281045591109535</v>
      </c>
      <c r="AF177" s="4">
        <v>11.072121062972133</v>
      </c>
      <c r="AG177" s="5"/>
      <c r="AH177" s="5"/>
      <c r="AI177" s="152">
        <f t="shared" si="79"/>
        <v>321.70401125645492</v>
      </c>
      <c r="AJ177" s="152">
        <f t="shared" si="80"/>
        <v>20.686061975331548</v>
      </c>
      <c r="AK177" s="152">
        <f t="shared" si="81"/>
        <v>40.088554903443885</v>
      </c>
      <c r="AL177" s="152">
        <f t="shared" si="82"/>
        <v>33.661529005797675</v>
      </c>
      <c r="AM177" s="152">
        <f t="shared" si="83"/>
        <v>14.470651035645584</v>
      </c>
      <c r="AN177" s="152">
        <f t="shared" si="84"/>
        <v>8.8621967768162531</v>
      </c>
      <c r="AO177" s="152">
        <f t="shared" si="85"/>
        <v>11.866535926844239</v>
      </c>
      <c r="AP177" s="152">
        <f t="shared" si="86"/>
        <v>14.393757381863773</v>
      </c>
      <c r="AS177" s="152">
        <f t="shared" si="87"/>
        <v>465.73329826219782</v>
      </c>
      <c r="AT177" s="156">
        <v>1821</v>
      </c>
      <c r="AU177" s="109">
        <f t="shared" si="88"/>
        <v>1.0205471173774767</v>
      </c>
      <c r="AV177" s="109">
        <f t="shared" si="62"/>
        <v>0.89875452933641031</v>
      </c>
    </row>
    <row r="178" spans="1:48" x14ac:dyDescent="0.2">
      <c r="A178" s="156">
        <v>1822</v>
      </c>
      <c r="B178" s="56">
        <v>2.185067711419197</v>
      </c>
      <c r="C178" s="57">
        <f t="shared" si="92"/>
        <v>0.98220062967152932</v>
      </c>
      <c r="D178" s="57">
        <v>3.3078855633680555</v>
      </c>
      <c r="E178" s="57">
        <f t="shared" si="96"/>
        <v>13.094313558333322</v>
      </c>
      <c r="F178" s="56">
        <v>3.6511850333333324</v>
      </c>
      <c r="G178" s="55">
        <f t="shared" si="91"/>
        <v>2.8902475941917642</v>
      </c>
      <c r="H178" s="109">
        <v>11.530058</v>
      </c>
      <c r="I178" s="99">
        <v>0.89345712720000015</v>
      </c>
      <c r="J178" s="55">
        <f t="shared" si="98"/>
        <v>4.494610363924056</v>
      </c>
      <c r="K178" s="3"/>
      <c r="L178" s="14">
        <f t="shared" si="67"/>
        <v>391.12712034403626</v>
      </c>
      <c r="M178" s="14">
        <f t="shared" si="68"/>
        <v>19.644012593430588</v>
      </c>
      <c r="N178" s="14">
        <f t="shared" si="69"/>
        <v>16.539427816840277</v>
      </c>
      <c r="O178" s="14">
        <f t="shared" si="70"/>
        <v>39.282940674999963</v>
      </c>
      <c r="P178" s="14">
        <f t="shared" si="71"/>
        <v>4.7465405433333325</v>
      </c>
      <c r="Q178" s="14">
        <f t="shared" si="72"/>
        <v>8.6707427825752923</v>
      </c>
      <c r="R178" s="14">
        <f t="shared" si="73"/>
        <v>14.989075400000001</v>
      </c>
      <c r="S178" s="14">
        <f t="shared" si="74"/>
        <v>1.1614942653600002</v>
      </c>
      <c r="T178" s="14">
        <f t="shared" si="75"/>
        <v>13.483831091772167</v>
      </c>
      <c r="V178" s="14">
        <f t="shared" si="77"/>
        <v>509.64518551234784</v>
      </c>
      <c r="W178" s="14">
        <f t="shared" si="78"/>
        <v>496.16135442057566</v>
      </c>
      <c r="X178" s="163"/>
      <c r="Y178" s="4">
        <v>1.2933816870164219</v>
      </c>
      <c r="Z178" s="4">
        <v>0.83950632008980364</v>
      </c>
      <c r="AA178" s="4">
        <v>6.5074835352538623</v>
      </c>
      <c r="AB178" s="4">
        <v>10.095594944256387</v>
      </c>
      <c r="AC178" s="4">
        <v>10.225096379627505</v>
      </c>
      <c r="AD178" s="4">
        <v>2.8126276380744319</v>
      </c>
      <c r="AE178" s="4">
        <v>7.8756988825538663</v>
      </c>
      <c r="AF178" s="4">
        <v>9.6145367069495364</v>
      </c>
      <c r="AG178" s="5"/>
      <c r="AH178" s="5"/>
      <c r="AI178" s="152">
        <f t="shared" si="79"/>
        <v>250.26935643767763</v>
      </c>
      <c r="AJ178" s="152">
        <f t="shared" si="80"/>
        <v>16.790126401796073</v>
      </c>
      <c r="AK178" s="152">
        <f t="shared" si="81"/>
        <v>32.537417676269314</v>
      </c>
      <c r="AL178" s="152">
        <f t="shared" si="82"/>
        <v>30.286784832769161</v>
      </c>
      <c r="AM178" s="152">
        <f t="shared" si="83"/>
        <v>13.292625293515757</v>
      </c>
      <c r="AN178" s="152">
        <f t="shared" si="84"/>
        <v>8.4378829142232963</v>
      </c>
      <c r="AO178" s="152">
        <f t="shared" si="85"/>
        <v>10.238408547320027</v>
      </c>
      <c r="AP178" s="152">
        <f t="shared" si="86"/>
        <v>12.498897719034398</v>
      </c>
      <c r="AS178" s="152">
        <f t="shared" si="87"/>
        <v>374.35149982260572</v>
      </c>
      <c r="AT178" s="156">
        <v>1822</v>
      </c>
      <c r="AU178" s="109">
        <f t="shared" si="88"/>
        <v>1.3253889851000786</v>
      </c>
      <c r="AV178" s="109">
        <f t="shared" si="62"/>
        <v>0.84647510504055679</v>
      </c>
    </row>
    <row r="179" spans="1:48" x14ac:dyDescent="0.2">
      <c r="A179" s="156">
        <v>1823</v>
      </c>
      <c r="B179" s="56">
        <v>0.98278225550760145</v>
      </c>
      <c r="C179" s="57">
        <f t="shared" si="92"/>
        <v>0.98007505324125255</v>
      </c>
      <c r="D179" s="56">
        <v>2.4396281575520833</v>
      </c>
      <c r="E179" s="56">
        <v>12.490896166666667</v>
      </c>
      <c r="F179" s="56">
        <v>11.049638916666666</v>
      </c>
      <c r="G179" s="55">
        <f t="shared" si="91"/>
        <v>2.8702021760917868</v>
      </c>
      <c r="H179" s="109">
        <v>4.8041908333333332</v>
      </c>
      <c r="I179" s="99">
        <v>0.29889046966666666</v>
      </c>
      <c r="J179" s="55">
        <f t="shared" si="98"/>
        <v>4.3148093354430435</v>
      </c>
      <c r="K179" s="3"/>
      <c r="L179" s="14">
        <f t="shared" si="67"/>
        <v>175.91802373586066</v>
      </c>
      <c r="M179" s="14">
        <f t="shared" si="68"/>
        <v>19.601501064825051</v>
      </c>
      <c r="N179" s="14">
        <f t="shared" si="69"/>
        <v>12.198140787760416</v>
      </c>
      <c r="O179" s="14">
        <f t="shared" si="70"/>
        <v>37.472688500000004</v>
      </c>
      <c r="P179" s="14">
        <f t="shared" si="71"/>
        <v>14.364530591666666</v>
      </c>
      <c r="Q179" s="14">
        <f t="shared" si="72"/>
        <v>8.6106065282753601</v>
      </c>
      <c r="R179" s="14">
        <f t="shared" si="73"/>
        <v>6.2454480833333337</v>
      </c>
      <c r="S179" s="14">
        <f t="shared" si="74"/>
        <v>0.38855761056666666</v>
      </c>
      <c r="T179" s="14">
        <f t="shared" si="75"/>
        <v>12.944428006329129</v>
      </c>
      <c r="V179" s="14">
        <f t="shared" si="77"/>
        <v>287.74392490861732</v>
      </c>
      <c r="W179" s="14">
        <f t="shared" si="78"/>
        <v>274.79949690228818</v>
      </c>
      <c r="X179" s="163"/>
      <c r="Y179" s="4">
        <v>1.4361386973097003</v>
      </c>
      <c r="Z179" s="4">
        <v>0.83260288981109465</v>
      </c>
      <c r="AA179" s="4">
        <v>6.3938246650033301</v>
      </c>
      <c r="AB179" s="4">
        <v>10.056759397288609</v>
      </c>
      <c r="AC179" s="4">
        <v>11.083914669708491</v>
      </c>
      <c r="AD179" s="4">
        <v>2.6525900754343721</v>
      </c>
      <c r="AE179" s="4">
        <v>7.1078849804694126</v>
      </c>
      <c r="AF179" s="4">
        <v>8.729830851946323</v>
      </c>
      <c r="AG179" s="5"/>
      <c r="AH179" s="5"/>
      <c r="AI179" s="152">
        <f t="shared" si="79"/>
        <v>277.892837929427</v>
      </c>
      <c r="AJ179" s="152">
        <f t="shared" si="80"/>
        <v>16.652057796221893</v>
      </c>
      <c r="AK179" s="152">
        <f t="shared" si="81"/>
        <v>31.96912332501665</v>
      </c>
      <c r="AL179" s="152">
        <f t="shared" si="82"/>
        <v>30.170278191865826</v>
      </c>
      <c r="AM179" s="152">
        <f t="shared" si="83"/>
        <v>14.409089070621039</v>
      </c>
      <c r="AN179" s="152">
        <f t="shared" si="84"/>
        <v>7.9577702263031167</v>
      </c>
      <c r="AO179" s="152">
        <f t="shared" si="85"/>
        <v>9.240250474610237</v>
      </c>
      <c r="AP179" s="152">
        <f t="shared" si="86"/>
        <v>11.348780107530221</v>
      </c>
      <c r="AS179" s="152">
        <f t="shared" si="87"/>
        <v>399.640187121596</v>
      </c>
      <c r="AT179" s="156">
        <v>1823</v>
      </c>
      <c r="AU179" s="109">
        <f t="shared" si="88"/>
        <v>0.68761727613413581</v>
      </c>
      <c r="AV179" s="109">
        <f t="shared" si="62"/>
        <v>0.8454567469918095</v>
      </c>
    </row>
    <row r="180" spans="1:48" x14ac:dyDescent="0.2">
      <c r="A180" s="156">
        <v>1824</v>
      </c>
      <c r="B180" s="56">
        <v>1.1410567654831583</v>
      </c>
      <c r="C180" s="57">
        <f t="shared" si="92"/>
        <v>0.97794947681097577</v>
      </c>
      <c r="D180" s="57">
        <f t="shared" ref="D180:D188" si="101">D179+($D$189-$D$179)/10</f>
        <v>2.3980801411736059</v>
      </c>
      <c r="E180" s="56">
        <v>11.722225633333332</v>
      </c>
      <c r="F180" s="57">
        <f>F179+($F$181-$F$179)/2</f>
        <v>7.8788729666666661</v>
      </c>
      <c r="G180" s="55">
        <f t="shared" si="91"/>
        <v>2.8501567579918095</v>
      </c>
      <c r="H180" s="55">
        <f>H179+($H$181-$H$179)/2</f>
        <v>7.4482115741071429</v>
      </c>
      <c r="I180" s="55">
        <f>I179+($I$181-$I$179)/2</f>
        <v>0.25287818529728112</v>
      </c>
      <c r="J180" s="55">
        <f t="shared" si="98"/>
        <v>4.1350083069620309</v>
      </c>
      <c r="K180" s="3"/>
      <c r="L180" s="14">
        <f t="shared" si="67"/>
        <v>204.24916102148532</v>
      </c>
      <c r="M180" s="14">
        <f t="shared" si="68"/>
        <v>19.558989536219514</v>
      </c>
      <c r="N180" s="14">
        <f t="shared" si="69"/>
        <v>11.99040070586803</v>
      </c>
      <c r="O180" s="14">
        <f t="shared" si="70"/>
        <v>35.166676899999999</v>
      </c>
      <c r="P180" s="14">
        <f t="shared" si="71"/>
        <v>10.242534856666666</v>
      </c>
      <c r="Q180" s="14">
        <f t="shared" si="72"/>
        <v>8.5504702739754279</v>
      </c>
      <c r="R180" s="14">
        <f t="shared" si="73"/>
        <v>9.6826750463392859</v>
      </c>
      <c r="S180" s="14">
        <f t="shared" si="74"/>
        <v>0.32874164088646546</v>
      </c>
      <c r="T180" s="14">
        <f t="shared" si="75"/>
        <v>12.405024920886092</v>
      </c>
      <c r="V180" s="14">
        <f t="shared" si="77"/>
        <v>312.17467490232679</v>
      </c>
      <c r="W180" s="14">
        <f t="shared" si="78"/>
        <v>299.76964998144069</v>
      </c>
      <c r="X180" s="163"/>
      <c r="Y180" s="4">
        <v>1.7098733810458637</v>
      </c>
      <c r="Z180" s="4">
        <v>0.97870774636241298</v>
      </c>
      <c r="AA180" s="4">
        <v>6.6992923286527528</v>
      </c>
      <c r="AB180" s="4">
        <v>10.525303918727092</v>
      </c>
      <c r="AC180" s="4">
        <v>9.4957962267812679</v>
      </c>
      <c r="AD180" s="4">
        <v>2.5331840250111379</v>
      </c>
      <c r="AE180" s="4">
        <v>6.9648494949240831</v>
      </c>
      <c r="AF180" s="4">
        <v>8.6011788026315283</v>
      </c>
      <c r="AG180" s="5"/>
      <c r="AH180" s="5"/>
      <c r="AI180" s="152">
        <f t="shared" si="79"/>
        <v>330.86049923237465</v>
      </c>
      <c r="AJ180" s="152">
        <f t="shared" si="80"/>
        <v>19.574154927248259</v>
      </c>
      <c r="AK180" s="152">
        <f t="shared" si="81"/>
        <v>33.496461643263764</v>
      </c>
      <c r="AL180" s="152">
        <f t="shared" si="82"/>
        <v>31.575911756181277</v>
      </c>
      <c r="AM180" s="152">
        <f t="shared" si="83"/>
        <v>12.344535094815649</v>
      </c>
      <c r="AN180" s="152">
        <f t="shared" si="84"/>
        <v>7.5995520750334133</v>
      </c>
      <c r="AO180" s="152">
        <f t="shared" si="85"/>
        <v>9.0543043434013075</v>
      </c>
      <c r="AP180" s="152">
        <f t="shared" si="86"/>
        <v>11.181532443420988</v>
      </c>
      <c r="AS180" s="152">
        <f t="shared" si="87"/>
        <v>455.68695151573928</v>
      </c>
      <c r="AT180" s="156">
        <v>1824</v>
      </c>
      <c r="AU180" s="109">
        <f t="shared" si="88"/>
        <v>0.65784119774403227</v>
      </c>
      <c r="AV180" s="109">
        <f t="shared" si="62"/>
        <v>0.83202853120449638</v>
      </c>
    </row>
    <row r="181" spans="1:48" x14ac:dyDescent="0.2">
      <c r="A181" s="156">
        <v>1825</v>
      </c>
      <c r="B181" s="56">
        <v>1.0447990001316634</v>
      </c>
      <c r="C181" s="56">
        <v>0.97582390038069755</v>
      </c>
      <c r="D181" s="57">
        <f t="shared" si="101"/>
        <v>2.3565321247951285</v>
      </c>
      <c r="E181" s="56">
        <v>7.9749567833333339</v>
      </c>
      <c r="F181" s="56">
        <v>4.7081070166666672</v>
      </c>
      <c r="G181" s="55">
        <f t="shared" si="91"/>
        <v>2.8301113398918321</v>
      </c>
      <c r="H181" s="109">
        <v>10.092232314880953</v>
      </c>
      <c r="I181" s="113">
        <v>0.20686590092789553</v>
      </c>
      <c r="J181" s="55">
        <f t="shared" si="98"/>
        <v>3.9552072784810179</v>
      </c>
      <c r="K181" s="3"/>
      <c r="L181" s="14">
        <f t="shared" si="67"/>
        <v>187.01902102356775</v>
      </c>
      <c r="M181" s="14">
        <f t="shared" si="68"/>
        <v>19.516478007613951</v>
      </c>
      <c r="N181" s="14">
        <f t="shared" si="69"/>
        <v>11.782660623975643</v>
      </c>
      <c r="O181" s="14">
        <f t="shared" si="70"/>
        <v>23.924870350000003</v>
      </c>
      <c r="P181" s="14">
        <f t="shared" si="71"/>
        <v>6.1205391216666678</v>
      </c>
      <c r="Q181" s="14">
        <f t="shared" si="72"/>
        <v>8.4903340196754957</v>
      </c>
      <c r="R181" s="14">
        <f t="shared" si="73"/>
        <v>13.119902009345239</v>
      </c>
      <c r="S181" s="14">
        <f t="shared" si="74"/>
        <v>0.26892567120626421</v>
      </c>
      <c r="T181" s="14">
        <f t="shared" si="75"/>
        <v>11.865621835443054</v>
      </c>
      <c r="V181" s="14">
        <f t="shared" si="77"/>
        <v>282.10835266249404</v>
      </c>
      <c r="W181" s="14">
        <f t="shared" si="78"/>
        <v>270.24273082705099</v>
      </c>
      <c r="X181" s="163"/>
      <c r="Y181" s="4">
        <v>1.898242323663873</v>
      </c>
      <c r="Z181" s="4">
        <v>1.1718302467057575</v>
      </c>
      <c r="AA181" s="4">
        <v>7.6335113442667391</v>
      </c>
      <c r="AB181" s="4">
        <v>11.808496309909314</v>
      </c>
      <c r="AC181" s="4">
        <v>9.2785032106170124</v>
      </c>
      <c r="AD181" s="4">
        <v>2.5500770209088066</v>
      </c>
      <c r="AE181" s="4">
        <v>7.0251111828149249</v>
      </c>
      <c r="AF181" s="4">
        <v>8.5415484401381931</v>
      </c>
      <c r="AG181" s="5"/>
      <c r="AH181" s="5"/>
      <c r="AI181" s="152">
        <f t="shared" si="79"/>
        <v>367.30988962895941</v>
      </c>
      <c r="AJ181" s="152">
        <f t="shared" si="80"/>
        <v>23.436604934115152</v>
      </c>
      <c r="AK181" s="152">
        <f t="shared" si="81"/>
        <v>38.167556721333696</v>
      </c>
      <c r="AL181" s="152">
        <f t="shared" si="82"/>
        <v>35.425488929727941</v>
      </c>
      <c r="AM181" s="152">
        <f t="shared" si="83"/>
        <v>12.062054173802117</v>
      </c>
      <c r="AN181" s="152">
        <f t="shared" si="84"/>
        <v>7.6502310627264194</v>
      </c>
      <c r="AO181" s="152">
        <f t="shared" si="85"/>
        <v>9.1326445376594023</v>
      </c>
      <c r="AP181" s="152">
        <f t="shared" si="86"/>
        <v>11.104012972179651</v>
      </c>
      <c r="AS181" s="152">
        <f t="shared" si="87"/>
        <v>504.28848296050381</v>
      </c>
      <c r="AT181" s="156">
        <v>1825</v>
      </c>
      <c r="AU181" s="109">
        <f t="shared" si="88"/>
        <v>0.53588915860332387</v>
      </c>
      <c r="AV181" s="109">
        <f t="shared" si="62"/>
        <v>0.70918267477275498</v>
      </c>
    </row>
    <row r="182" spans="1:48" x14ac:dyDescent="0.2">
      <c r="A182" s="156">
        <v>1826</v>
      </c>
      <c r="B182" s="56">
        <v>2.0223202357164434</v>
      </c>
      <c r="C182" s="56">
        <v>1.1004946095401842</v>
      </c>
      <c r="D182" s="57">
        <f t="shared" si="101"/>
        <v>2.3149841084166511</v>
      </c>
      <c r="E182" s="56">
        <v>5.8611128166666662</v>
      </c>
      <c r="F182" s="56">
        <v>3.4567910682761411</v>
      </c>
      <c r="G182" s="55">
        <f t="shared" si="91"/>
        <v>2.8100659217918547</v>
      </c>
      <c r="H182" s="55">
        <f>H181+($H$184-$H$181)/3</f>
        <v>9.1622782321428566</v>
      </c>
      <c r="I182" s="55">
        <f>I181+($I$183-$I$181)/2</f>
        <v>0.22519976707277534</v>
      </c>
      <c r="J182" s="109">
        <v>3.7754062500000001</v>
      </c>
      <c r="K182" s="3"/>
      <c r="L182" s="14">
        <f t="shared" si="67"/>
        <v>361.99532219324334</v>
      </c>
      <c r="M182" s="14">
        <f t="shared" si="68"/>
        <v>22.009892190803683</v>
      </c>
      <c r="N182" s="14">
        <f t="shared" si="69"/>
        <v>11.574920542083255</v>
      </c>
      <c r="O182" s="14">
        <f t="shared" si="70"/>
        <v>17.583338449999999</v>
      </c>
      <c r="P182" s="14">
        <f t="shared" si="71"/>
        <v>4.4938283887589838</v>
      </c>
      <c r="Q182" s="14">
        <f t="shared" si="72"/>
        <v>8.4301977653755635</v>
      </c>
      <c r="R182" s="14">
        <f t="shared" si="73"/>
        <v>11.910961701785714</v>
      </c>
      <c r="S182" s="14">
        <f t="shared" si="74"/>
        <v>0.29275969719460793</v>
      </c>
      <c r="T182" s="14">
        <f t="shared" si="75"/>
        <v>11.326218750000001</v>
      </c>
      <c r="V182" s="14">
        <f t="shared" si="77"/>
        <v>449.61743967924508</v>
      </c>
      <c r="W182" s="14">
        <f t="shared" si="78"/>
        <v>438.29122092924507</v>
      </c>
      <c r="X182" s="163"/>
      <c r="Y182" s="4">
        <v>1.6439520815333584</v>
      </c>
      <c r="Z182" s="4">
        <v>1.2927589086261095</v>
      </c>
      <c r="AA182" s="4">
        <v>8.2580024599579502</v>
      </c>
      <c r="AB182" s="4">
        <v>12.021516455377087</v>
      </c>
      <c r="AC182" s="4">
        <v>8.7286526764954395</v>
      </c>
      <c r="AD182" s="4">
        <v>1.9493865756846347</v>
      </c>
      <c r="AE182" s="4">
        <v>7.1330921736196533</v>
      </c>
      <c r="AF182" s="4">
        <v>9.1754468069679724</v>
      </c>
      <c r="AG182" s="5"/>
      <c r="AH182" s="5"/>
      <c r="AI182" s="152">
        <f t="shared" si="79"/>
        <v>318.10472777670486</v>
      </c>
      <c r="AJ182" s="152">
        <f t="shared" si="80"/>
        <v>25.855178172522191</v>
      </c>
      <c r="AK182" s="152">
        <f t="shared" si="81"/>
        <v>41.290012299789751</v>
      </c>
      <c r="AL182" s="152">
        <f t="shared" si="82"/>
        <v>36.06454936613126</v>
      </c>
      <c r="AM182" s="152">
        <f t="shared" si="83"/>
        <v>11.347248479444072</v>
      </c>
      <c r="AN182" s="152">
        <f t="shared" si="84"/>
        <v>5.8481597270539041</v>
      </c>
      <c r="AO182" s="152">
        <f t="shared" si="85"/>
        <v>9.2730198257055498</v>
      </c>
      <c r="AP182" s="152">
        <f t="shared" si="86"/>
        <v>11.928080849058365</v>
      </c>
      <c r="AS182" s="152">
        <f t="shared" si="87"/>
        <v>459.7109764964099</v>
      </c>
      <c r="AT182" s="156">
        <v>1826</v>
      </c>
      <c r="AU182" s="109">
        <f t="shared" si="88"/>
        <v>0.95340603844091132</v>
      </c>
      <c r="AV182" s="109">
        <f t="shared" si="62"/>
        <v>0.66278129407041653</v>
      </c>
    </row>
    <row r="183" spans="1:48" x14ac:dyDescent="0.2">
      <c r="A183" s="156">
        <v>1827</v>
      </c>
      <c r="B183" s="56">
        <v>1.3353384015494254</v>
      </c>
      <c r="C183" s="56">
        <v>1.0904043010824069</v>
      </c>
      <c r="D183" s="57">
        <f t="shared" si="101"/>
        <v>2.2734360920381738</v>
      </c>
      <c r="E183" s="56">
        <v>6.7258671666666672</v>
      </c>
      <c r="F183" s="56">
        <v>2.0823405277014118</v>
      </c>
      <c r="G183" s="55">
        <f t="shared" si="91"/>
        <v>2.7900205036918773</v>
      </c>
      <c r="H183" s="55">
        <f>H182+($H$184-$H$181)/3</f>
        <v>8.2323241494047608</v>
      </c>
      <c r="I183" s="113">
        <v>0.24353363321765514</v>
      </c>
      <c r="J183" s="109">
        <v>3.4321874999999999</v>
      </c>
      <c r="K183" s="3"/>
      <c r="L183" s="14">
        <f t="shared" si="67"/>
        <v>239.02557387734714</v>
      </c>
      <c r="M183" s="14">
        <f t="shared" si="68"/>
        <v>21.808086021648137</v>
      </c>
      <c r="N183" s="14">
        <f t="shared" si="69"/>
        <v>11.36718046019087</v>
      </c>
      <c r="O183" s="14">
        <f t="shared" si="70"/>
        <v>20.177601500000002</v>
      </c>
      <c r="P183" s="14">
        <f t="shared" si="71"/>
        <v>2.7070426860118353</v>
      </c>
      <c r="Q183" s="14">
        <f t="shared" si="72"/>
        <v>8.3700615110756313</v>
      </c>
      <c r="R183" s="14">
        <f t="shared" si="73"/>
        <v>10.70202139422619</v>
      </c>
      <c r="S183" s="14">
        <f t="shared" si="74"/>
        <v>0.3165937231829517</v>
      </c>
      <c r="T183" s="14">
        <f t="shared" si="75"/>
        <v>10.2965625</v>
      </c>
      <c r="V183" s="14">
        <f t="shared" si="77"/>
        <v>324.77072367368271</v>
      </c>
      <c r="W183" s="14">
        <f t="shared" si="78"/>
        <v>314.47416117368272</v>
      </c>
      <c r="X183" s="163"/>
      <c r="Y183" s="4">
        <v>1.5312795472681318</v>
      </c>
      <c r="Z183" s="4">
        <v>1.5215478910512157</v>
      </c>
      <c r="AA183" s="4">
        <v>8.1031937000699532</v>
      </c>
      <c r="AB183" s="4">
        <v>11.623461803486133</v>
      </c>
      <c r="AC183" s="4">
        <v>9.9950359818227721</v>
      </c>
      <c r="AD183" s="4">
        <v>2.027064503451371</v>
      </c>
      <c r="AE183" s="4">
        <v>7.0461781815650815</v>
      </c>
      <c r="AF183" s="4">
        <v>9.1110743361027549</v>
      </c>
      <c r="AG183" s="5"/>
      <c r="AH183" s="5"/>
      <c r="AI183" s="152">
        <f t="shared" si="79"/>
        <v>296.30259239638349</v>
      </c>
      <c r="AJ183" s="152">
        <f t="shared" si="80"/>
        <v>30.430957821024315</v>
      </c>
      <c r="AK183" s="152">
        <f t="shared" si="81"/>
        <v>40.515968500349764</v>
      </c>
      <c r="AL183" s="152">
        <f t="shared" si="82"/>
        <v>34.870385410458397</v>
      </c>
      <c r="AM183" s="152">
        <f t="shared" si="83"/>
        <v>12.993546776369604</v>
      </c>
      <c r="AN183" s="152">
        <f t="shared" si="84"/>
        <v>6.0811935103541135</v>
      </c>
      <c r="AO183" s="152">
        <f t="shared" si="85"/>
        <v>9.1600316360346064</v>
      </c>
      <c r="AP183" s="152">
        <f t="shared" si="86"/>
        <v>11.844396636933581</v>
      </c>
      <c r="AS183" s="152">
        <f t="shared" si="87"/>
        <v>442.19907268790786</v>
      </c>
      <c r="AT183" s="156">
        <v>1827</v>
      </c>
      <c r="AU183" s="109">
        <f t="shared" si="88"/>
        <v>0.71115970294137199</v>
      </c>
      <c r="AV183" s="109">
        <f t="shared" si="62"/>
        <v>0.65473653445735969</v>
      </c>
    </row>
    <row r="184" spans="1:48" x14ac:dyDescent="0.2">
      <c r="A184" s="156">
        <v>1828</v>
      </c>
      <c r="B184" s="56">
        <v>0.85576976243840419</v>
      </c>
      <c r="C184" s="56">
        <v>0.87008567084504729</v>
      </c>
      <c r="D184" s="57">
        <f t="shared" si="101"/>
        <v>2.2318880756596964</v>
      </c>
      <c r="E184" s="56">
        <v>6.7258671666666672</v>
      </c>
      <c r="F184" s="56">
        <v>5.8355253398674094</v>
      </c>
      <c r="G184" s="55">
        <f t="shared" si="91"/>
        <v>2.7699750855918999</v>
      </c>
      <c r="H184" s="109">
        <v>7.3023700666666649</v>
      </c>
      <c r="I184" s="99">
        <v>0.51972951389333322</v>
      </c>
      <c r="J184" s="109">
        <v>3.3708984374999997</v>
      </c>
      <c r="K184" s="3"/>
      <c r="L184" s="14">
        <f t="shared" si="67"/>
        <v>153.18278747647435</v>
      </c>
      <c r="M184" s="14">
        <f t="shared" si="68"/>
        <v>17.401713416900947</v>
      </c>
      <c r="N184" s="14">
        <f t="shared" si="69"/>
        <v>11.159440378298482</v>
      </c>
      <c r="O184" s="14">
        <f t="shared" si="70"/>
        <v>20.177601500000002</v>
      </c>
      <c r="P184" s="14">
        <f t="shared" si="71"/>
        <v>7.5861829418276328</v>
      </c>
      <c r="Q184" s="14">
        <f t="shared" si="72"/>
        <v>8.3099252567756992</v>
      </c>
      <c r="R184" s="14">
        <f t="shared" si="73"/>
        <v>9.4930810866666651</v>
      </c>
      <c r="S184" s="14">
        <f t="shared" si="74"/>
        <v>0.67564836806133322</v>
      </c>
      <c r="T184" s="14">
        <f t="shared" si="75"/>
        <v>10.1126953125</v>
      </c>
      <c r="V184" s="14">
        <f t="shared" si="77"/>
        <v>238.09907573750513</v>
      </c>
      <c r="W184" s="14">
        <f t="shared" si="78"/>
        <v>227.98638042500514</v>
      </c>
      <c r="X184" s="163"/>
      <c r="Y184" s="4">
        <v>1.8747700090767578</v>
      </c>
      <c r="Z184" s="4">
        <v>1.1528918808277262</v>
      </c>
      <c r="AA184" s="4">
        <v>7.9106390345434239</v>
      </c>
      <c r="AB184" s="4">
        <v>10.993870866044636</v>
      </c>
      <c r="AC184" s="4">
        <v>10.77697449180542</v>
      </c>
      <c r="AD184" s="4">
        <v>2.0659246278404892</v>
      </c>
      <c r="AE184" s="4">
        <v>7.0305059031804271</v>
      </c>
      <c r="AF184" s="4">
        <v>9.7611959854620505</v>
      </c>
      <c r="AG184" s="5"/>
      <c r="AH184" s="5"/>
      <c r="AI184" s="152">
        <f t="shared" si="79"/>
        <v>362.76799675635266</v>
      </c>
      <c r="AJ184" s="152">
        <f t="shared" si="80"/>
        <v>23.057837616554522</v>
      </c>
      <c r="AK184" s="152">
        <f t="shared" si="81"/>
        <v>39.553195172717118</v>
      </c>
      <c r="AL184" s="152">
        <f t="shared" si="82"/>
        <v>32.981612598133907</v>
      </c>
      <c r="AM184" s="152">
        <f t="shared" si="83"/>
        <v>14.010066839347047</v>
      </c>
      <c r="AN184" s="152">
        <f t="shared" si="84"/>
        <v>6.1977738835214673</v>
      </c>
      <c r="AO184" s="152">
        <f t="shared" si="85"/>
        <v>9.1396576741345559</v>
      </c>
      <c r="AP184" s="152">
        <f t="shared" si="86"/>
        <v>12.689554781100666</v>
      </c>
      <c r="AS184" s="152">
        <f t="shared" si="87"/>
        <v>500.39769532186193</v>
      </c>
      <c r="AT184" s="156">
        <v>1828</v>
      </c>
      <c r="AU184" s="109">
        <f t="shared" si="88"/>
        <v>0.45561037262244286</v>
      </c>
      <c r="AV184" s="109">
        <f t="shared" si="62"/>
        <v>0.68833234652269071</v>
      </c>
    </row>
    <row r="185" spans="1:48" x14ac:dyDescent="0.2">
      <c r="A185" s="156">
        <v>1829</v>
      </c>
      <c r="B185" s="56">
        <v>1.1511902721949858</v>
      </c>
      <c r="C185" s="56">
        <v>1.1629622987290595</v>
      </c>
      <c r="D185" s="57">
        <f t="shared" si="101"/>
        <v>2.190340059281219</v>
      </c>
      <c r="E185" s="56">
        <v>8.6475434999999994</v>
      </c>
      <c r="F185" s="56">
        <v>4.583158997399817</v>
      </c>
      <c r="G185" s="55">
        <f t="shared" si="91"/>
        <v>2.7499296674919225</v>
      </c>
      <c r="H185" s="109">
        <v>7.5906215166666664</v>
      </c>
      <c r="I185" s="99">
        <v>0.54521094207333332</v>
      </c>
      <c r="J185" s="109">
        <v>3.5547656249999995</v>
      </c>
      <c r="K185" s="3"/>
      <c r="L185" s="14">
        <f t="shared" si="67"/>
        <v>206.06305872290247</v>
      </c>
      <c r="M185" s="14">
        <f t="shared" si="68"/>
        <v>23.259245974581191</v>
      </c>
      <c r="N185" s="14">
        <f t="shared" si="69"/>
        <v>10.951700296406095</v>
      </c>
      <c r="O185" s="14">
        <f t="shared" si="70"/>
        <v>25.9426305</v>
      </c>
      <c r="P185" s="14">
        <f t="shared" si="71"/>
        <v>5.9581066966197627</v>
      </c>
      <c r="Q185" s="14">
        <f t="shared" si="72"/>
        <v>8.249789002475767</v>
      </c>
      <c r="R185" s="14">
        <f t="shared" si="73"/>
        <v>9.8678079716666662</v>
      </c>
      <c r="S185" s="14">
        <f t="shared" si="74"/>
        <v>0.70877422469533335</v>
      </c>
      <c r="T185" s="14">
        <f t="shared" si="75"/>
        <v>10.664296874999998</v>
      </c>
      <c r="V185" s="14">
        <f t="shared" si="77"/>
        <v>301.66541026434732</v>
      </c>
      <c r="W185" s="14">
        <f t="shared" si="78"/>
        <v>291.00111338934732</v>
      </c>
      <c r="X185" s="163"/>
      <c r="Y185" s="4">
        <v>1.7448304061374003</v>
      </c>
      <c r="Z185" s="4">
        <v>1.1092718812398674</v>
      </c>
      <c r="AA185" s="4">
        <v>7.8168834483159682</v>
      </c>
      <c r="AB185" s="4">
        <v>10.533106489758547</v>
      </c>
      <c r="AC185" s="4">
        <v>10.071395117589953</v>
      </c>
      <c r="AD185" s="4">
        <v>1.8475143854702949</v>
      </c>
      <c r="AE185" s="4">
        <v>7.201289009530405</v>
      </c>
      <c r="AF185" s="4">
        <v>9.751072752063175</v>
      </c>
      <c r="AG185" s="5"/>
      <c r="AH185" s="5"/>
      <c r="AI185" s="152">
        <f t="shared" si="79"/>
        <v>337.62468358758696</v>
      </c>
      <c r="AJ185" s="152">
        <f t="shared" si="80"/>
        <v>22.185437624797348</v>
      </c>
      <c r="AK185" s="152">
        <f t="shared" si="81"/>
        <v>39.084417241579843</v>
      </c>
      <c r="AL185" s="152">
        <f t="shared" si="82"/>
        <v>31.599319469275642</v>
      </c>
      <c r="AM185" s="152">
        <f t="shared" si="83"/>
        <v>13.092813652866939</v>
      </c>
      <c r="AN185" s="152">
        <f t="shared" si="84"/>
        <v>5.5425431564108845</v>
      </c>
      <c r="AO185" s="152">
        <f t="shared" si="85"/>
        <v>9.3616757123895269</v>
      </c>
      <c r="AP185" s="152">
        <f t="shared" si="86"/>
        <v>12.676394577682128</v>
      </c>
      <c r="AS185" s="152">
        <f t="shared" si="87"/>
        <v>471.16728502258928</v>
      </c>
      <c r="AT185" s="156">
        <v>1829</v>
      </c>
      <c r="AU185" s="109">
        <f t="shared" si="88"/>
        <v>0.61761739967874851</v>
      </c>
      <c r="AV185" s="109">
        <f t="shared" ref="AV185:AV223" si="102">AVERAGE(AU183:AU187)</f>
        <v>0.61594130022022431</v>
      </c>
    </row>
    <row r="186" spans="1:48" x14ac:dyDescent="0.2">
      <c r="A186" s="156">
        <v>1830</v>
      </c>
      <c r="B186" s="56">
        <v>1.3940357873091849</v>
      </c>
      <c r="C186" s="56">
        <v>1.2949229187481122</v>
      </c>
      <c r="D186" s="57">
        <f t="shared" si="101"/>
        <v>2.1487920429027416</v>
      </c>
      <c r="E186" s="56">
        <v>10.857471283333336</v>
      </c>
      <c r="F186" s="56">
        <v>4.0855430310348</v>
      </c>
      <c r="G186" s="55">
        <f t="shared" si="91"/>
        <v>2.7298842493919451</v>
      </c>
      <c r="H186" s="109">
        <v>8.3592920499999988</v>
      </c>
      <c r="I186" s="99">
        <v>0.61316141721999995</v>
      </c>
      <c r="J186" s="109">
        <v>3.6773437499999999</v>
      </c>
      <c r="K186" s="3"/>
      <c r="L186" s="14">
        <f t="shared" si="67"/>
        <v>249.5324059283441</v>
      </c>
      <c r="M186" s="14">
        <f t="shared" si="68"/>
        <v>25.898458374962242</v>
      </c>
      <c r="N186" s="14">
        <f t="shared" si="69"/>
        <v>10.743960214513708</v>
      </c>
      <c r="O186" s="14">
        <f t="shared" si="70"/>
        <v>32.572413850000004</v>
      </c>
      <c r="P186" s="14">
        <f t="shared" si="71"/>
        <v>5.3112059403452401</v>
      </c>
      <c r="Q186" s="14">
        <f t="shared" si="72"/>
        <v>8.1896527481758348</v>
      </c>
      <c r="R186" s="14">
        <f t="shared" si="73"/>
        <v>10.867079664999999</v>
      </c>
      <c r="S186" s="14">
        <f t="shared" si="74"/>
        <v>0.79710984238599991</v>
      </c>
      <c r="T186" s="14">
        <f t="shared" si="75"/>
        <v>11.032031249999999</v>
      </c>
      <c r="V186" s="14">
        <f t="shared" si="77"/>
        <v>354.94431781372714</v>
      </c>
      <c r="W186" s="14">
        <f t="shared" si="78"/>
        <v>343.91228656372715</v>
      </c>
      <c r="X186" s="163"/>
      <c r="Y186" s="4">
        <v>1.8847127334469913</v>
      </c>
      <c r="Z186" s="4">
        <v>1.0735252808669729</v>
      </c>
      <c r="AA186" s="4">
        <v>6.6249444694377013</v>
      </c>
      <c r="AB186" s="4">
        <v>10.24356134429671</v>
      </c>
      <c r="AC186" s="4">
        <v>9.3154032160648992</v>
      </c>
      <c r="AD186" s="4">
        <v>1.7361600575330414</v>
      </c>
      <c r="AE186" s="4">
        <v>6.786138595309712</v>
      </c>
      <c r="AF186" s="4">
        <v>9.5730164618560316</v>
      </c>
      <c r="AG186" s="5"/>
      <c r="AH186" s="5"/>
      <c r="AI186" s="152">
        <f t="shared" si="79"/>
        <v>364.69191392199281</v>
      </c>
      <c r="AJ186" s="152">
        <f t="shared" si="80"/>
        <v>21.470505617339455</v>
      </c>
      <c r="AK186" s="152">
        <f t="shared" si="81"/>
        <v>33.124722347188509</v>
      </c>
      <c r="AL186" s="152">
        <f t="shared" si="82"/>
        <v>30.730684032890132</v>
      </c>
      <c r="AM186" s="152">
        <f t="shared" si="83"/>
        <v>12.11002418088437</v>
      </c>
      <c r="AN186" s="152">
        <f t="shared" si="84"/>
        <v>5.2084801725991241</v>
      </c>
      <c r="AO186" s="152">
        <f t="shared" si="85"/>
        <v>8.8219801739026256</v>
      </c>
      <c r="AP186" s="152">
        <f t="shared" si="86"/>
        <v>12.444921400412841</v>
      </c>
      <c r="AS186" s="152">
        <f t="shared" si="87"/>
        <v>488.60323184720983</v>
      </c>
      <c r="AT186" s="156">
        <v>1830</v>
      </c>
      <c r="AU186" s="109">
        <f t="shared" si="88"/>
        <v>0.70386821892997897</v>
      </c>
      <c r="AV186" s="109">
        <f t="shared" si="102"/>
        <v>0.59425908488139512</v>
      </c>
    </row>
    <row r="187" spans="1:48" x14ac:dyDescent="0.2">
      <c r="A187" s="156">
        <v>1831</v>
      </c>
      <c r="B187" s="56">
        <v>1.012394281930342</v>
      </c>
      <c r="C187" s="56">
        <v>1.2023606133390645</v>
      </c>
      <c r="D187" s="57">
        <f t="shared" si="101"/>
        <v>2.1072440265242642</v>
      </c>
      <c r="E187" s="56">
        <v>12.97131525</v>
      </c>
      <c r="F187" s="56">
        <v>3.8629620442087269</v>
      </c>
      <c r="G187" s="55">
        <f t="shared" si="91"/>
        <v>2.7098388312919677</v>
      </c>
      <c r="H187" s="109">
        <v>6.5336995333333334</v>
      </c>
      <c r="I187" s="99">
        <v>0.45177903874666669</v>
      </c>
      <c r="J187" s="109">
        <v>3.4117578124999999</v>
      </c>
      <c r="K187" s="3"/>
      <c r="L187" s="14">
        <f t="shared" si="67"/>
        <v>181.21857646553121</v>
      </c>
      <c r="M187" s="14">
        <f t="shared" si="68"/>
        <v>24.04721226678129</v>
      </c>
      <c r="N187" s="14">
        <f t="shared" si="69"/>
        <v>10.53622013262132</v>
      </c>
      <c r="O187" s="14">
        <f t="shared" si="70"/>
        <v>38.913945749999996</v>
      </c>
      <c r="P187" s="14">
        <f t="shared" si="71"/>
        <v>5.0218506574713455</v>
      </c>
      <c r="Q187" s="14">
        <f t="shared" si="72"/>
        <v>8.1295164938759026</v>
      </c>
      <c r="R187" s="14">
        <f t="shared" si="73"/>
        <v>8.4938093933333345</v>
      </c>
      <c r="S187" s="14">
        <f t="shared" si="74"/>
        <v>0.58731275037066677</v>
      </c>
      <c r="T187" s="14">
        <f t="shared" si="75"/>
        <v>10.2352734375</v>
      </c>
      <c r="V187" s="14">
        <f t="shared" si="77"/>
        <v>287.18371734748501</v>
      </c>
      <c r="W187" s="14">
        <f t="shared" si="78"/>
        <v>276.94844390998503</v>
      </c>
      <c r="X187" s="163"/>
      <c r="Y187" s="4">
        <v>1.752738939249993</v>
      </c>
      <c r="Z187" s="4">
        <v>1.1037021804105576</v>
      </c>
      <c r="AA187" s="4">
        <v>6.8323811864626149</v>
      </c>
      <c r="AB187" s="4">
        <v>11.278413691699397</v>
      </c>
      <c r="AC187" s="4">
        <v>8.9554165397688426</v>
      </c>
      <c r="AD187" s="4">
        <v>1.6789961253228656</v>
      </c>
      <c r="AE187" s="4">
        <v>7.3179435243159814</v>
      </c>
      <c r="AF187" s="4">
        <v>9.8724457086353308</v>
      </c>
      <c r="AG187" s="5"/>
      <c r="AH187" s="5"/>
      <c r="AI187" s="152">
        <f t="shared" si="79"/>
        <v>339.15498474487367</v>
      </c>
      <c r="AJ187" s="152">
        <f t="shared" si="80"/>
        <v>22.074043608211152</v>
      </c>
      <c r="AK187" s="152">
        <f t="shared" si="81"/>
        <v>34.161905932313076</v>
      </c>
      <c r="AL187" s="152">
        <f t="shared" si="82"/>
        <v>33.835241075098189</v>
      </c>
      <c r="AM187" s="152">
        <f t="shared" si="83"/>
        <v>11.642041501699495</v>
      </c>
      <c r="AN187" s="152">
        <f t="shared" si="84"/>
        <v>5.0369883759685967</v>
      </c>
      <c r="AO187" s="152">
        <f t="shared" si="85"/>
        <v>9.5133265816107766</v>
      </c>
      <c r="AP187" s="152">
        <f t="shared" si="86"/>
        <v>12.834179421225931</v>
      </c>
      <c r="AS187" s="152">
        <f t="shared" si="87"/>
        <v>468.25271124100084</v>
      </c>
      <c r="AT187" s="156">
        <v>1831</v>
      </c>
      <c r="AU187" s="109">
        <f t="shared" si="88"/>
        <v>0.59145080692857943</v>
      </c>
      <c r="AV187" s="109">
        <f t="shared" si="102"/>
        <v>0.61969569419201243</v>
      </c>
    </row>
    <row r="188" spans="1:48" x14ac:dyDescent="0.2">
      <c r="A188" s="156">
        <v>1832</v>
      </c>
      <c r="B188" s="56">
        <v>1.1361904319338272</v>
      </c>
      <c r="C188" s="56">
        <v>0.92135094768698145</v>
      </c>
      <c r="D188" s="57">
        <f t="shared" si="101"/>
        <v>2.0656960101457869</v>
      </c>
      <c r="E188" s="56">
        <v>6.2454480833333337</v>
      </c>
      <c r="F188" s="56">
        <v>3.2618028558694707</v>
      </c>
      <c r="G188" s="55">
        <f t="shared" si="91"/>
        <v>2.6897934131919903</v>
      </c>
      <c r="H188" s="109">
        <v>6.4376157166666665</v>
      </c>
      <c r="I188" s="99">
        <v>0.44328522935333337</v>
      </c>
      <c r="J188" s="109">
        <v>3.2074609374999996</v>
      </c>
      <c r="K188" s="3"/>
      <c r="L188" s="14">
        <f t="shared" si="67"/>
        <v>203.37808731615507</v>
      </c>
      <c r="M188" s="14">
        <f t="shared" si="68"/>
        <v>18.42701895373963</v>
      </c>
      <c r="N188" s="14">
        <f t="shared" si="69"/>
        <v>10.328480050728935</v>
      </c>
      <c r="O188" s="14">
        <f t="shared" si="70"/>
        <v>18.736344250000002</v>
      </c>
      <c r="P188" s="14">
        <f t="shared" si="71"/>
        <v>4.2403437126303123</v>
      </c>
      <c r="Q188" s="14">
        <f t="shared" si="72"/>
        <v>8.0693802395759704</v>
      </c>
      <c r="R188" s="14">
        <f t="shared" si="73"/>
        <v>8.3689004316666669</v>
      </c>
      <c r="S188" s="14">
        <f t="shared" si="74"/>
        <v>0.57627079815933335</v>
      </c>
      <c r="T188" s="14">
        <f t="shared" si="75"/>
        <v>9.6223828124999997</v>
      </c>
      <c r="V188" s="14">
        <f t="shared" si="77"/>
        <v>281.74720856515592</v>
      </c>
      <c r="W188" s="14">
        <f t="shared" si="78"/>
        <v>272.12482575265591</v>
      </c>
      <c r="X188" s="163"/>
      <c r="Y188" s="4">
        <v>1.6665486883520915</v>
      </c>
      <c r="Z188" s="4">
        <v>1.0739842262276034</v>
      </c>
      <c r="AA188" s="4">
        <v>6.4424210628224312</v>
      </c>
      <c r="AB188" s="4">
        <v>10.977500485832232</v>
      </c>
      <c r="AC188" s="4">
        <v>8.7882245923169133</v>
      </c>
      <c r="AD188" s="4">
        <v>2.1752948793474167</v>
      </c>
      <c r="AE188" s="4">
        <v>6.1832839318799584</v>
      </c>
      <c r="AF188" s="4">
        <v>12.602192120095046</v>
      </c>
      <c r="AG188" s="5"/>
      <c r="AH188" s="5"/>
      <c r="AI188" s="152">
        <f t="shared" si="79"/>
        <v>322.47717119612969</v>
      </c>
      <c r="AJ188" s="152">
        <f t="shared" si="80"/>
        <v>21.479684524552066</v>
      </c>
      <c r="AK188" s="152">
        <f t="shared" si="81"/>
        <v>32.212105314112158</v>
      </c>
      <c r="AL188" s="152">
        <f t="shared" si="82"/>
        <v>32.932501457496699</v>
      </c>
      <c r="AM188" s="152">
        <f t="shared" si="83"/>
        <v>11.424691970011988</v>
      </c>
      <c r="AN188" s="152">
        <f t="shared" si="84"/>
        <v>6.5258846380422497</v>
      </c>
      <c r="AO188" s="152">
        <f t="shared" si="85"/>
        <v>8.0382691114439471</v>
      </c>
      <c r="AP188" s="152">
        <f t="shared" si="86"/>
        <v>16.382849756123559</v>
      </c>
      <c r="AS188" s="152">
        <f t="shared" si="87"/>
        <v>451.4731579679123</v>
      </c>
      <c r="AT188" s="156">
        <v>1832</v>
      </c>
      <c r="AU188" s="109">
        <f t="shared" si="88"/>
        <v>0.6027486262472258</v>
      </c>
      <c r="AV188" s="109">
        <f t="shared" si="102"/>
        <v>0.60608588990653067</v>
      </c>
    </row>
    <row r="189" spans="1:48" x14ac:dyDescent="0.2">
      <c r="A189" s="156">
        <v>1833</v>
      </c>
      <c r="B189" s="56">
        <v>0.99670863612815852</v>
      </c>
      <c r="C189" s="56">
        <v>0.8017319683891353</v>
      </c>
      <c r="D189" s="56">
        <v>2.0241479937673099</v>
      </c>
      <c r="E189" s="56">
        <v>3.8433526666666666</v>
      </c>
      <c r="F189" s="56">
        <v>3.0810821417961884</v>
      </c>
      <c r="G189" s="55">
        <f t="shared" si="91"/>
        <v>2.6697479950920129</v>
      </c>
      <c r="H189" s="109">
        <v>6.1493642666666668</v>
      </c>
      <c r="I189" s="113">
        <v>0.15638555550446101</v>
      </c>
      <c r="J189" s="109">
        <v>3.3504687499999997</v>
      </c>
      <c r="K189" s="3"/>
      <c r="L189" s="14">
        <f t="shared" si="67"/>
        <v>178.41084586694038</v>
      </c>
      <c r="M189" s="14">
        <f t="shared" si="68"/>
        <v>16.034639367782706</v>
      </c>
      <c r="N189" s="14">
        <f t="shared" si="69"/>
        <v>10.120739968836549</v>
      </c>
      <c r="O189" s="14">
        <f t="shared" si="70"/>
        <v>11.530058</v>
      </c>
      <c r="P189" s="14">
        <f t="shared" si="71"/>
        <v>4.0054067843350447</v>
      </c>
      <c r="Q189" s="14">
        <f t="shared" si="72"/>
        <v>8.0092439852760382</v>
      </c>
      <c r="R189" s="14">
        <f t="shared" si="73"/>
        <v>7.9941735466666675</v>
      </c>
      <c r="S189" s="14">
        <f t="shared" si="74"/>
        <v>0.20330122215579932</v>
      </c>
      <c r="T189" s="14">
        <f t="shared" si="75"/>
        <v>10.051406249999999</v>
      </c>
      <c r="V189" s="14">
        <f t="shared" si="77"/>
        <v>246.35981499199318</v>
      </c>
      <c r="W189" s="14">
        <f t="shared" si="78"/>
        <v>236.30840874199316</v>
      </c>
      <c r="X189" s="163"/>
      <c r="Y189" s="4">
        <v>1.5004514012966255</v>
      </c>
      <c r="Z189" s="4">
        <v>0.93467488363620843</v>
      </c>
      <c r="AA189" s="4">
        <v>5.9093425032421232</v>
      </c>
      <c r="AB189" s="4">
        <v>10.458383760291568</v>
      </c>
      <c r="AC189" s="4">
        <v>6.6507117143985708</v>
      </c>
      <c r="AD189" s="4">
        <v>1.8873514457871692</v>
      </c>
      <c r="AE189" s="4">
        <v>6.1085759279090803</v>
      </c>
      <c r="AF189" s="4">
        <v>10.210452386496877</v>
      </c>
      <c r="AG189" s="5"/>
      <c r="AH189" s="5"/>
      <c r="AI189" s="152">
        <f t="shared" si="79"/>
        <v>290.33734615089702</v>
      </c>
      <c r="AJ189" s="152">
        <f t="shared" si="80"/>
        <v>18.69349767272417</v>
      </c>
      <c r="AK189" s="152">
        <f t="shared" si="81"/>
        <v>29.546712516210615</v>
      </c>
      <c r="AL189" s="152">
        <f t="shared" si="82"/>
        <v>31.375151280874704</v>
      </c>
      <c r="AM189" s="152">
        <f t="shared" si="83"/>
        <v>8.6459252287181432</v>
      </c>
      <c r="AN189" s="152">
        <f t="shared" si="84"/>
        <v>5.6620543373615071</v>
      </c>
      <c r="AO189" s="152">
        <f t="shared" si="85"/>
        <v>7.9411487062818047</v>
      </c>
      <c r="AP189" s="152">
        <f t="shared" si="86"/>
        <v>13.273588102445942</v>
      </c>
      <c r="AS189" s="152">
        <f t="shared" si="87"/>
        <v>405.47542399551395</v>
      </c>
      <c r="AT189" s="156">
        <v>1833</v>
      </c>
      <c r="AU189" s="109">
        <f t="shared" si="88"/>
        <v>0.58279341917552963</v>
      </c>
      <c r="AV189" s="109">
        <f t="shared" si="102"/>
        <v>0.61770908922078738</v>
      </c>
    </row>
    <row r="190" spans="1:48" x14ac:dyDescent="0.2">
      <c r="A190" s="156">
        <v>1834</v>
      </c>
      <c r="B190" s="56">
        <v>0.72872641673830707</v>
      </c>
      <c r="C190" s="56">
        <v>0.87340842026998755</v>
      </c>
      <c r="D190" s="57">
        <v>2.5990539328254822</v>
      </c>
      <c r="E190" s="56">
        <v>4.0355202999999999</v>
      </c>
      <c r="F190" s="56">
        <v>3.6688450384341218</v>
      </c>
      <c r="G190" s="55">
        <f t="shared" si="91"/>
        <v>2.6497025769920355</v>
      </c>
      <c r="H190" s="109">
        <v>6.1493642666666668</v>
      </c>
      <c r="I190" s="99">
        <v>0.41780380117333338</v>
      </c>
      <c r="J190" s="109">
        <v>2.964161931818182</v>
      </c>
      <c r="K190" s="3"/>
      <c r="L190" s="14">
        <f t="shared" si="67"/>
        <v>130.44202859615697</v>
      </c>
      <c r="M190" s="14">
        <f t="shared" si="68"/>
        <v>17.468168405399751</v>
      </c>
      <c r="N190" s="14">
        <f t="shared" si="69"/>
        <v>12.995269664127411</v>
      </c>
      <c r="O190" s="14">
        <f t="shared" si="70"/>
        <v>12.1065609</v>
      </c>
      <c r="P190" s="14">
        <f t="shared" si="71"/>
        <v>4.7694985499643581</v>
      </c>
      <c r="Q190" s="14">
        <f t="shared" si="72"/>
        <v>7.949107730976106</v>
      </c>
      <c r="R190" s="14">
        <f t="shared" si="73"/>
        <v>7.9941735466666675</v>
      </c>
      <c r="S190" s="14">
        <f t="shared" si="74"/>
        <v>0.54314494152533344</v>
      </c>
      <c r="T190" s="14">
        <f t="shared" si="75"/>
        <v>8.8924857954545455</v>
      </c>
      <c r="V190" s="14">
        <f t="shared" si="77"/>
        <v>203.16043813027116</v>
      </c>
      <c r="W190" s="14">
        <f t="shared" si="78"/>
        <v>194.26795233481661</v>
      </c>
      <c r="X190" s="163"/>
      <c r="Y190" s="4">
        <v>1.213811477818924</v>
      </c>
      <c r="Z190" s="4">
        <v>0.95439358019790299</v>
      </c>
      <c r="AA190" s="4">
        <v>6.7783178544578249</v>
      </c>
      <c r="AB190" s="4">
        <v>9.7069519425851958</v>
      </c>
      <c r="AC190" s="4">
        <v>7.2351150882317121</v>
      </c>
      <c r="AD190" s="4">
        <v>1.9833060773244284</v>
      </c>
      <c r="AE190" s="4">
        <v>6.3014897084724746</v>
      </c>
      <c r="AF190" s="4">
        <v>9.9780964216577193</v>
      </c>
      <c r="AG190" s="5"/>
      <c r="AH190" s="5"/>
      <c r="AI190" s="152">
        <f t="shared" si="79"/>
        <v>234.8725209579618</v>
      </c>
      <c r="AJ190" s="152">
        <f t="shared" si="80"/>
        <v>19.08787160395806</v>
      </c>
      <c r="AK190" s="152">
        <f t="shared" si="81"/>
        <v>33.891589272289124</v>
      </c>
      <c r="AL190" s="152">
        <f t="shared" si="82"/>
        <v>29.120855827755587</v>
      </c>
      <c r="AM190" s="152">
        <f t="shared" si="83"/>
        <v>9.4056496147012254</v>
      </c>
      <c r="AN190" s="152">
        <f t="shared" si="84"/>
        <v>5.9499182319732853</v>
      </c>
      <c r="AO190" s="152">
        <f t="shared" si="85"/>
        <v>8.1919366210142179</v>
      </c>
      <c r="AP190" s="152">
        <f t="shared" si="86"/>
        <v>12.971525348155035</v>
      </c>
      <c r="AS190" s="152">
        <f t="shared" si="87"/>
        <v>353.49186747780834</v>
      </c>
      <c r="AT190" s="156">
        <v>1834</v>
      </c>
      <c r="AU190" s="109">
        <f t="shared" si="88"/>
        <v>0.54956837825133964</v>
      </c>
      <c r="AV190" s="109">
        <f t="shared" si="102"/>
        <v>0.67124050803736757</v>
      </c>
    </row>
    <row r="191" spans="1:48" x14ac:dyDescent="0.2">
      <c r="A191" s="156">
        <v>1835</v>
      </c>
      <c r="B191" s="56">
        <v>0.90213712564418636</v>
      </c>
      <c r="C191" s="56">
        <v>1.2246705023350914</v>
      </c>
      <c r="D191" s="57">
        <v>3.1739598718836546</v>
      </c>
      <c r="E191" s="56">
        <v>7.4945376999999995</v>
      </c>
      <c r="F191" s="56">
        <v>3.5395596944188585</v>
      </c>
      <c r="G191" s="113">
        <v>2.6296571588920594</v>
      </c>
      <c r="H191" s="109">
        <v>7.3984538833333335</v>
      </c>
      <c r="I191" s="99">
        <v>0.52822332328666666</v>
      </c>
      <c r="J191" s="109">
        <v>2.6354296874999998</v>
      </c>
      <c r="K191" s="3"/>
      <c r="L191" s="14">
        <f t="shared" si="67"/>
        <v>161.48254549030935</v>
      </c>
      <c r="M191" s="14">
        <f t="shared" si="68"/>
        <v>24.493410046701829</v>
      </c>
      <c r="N191" s="14">
        <f t="shared" si="69"/>
        <v>15.869799359418273</v>
      </c>
      <c r="O191" s="14">
        <f t="shared" si="70"/>
        <v>22.483613099999999</v>
      </c>
      <c r="P191" s="14">
        <f t="shared" si="71"/>
        <v>4.6014276027445167</v>
      </c>
      <c r="Q191" s="14">
        <f t="shared" si="72"/>
        <v>7.8889714766761783</v>
      </c>
      <c r="R191" s="14">
        <f t="shared" si="73"/>
        <v>9.6179900483333345</v>
      </c>
      <c r="S191" s="14">
        <f t="shared" si="74"/>
        <v>0.68669032027266663</v>
      </c>
      <c r="T191" s="14">
        <f t="shared" si="75"/>
        <v>7.9062890624999991</v>
      </c>
      <c r="V191" s="14">
        <f t="shared" si="77"/>
        <v>255.03073650695612</v>
      </c>
      <c r="W191" s="14">
        <f t="shared" si="78"/>
        <v>247.12444744445611</v>
      </c>
      <c r="X191" s="163"/>
      <c r="Y191" s="4">
        <v>1.0873627150258434</v>
      </c>
      <c r="Z191" s="4">
        <v>1.0137220059599439</v>
      </c>
      <c r="AA191" s="4">
        <v>6.2787619139481139</v>
      </c>
      <c r="AB191" s="4">
        <v>9.6654934855970378</v>
      </c>
      <c r="AC191" s="4">
        <v>6.4916329782161428</v>
      </c>
      <c r="AD191" s="4">
        <v>2.077626912115484</v>
      </c>
      <c r="AE191" s="4">
        <v>6.1817160664790487</v>
      </c>
      <c r="AF191" s="4">
        <v>8.1072050552811898</v>
      </c>
      <c r="AG191" s="5"/>
      <c r="AH191" s="5"/>
      <c r="AI191" s="152">
        <f t="shared" si="79"/>
        <v>210.40468535750068</v>
      </c>
      <c r="AJ191" s="152">
        <f t="shared" si="80"/>
        <v>20.274440119198879</v>
      </c>
      <c r="AK191" s="152">
        <f t="shared" si="81"/>
        <v>31.393809569740569</v>
      </c>
      <c r="AL191" s="152">
        <f t="shared" si="82"/>
        <v>28.996480456791112</v>
      </c>
      <c r="AM191" s="152">
        <f t="shared" si="83"/>
        <v>8.4391228716809863</v>
      </c>
      <c r="AN191" s="152">
        <f t="shared" si="84"/>
        <v>6.232880736346452</v>
      </c>
      <c r="AO191" s="152">
        <f t="shared" si="85"/>
        <v>8.0362308864227643</v>
      </c>
      <c r="AP191" s="152">
        <f t="shared" si="86"/>
        <v>10.539366571865548</v>
      </c>
      <c r="AS191" s="152">
        <f t="shared" si="87"/>
        <v>324.31701656954698</v>
      </c>
      <c r="AT191" s="156">
        <v>1835</v>
      </c>
      <c r="AU191" s="109">
        <f t="shared" si="88"/>
        <v>0.76198421550126216</v>
      </c>
      <c r="AV191" s="109">
        <f t="shared" si="102"/>
        <v>0.72312359901918788</v>
      </c>
    </row>
    <row r="192" spans="1:48" x14ac:dyDescent="0.2">
      <c r="A192" s="156">
        <v>1836</v>
      </c>
      <c r="B192" s="56">
        <v>1.2810237650111078</v>
      </c>
      <c r="C192" s="56">
        <v>1.4942878842445222</v>
      </c>
      <c r="D192" s="57">
        <v>3.7488658109418269</v>
      </c>
      <c r="E192" s="56">
        <v>8.5283693139504031</v>
      </c>
      <c r="F192" s="56">
        <v>4.0198187997420574</v>
      </c>
      <c r="G192" s="55">
        <f t="shared" ref="G192:G207" si="103">G191+($G$208-$G$191)/17</f>
        <v>2.6250546341399952</v>
      </c>
      <c r="H192" s="109">
        <v>8.2632082333333337</v>
      </c>
      <c r="I192" s="113">
        <v>0.28023850260661809</v>
      </c>
      <c r="J192" s="109">
        <v>2.2523730468749998</v>
      </c>
      <c r="K192" s="8"/>
      <c r="L192" s="14">
        <f t="shared" si="67"/>
        <v>229.30325393698831</v>
      </c>
      <c r="M192" s="14">
        <f t="shared" si="68"/>
        <v>29.885757684890443</v>
      </c>
      <c r="N192" s="14">
        <f t="shared" si="69"/>
        <v>18.744329054709134</v>
      </c>
      <c r="O192" s="14">
        <f t="shared" si="70"/>
        <v>25.585107941851209</v>
      </c>
      <c r="P192" s="14">
        <f t="shared" si="71"/>
        <v>5.2257644396646752</v>
      </c>
      <c r="Q192" s="14">
        <f t="shared" si="72"/>
        <v>7.8751639024199855</v>
      </c>
      <c r="R192" s="14">
        <f t="shared" si="73"/>
        <v>10.742170703333334</v>
      </c>
      <c r="S192" s="14">
        <f t="shared" si="74"/>
        <v>0.36431005338860351</v>
      </c>
      <c r="T192" s="14">
        <f t="shared" si="75"/>
        <v>6.7571191406249991</v>
      </c>
      <c r="V192" s="14">
        <f t="shared" si="77"/>
        <v>334.48297685787065</v>
      </c>
      <c r="W192" s="14">
        <f t="shared" si="78"/>
        <v>327.72585771724567</v>
      </c>
      <c r="X192" s="163"/>
      <c r="Y192" s="4">
        <v>1.3334274665901025</v>
      </c>
      <c r="Z192" s="4">
        <v>1.0199933877432115</v>
      </c>
      <c r="AA192" s="4">
        <v>7.0098846547926206</v>
      </c>
      <c r="AB192" s="4">
        <v>10.914821141065987</v>
      </c>
      <c r="AC192" s="4">
        <v>6.6540290709525243</v>
      </c>
      <c r="AD192" s="4">
        <v>2.14520896602447</v>
      </c>
      <c r="AE192" s="4">
        <v>6.1320759484853822</v>
      </c>
      <c r="AF192" s="4">
        <v>9.3867358430805705</v>
      </c>
      <c r="AG192" s="5"/>
      <c r="AH192" s="5"/>
      <c r="AI192" s="152">
        <f t="shared" si="79"/>
        <v>258.01821478518485</v>
      </c>
      <c r="AJ192" s="152">
        <f t="shared" si="80"/>
        <v>20.399867754864228</v>
      </c>
      <c r="AK192" s="152">
        <f t="shared" si="81"/>
        <v>35.0494232739631</v>
      </c>
      <c r="AL192" s="152">
        <f t="shared" si="82"/>
        <v>32.744463423197963</v>
      </c>
      <c r="AM192" s="152">
        <f t="shared" si="83"/>
        <v>8.6502377922382827</v>
      </c>
      <c r="AN192" s="152">
        <f t="shared" si="84"/>
        <v>6.4356268980734104</v>
      </c>
      <c r="AO192" s="152">
        <f t="shared" si="85"/>
        <v>7.9716987330309967</v>
      </c>
      <c r="AP192" s="152">
        <f t="shared" si="86"/>
        <v>12.202756596004741</v>
      </c>
      <c r="AS192" s="152">
        <f t="shared" si="87"/>
        <v>381.47228925655753</v>
      </c>
      <c r="AT192" s="156">
        <v>1836</v>
      </c>
      <c r="AU192" s="109">
        <f t="shared" si="88"/>
        <v>0.85910790101148105</v>
      </c>
      <c r="AV192" s="109">
        <f t="shared" si="102"/>
        <v>0.76910124390134771</v>
      </c>
    </row>
    <row r="193" spans="1:48" x14ac:dyDescent="0.2">
      <c r="A193" s="156">
        <v>1837</v>
      </c>
      <c r="B193" s="56">
        <v>1.4951726757812613</v>
      </c>
      <c r="C193" s="56">
        <v>1.5958690809498359</v>
      </c>
      <c r="D193" s="56">
        <v>4.3237717499999997</v>
      </c>
      <c r="E193" s="56">
        <v>9.3384923203008157</v>
      </c>
      <c r="F193" s="56">
        <v>4.184930077644001</v>
      </c>
      <c r="G193" s="55">
        <f t="shared" si="103"/>
        <v>2.6204521093879309</v>
      </c>
      <c r="H193" s="109">
        <v>7.1102024333333329</v>
      </c>
      <c r="I193" s="113">
        <v>0.22234749397591314</v>
      </c>
      <c r="J193" s="109">
        <v>2.0225390624999999</v>
      </c>
      <c r="K193" s="8"/>
      <c r="L193" s="14">
        <f t="shared" si="67"/>
        <v>267.63590896484578</v>
      </c>
      <c r="M193" s="14">
        <f t="shared" si="68"/>
        <v>31.917381618996718</v>
      </c>
      <c r="N193" s="14">
        <f t="shared" si="69"/>
        <v>21.618858749999998</v>
      </c>
      <c r="O193" s="14">
        <f t="shared" si="70"/>
        <v>28.015476960902447</v>
      </c>
      <c r="P193" s="14">
        <f t="shared" si="71"/>
        <v>5.4404091009372015</v>
      </c>
      <c r="Q193" s="14">
        <f t="shared" si="72"/>
        <v>7.8613563281637928</v>
      </c>
      <c r="R193" s="14">
        <f t="shared" si="73"/>
        <v>9.2432631633333333</v>
      </c>
      <c r="S193" s="14">
        <f t="shared" si="74"/>
        <v>0.28905174216868706</v>
      </c>
      <c r="T193" s="14">
        <f t="shared" si="75"/>
        <v>6.0676171874999998</v>
      </c>
      <c r="V193" s="14">
        <f t="shared" si="77"/>
        <v>378.08932381684792</v>
      </c>
      <c r="W193" s="14">
        <f t="shared" si="78"/>
        <v>372.02170662934793</v>
      </c>
      <c r="X193" s="163"/>
      <c r="Y193" s="4">
        <v>1.5463892774264631</v>
      </c>
      <c r="Z193" s="4">
        <v>1.1502510118854599</v>
      </c>
      <c r="AA193" s="4">
        <v>7.1718403235050676</v>
      </c>
      <c r="AB193" s="4">
        <v>12.085938246665473</v>
      </c>
      <c r="AC193" s="4">
        <v>6.8005778847477982</v>
      </c>
      <c r="AD193" s="4">
        <v>1.9021404653407423</v>
      </c>
      <c r="AE193" s="4">
        <v>6.235834376701118</v>
      </c>
      <c r="AF193" s="4">
        <v>11.150347433018972</v>
      </c>
      <c r="AG193" s="5"/>
      <c r="AH193" s="5"/>
      <c r="AI193" s="152">
        <f t="shared" si="79"/>
        <v>299.22632518202062</v>
      </c>
      <c r="AJ193" s="152">
        <f t="shared" si="80"/>
        <v>23.005020237709196</v>
      </c>
      <c r="AK193" s="152">
        <f t="shared" si="81"/>
        <v>35.859201617525336</v>
      </c>
      <c r="AL193" s="152">
        <f t="shared" si="82"/>
        <v>36.257814739996419</v>
      </c>
      <c r="AM193" s="152">
        <f t="shared" si="83"/>
        <v>8.8407512501721381</v>
      </c>
      <c r="AN193" s="152">
        <f t="shared" si="84"/>
        <v>5.7064213960222272</v>
      </c>
      <c r="AO193" s="152">
        <f t="shared" si="85"/>
        <v>8.106584689711454</v>
      </c>
      <c r="AP193" s="152">
        <f t="shared" si="86"/>
        <v>14.495451662924664</v>
      </c>
      <c r="AS193" s="152">
        <f t="shared" si="87"/>
        <v>431.49757077608206</v>
      </c>
      <c r="AT193" s="156">
        <v>1837</v>
      </c>
      <c r="AU193" s="109">
        <f t="shared" si="88"/>
        <v>0.86216408115632692</v>
      </c>
      <c r="AV193" s="109">
        <f t="shared" si="102"/>
        <v>0.89776465565537256</v>
      </c>
    </row>
    <row r="194" spans="1:48" x14ac:dyDescent="0.2">
      <c r="A194" s="156">
        <v>1838</v>
      </c>
      <c r="B194" s="56">
        <v>1.5354602250599143</v>
      </c>
      <c r="C194" s="56">
        <v>1.8398538244382998</v>
      </c>
      <c r="D194" s="56">
        <v>5.0444003749999995</v>
      </c>
      <c r="E194" s="56">
        <v>6.9836071959875889</v>
      </c>
      <c r="F194" s="56">
        <v>7.0937978818977481</v>
      </c>
      <c r="G194" s="55">
        <f t="shared" si="103"/>
        <v>2.6158495846358667</v>
      </c>
      <c r="H194" s="109">
        <v>7.1498580020564741</v>
      </c>
      <c r="I194" s="113">
        <v>0.25229919916991805</v>
      </c>
      <c r="J194" s="55">
        <f t="shared" ref="J194:J212" si="104">J193+($J$213-$J$193)/20</f>
        <v>2.0974921093750001</v>
      </c>
      <c r="K194" s="8"/>
      <c r="L194" s="14">
        <f t="shared" si="67"/>
        <v>274.84738028572468</v>
      </c>
      <c r="M194" s="14">
        <f t="shared" si="68"/>
        <v>36.797076488765995</v>
      </c>
      <c r="N194" s="14">
        <f t="shared" si="69"/>
        <v>25.222001874999997</v>
      </c>
      <c r="O194" s="14">
        <f t="shared" si="70"/>
        <v>20.950821587962768</v>
      </c>
      <c r="P194" s="14">
        <f t="shared" si="71"/>
        <v>9.221937246467073</v>
      </c>
      <c r="Q194" s="14">
        <f t="shared" si="72"/>
        <v>7.8475487539076001</v>
      </c>
      <c r="R194" s="14">
        <f t="shared" si="73"/>
        <v>9.2948154026734162</v>
      </c>
      <c r="S194" s="14">
        <f t="shared" si="74"/>
        <v>0.32798895892089347</v>
      </c>
      <c r="T194" s="14">
        <f t="shared" si="75"/>
        <v>6.2924763281249998</v>
      </c>
      <c r="V194" s="14">
        <f t="shared" si="77"/>
        <v>390.80204692754739</v>
      </c>
      <c r="W194" s="14">
        <f t="shared" si="78"/>
        <v>384.50957059942237</v>
      </c>
      <c r="X194" s="163"/>
      <c r="Y194" s="4">
        <v>1.7906759042572757</v>
      </c>
      <c r="Z194" s="4">
        <v>1.0156752106491611</v>
      </c>
      <c r="AA194" s="4">
        <v>6.8012248798588315</v>
      </c>
      <c r="AB194" s="4">
        <v>11.820367255286657</v>
      </c>
      <c r="AC194" s="4">
        <v>6.4590227247485847</v>
      </c>
      <c r="AD194" s="4">
        <v>1.7162068684575811</v>
      </c>
      <c r="AE194" s="4">
        <v>7.0171617372692676</v>
      </c>
      <c r="AF194" s="4">
        <v>10.917380832693041</v>
      </c>
      <c r="AG194" s="5"/>
      <c r="AH194" s="5"/>
      <c r="AI194" s="152">
        <f t="shared" si="79"/>
        <v>346.49578747378285</v>
      </c>
      <c r="AJ194" s="152">
        <f t="shared" si="80"/>
        <v>20.313504212983222</v>
      </c>
      <c r="AK194" s="152">
        <f t="shared" si="81"/>
        <v>34.006124399294158</v>
      </c>
      <c r="AL194" s="152">
        <f t="shared" si="82"/>
        <v>35.461101765859972</v>
      </c>
      <c r="AM194" s="152">
        <f t="shared" si="83"/>
        <v>8.3967295421731603</v>
      </c>
      <c r="AN194" s="152">
        <f t="shared" si="84"/>
        <v>5.1486206053727432</v>
      </c>
      <c r="AO194" s="152">
        <f t="shared" si="85"/>
        <v>9.1223102584500477</v>
      </c>
      <c r="AP194" s="152">
        <f t="shared" si="86"/>
        <v>14.192595082500954</v>
      </c>
      <c r="AS194" s="152">
        <f t="shared" si="87"/>
        <v>473.13677334041705</v>
      </c>
      <c r="AT194" s="156">
        <v>1838</v>
      </c>
      <c r="AU194" s="109">
        <f t="shared" si="88"/>
        <v>0.81268164358632866</v>
      </c>
      <c r="AV194" s="109">
        <f t="shared" si="102"/>
        <v>0.96141357370870684</v>
      </c>
    </row>
    <row r="195" spans="1:48" x14ac:dyDescent="0.2">
      <c r="A195" s="156">
        <v>1839</v>
      </c>
      <c r="B195" s="56">
        <v>2.5578677647130776</v>
      </c>
      <c r="C195" s="56">
        <v>2.4317779005669276</v>
      </c>
      <c r="D195" s="56">
        <v>5.7650290000000011</v>
      </c>
      <c r="E195" s="68">
        <v>10.490914631529588</v>
      </c>
      <c r="F195" s="56">
        <v>5.9227582315527236</v>
      </c>
      <c r="G195" s="55">
        <f t="shared" si="103"/>
        <v>2.6112470598838025</v>
      </c>
      <c r="H195" s="109">
        <v>8.155861560226354</v>
      </c>
      <c r="I195" s="113">
        <v>0.20594893706533896</v>
      </c>
      <c r="J195" s="55">
        <f t="shared" si="104"/>
        <v>2.1724451562500002</v>
      </c>
      <c r="K195" s="8"/>
      <c r="L195" s="14">
        <f t="shared" si="67"/>
        <v>457.85832988364092</v>
      </c>
      <c r="M195" s="14">
        <f t="shared" si="68"/>
        <v>48.635558011338553</v>
      </c>
      <c r="N195" s="14">
        <f t="shared" si="69"/>
        <v>28.825145000000006</v>
      </c>
      <c r="O195" s="14">
        <f t="shared" si="70"/>
        <v>31.472743894588763</v>
      </c>
      <c r="P195" s="14">
        <f t="shared" si="71"/>
        <v>7.6995857010185409</v>
      </c>
      <c r="Q195" s="14">
        <f t="shared" si="72"/>
        <v>7.8337411796514074</v>
      </c>
      <c r="R195" s="14">
        <f t="shared" si="73"/>
        <v>10.602620028294261</v>
      </c>
      <c r="S195" s="14">
        <f t="shared" si="74"/>
        <v>0.26773361818494062</v>
      </c>
      <c r="T195" s="14">
        <f t="shared" si="75"/>
        <v>6.5173354687500007</v>
      </c>
      <c r="V195" s="14">
        <f t="shared" si="77"/>
        <v>599.71279278546751</v>
      </c>
      <c r="W195" s="14">
        <f t="shared" si="78"/>
        <v>593.19545731671747</v>
      </c>
      <c r="X195" s="163"/>
      <c r="Y195" s="4">
        <v>1.9310889429271423</v>
      </c>
      <c r="Z195" s="4">
        <v>1.0878198304480962</v>
      </c>
      <c r="AA195" s="4">
        <v>6.0967426671622453</v>
      </c>
      <c r="AB195" s="4">
        <v>11.686636346261475</v>
      </c>
      <c r="AC195" s="4">
        <v>6.0008908881647116</v>
      </c>
      <c r="AD195" s="4">
        <v>1.8590980685353666</v>
      </c>
      <c r="AE195" s="4">
        <v>7.5775409914818201</v>
      </c>
      <c r="AF195" s="4">
        <v>10.063711220871841</v>
      </c>
      <c r="AG195" s="5"/>
      <c r="AH195" s="5"/>
      <c r="AI195" s="152">
        <f t="shared" si="79"/>
        <v>373.66571045640205</v>
      </c>
      <c r="AJ195" s="152">
        <f t="shared" si="80"/>
        <v>21.756396608961921</v>
      </c>
      <c r="AK195" s="152">
        <f t="shared" si="81"/>
        <v>30.483713335811228</v>
      </c>
      <c r="AL195" s="152">
        <f t="shared" si="82"/>
        <v>35.059909038784426</v>
      </c>
      <c r="AM195" s="152">
        <f t="shared" si="83"/>
        <v>7.8011581546141251</v>
      </c>
      <c r="AN195" s="152">
        <f t="shared" si="84"/>
        <v>5.5772942056060995</v>
      </c>
      <c r="AO195" s="152">
        <f t="shared" si="85"/>
        <v>9.8508032889263664</v>
      </c>
      <c r="AP195" s="152">
        <f t="shared" si="86"/>
        <v>13.082824587133395</v>
      </c>
      <c r="AS195" s="152">
        <f t="shared" si="87"/>
        <v>497.27780967623971</v>
      </c>
      <c r="AT195" s="156">
        <v>1839</v>
      </c>
      <c r="AU195" s="109">
        <f t="shared" si="88"/>
        <v>1.1928854370214637</v>
      </c>
      <c r="AV195" s="109">
        <f t="shared" si="102"/>
        <v>0.92972294363833752</v>
      </c>
    </row>
    <row r="196" spans="1:48" x14ac:dyDescent="0.2">
      <c r="A196" s="156">
        <v>1840</v>
      </c>
      <c r="B196" s="56">
        <v>2.199881528308564</v>
      </c>
      <c r="C196" s="56">
        <v>2.0067248897141914</v>
      </c>
      <c r="D196" s="56">
        <v>5.0444003749999995</v>
      </c>
      <c r="E196" s="68">
        <v>10.022021289741035</v>
      </c>
      <c r="F196" s="56">
        <v>6.3997726345778831</v>
      </c>
      <c r="G196" s="55">
        <f t="shared" si="103"/>
        <v>2.6066445351317382</v>
      </c>
      <c r="H196" s="109">
        <v>7.7075967431908863</v>
      </c>
      <c r="I196" s="113">
        <v>0.16817615142142556</v>
      </c>
      <c r="J196" s="55">
        <f t="shared" si="104"/>
        <v>2.2473982031250004</v>
      </c>
      <c r="K196" s="8"/>
      <c r="L196" s="14">
        <f t="shared" si="67"/>
        <v>393.77879356723298</v>
      </c>
      <c r="M196" s="14">
        <f t="shared" si="68"/>
        <v>40.134497794283831</v>
      </c>
      <c r="N196" s="14">
        <f t="shared" si="69"/>
        <v>25.222001874999997</v>
      </c>
      <c r="O196" s="14">
        <f t="shared" si="70"/>
        <v>30.066063869223107</v>
      </c>
      <c r="P196" s="14">
        <f t="shared" si="71"/>
        <v>8.3197044249512491</v>
      </c>
      <c r="Q196" s="14">
        <f t="shared" si="72"/>
        <v>7.8199336053952146</v>
      </c>
      <c r="R196" s="14">
        <f t="shared" si="73"/>
        <v>10.019875766148152</v>
      </c>
      <c r="S196" s="14">
        <f t="shared" si="74"/>
        <v>0.21862899684785322</v>
      </c>
      <c r="T196" s="14">
        <f t="shared" si="75"/>
        <v>6.7421946093750016</v>
      </c>
      <c r="V196" s="14">
        <f t="shared" si="77"/>
        <v>522.32169450845743</v>
      </c>
      <c r="W196" s="14">
        <f t="shared" si="78"/>
        <v>515.57949989908241</v>
      </c>
      <c r="X196" s="163"/>
      <c r="Y196" s="4">
        <v>1.8210720922336356</v>
      </c>
      <c r="Z196" s="4">
        <v>1.204318520844132</v>
      </c>
      <c r="AA196" s="4">
        <v>6.4348270611006919</v>
      </c>
      <c r="AB196" s="4">
        <v>11.673570124355825</v>
      </c>
      <c r="AC196" s="4">
        <v>6.3614113680931723</v>
      </c>
      <c r="AD196" s="4">
        <v>1.395878250066561</v>
      </c>
      <c r="AE196" s="4">
        <v>6.7562842106946075</v>
      </c>
      <c r="AF196" s="4">
        <v>9.5292339522039828</v>
      </c>
      <c r="AG196" s="5"/>
      <c r="AH196" s="5"/>
      <c r="AI196" s="152">
        <f t="shared" si="79"/>
        <v>352.37744984720848</v>
      </c>
      <c r="AJ196" s="152">
        <f t="shared" si="80"/>
        <v>24.086370416882641</v>
      </c>
      <c r="AK196" s="152">
        <f t="shared" si="81"/>
        <v>32.174135305503462</v>
      </c>
      <c r="AL196" s="152">
        <f t="shared" si="82"/>
        <v>35.020710373067473</v>
      </c>
      <c r="AM196" s="152">
        <f t="shared" si="83"/>
        <v>8.2698347785211244</v>
      </c>
      <c r="AN196" s="152">
        <f t="shared" si="84"/>
        <v>4.1876347501996829</v>
      </c>
      <c r="AO196" s="152">
        <f t="shared" si="85"/>
        <v>8.7831694739029906</v>
      </c>
      <c r="AP196" s="152">
        <f t="shared" si="86"/>
        <v>12.388004137865178</v>
      </c>
      <c r="AS196" s="152">
        <f t="shared" si="87"/>
        <v>477.28730908315094</v>
      </c>
      <c r="AT196" s="156">
        <v>1840</v>
      </c>
      <c r="AU196" s="109">
        <f t="shared" si="88"/>
        <v>1.0802288057679328</v>
      </c>
      <c r="AV196" s="109">
        <f t="shared" si="102"/>
        <v>0.91852741289122264</v>
      </c>
    </row>
    <row r="197" spans="1:48" x14ac:dyDescent="0.2">
      <c r="A197" s="156">
        <v>1841</v>
      </c>
      <c r="B197" s="56">
        <v>1.3165459710592655</v>
      </c>
      <c r="C197" s="56">
        <v>1.4689473556631101</v>
      </c>
      <c r="D197" s="56">
        <v>3.3629335833333336</v>
      </c>
      <c r="E197" s="68">
        <v>9.4491075921921919</v>
      </c>
      <c r="F197" s="56">
        <v>4.1679310632102515</v>
      </c>
      <c r="G197" s="55">
        <f t="shared" si="103"/>
        <v>2.602042010379674</v>
      </c>
      <c r="H197" s="109">
        <v>7.7398054892806085</v>
      </c>
      <c r="I197" s="113">
        <v>0.14471557143516456</v>
      </c>
      <c r="J197" s="55">
        <f t="shared" si="104"/>
        <v>2.3223512500000005</v>
      </c>
      <c r="K197" s="8"/>
      <c r="L197" s="14">
        <f t="shared" si="67"/>
        <v>235.66172881960853</v>
      </c>
      <c r="M197" s="14">
        <f t="shared" si="68"/>
        <v>29.3789471132622</v>
      </c>
      <c r="N197" s="14">
        <f t="shared" si="69"/>
        <v>16.814667916666668</v>
      </c>
      <c r="O197" s="14">
        <f t="shared" si="70"/>
        <v>28.347322776576576</v>
      </c>
      <c r="P197" s="14">
        <f t="shared" si="71"/>
        <v>5.4183103821733276</v>
      </c>
      <c r="Q197" s="14">
        <f t="shared" si="72"/>
        <v>7.8061260311390219</v>
      </c>
      <c r="R197" s="14">
        <f t="shared" si="73"/>
        <v>10.061747136064792</v>
      </c>
      <c r="S197" s="14">
        <f t="shared" si="74"/>
        <v>0.18813024286571392</v>
      </c>
      <c r="T197" s="14">
        <f t="shared" si="75"/>
        <v>6.9670537500000016</v>
      </c>
      <c r="V197" s="14">
        <f t="shared" si="77"/>
        <v>340.64403416835682</v>
      </c>
      <c r="W197" s="14">
        <f t="shared" si="78"/>
        <v>333.67698041835683</v>
      </c>
      <c r="X197" s="163"/>
      <c r="Y197" s="4">
        <v>1.7667123487290433</v>
      </c>
      <c r="Z197" s="4">
        <v>1.1356632756667659</v>
      </c>
      <c r="AA197" s="4">
        <v>7.4514971054536163</v>
      </c>
      <c r="AB197" s="4">
        <v>12.339238698406993</v>
      </c>
      <c r="AC197" s="4">
        <v>6.9311536135889158</v>
      </c>
      <c r="AD197" s="4">
        <v>1.2624796801630542</v>
      </c>
      <c r="AE197" s="4">
        <v>6.6989517970432972</v>
      </c>
      <c r="AF197" s="4">
        <v>12.216974432821063</v>
      </c>
      <c r="AG197" s="5"/>
      <c r="AH197" s="5"/>
      <c r="AI197" s="152">
        <f t="shared" si="79"/>
        <v>341.85883947906984</v>
      </c>
      <c r="AJ197" s="152">
        <f t="shared" si="80"/>
        <v>22.713265513335319</v>
      </c>
      <c r="AK197" s="152">
        <f t="shared" si="81"/>
        <v>37.257485527268081</v>
      </c>
      <c r="AL197" s="152">
        <f t="shared" si="82"/>
        <v>37.017716095220976</v>
      </c>
      <c r="AM197" s="152">
        <f t="shared" si="83"/>
        <v>9.0104996976655904</v>
      </c>
      <c r="AN197" s="152">
        <f t="shared" si="84"/>
        <v>3.7874390404891627</v>
      </c>
      <c r="AO197" s="152">
        <f t="shared" si="85"/>
        <v>8.7086373361562863</v>
      </c>
      <c r="AP197" s="152">
        <f t="shared" si="86"/>
        <v>15.882066762667382</v>
      </c>
      <c r="AS197" s="152">
        <f t="shared" si="87"/>
        <v>476.23594945187267</v>
      </c>
      <c r="AT197" s="156">
        <v>1841</v>
      </c>
      <c r="AU197" s="109">
        <f t="shared" si="88"/>
        <v>0.70065475065963589</v>
      </c>
      <c r="AV197" s="109">
        <f t="shared" si="102"/>
        <v>0.93661140340100812</v>
      </c>
    </row>
    <row r="198" spans="1:48" x14ac:dyDescent="0.2">
      <c r="A198" s="156">
        <v>1842</v>
      </c>
      <c r="B198" s="56">
        <v>1.4032193248831613</v>
      </c>
      <c r="C198" s="56">
        <v>1.4855538000418222</v>
      </c>
      <c r="D198" s="56">
        <v>2.8825145000000005</v>
      </c>
      <c r="E198" s="68">
        <v>10.56456811547427</v>
      </c>
      <c r="F198" s="56">
        <v>4.485982660552482</v>
      </c>
      <c r="G198" s="55">
        <f t="shared" si="103"/>
        <v>2.5974394856276097</v>
      </c>
      <c r="H198" s="109">
        <v>6.9154829612689044</v>
      </c>
      <c r="I198" s="113">
        <v>0.22097909763925105</v>
      </c>
      <c r="J198" s="55">
        <f t="shared" si="104"/>
        <v>2.3973042968750007</v>
      </c>
      <c r="K198" s="8"/>
      <c r="L198" s="14">
        <f t="shared" si="67"/>
        <v>251.17625915408587</v>
      </c>
      <c r="M198" s="14">
        <f t="shared" si="68"/>
        <v>29.711076000836446</v>
      </c>
      <c r="N198" s="14">
        <f t="shared" si="69"/>
        <v>14.412572500000003</v>
      </c>
      <c r="O198" s="14">
        <f t="shared" si="70"/>
        <v>31.693704346422809</v>
      </c>
      <c r="P198" s="14">
        <f t="shared" si="71"/>
        <v>5.8317774587182267</v>
      </c>
      <c r="Q198" s="14">
        <f t="shared" si="72"/>
        <v>7.7923184568828292</v>
      </c>
      <c r="R198" s="14">
        <f t="shared" si="73"/>
        <v>8.9901278496495767</v>
      </c>
      <c r="S198" s="14">
        <f t="shared" si="74"/>
        <v>0.2872728269310264</v>
      </c>
      <c r="T198" s="14">
        <f t="shared" si="75"/>
        <v>7.1919128906250016</v>
      </c>
      <c r="V198" s="14">
        <f t="shared" si="77"/>
        <v>357.08702148415182</v>
      </c>
      <c r="W198" s="14">
        <f t="shared" si="78"/>
        <v>349.8951085935268</v>
      </c>
      <c r="X198" s="163"/>
      <c r="Y198" s="4">
        <v>1.5884206985661626</v>
      </c>
      <c r="Z198" s="4">
        <v>1.0220871131219806</v>
      </c>
      <c r="AA198" s="4">
        <v>7.1114831875051117</v>
      </c>
      <c r="AB198" s="4">
        <v>11.544350518526571</v>
      </c>
      <c r="AC198" s="4">
        <v>6.7018534863809291</v>
      </c>
      <c r="AD198" s="4">
        <v>1.5209842361072674</v>
      </c>
      <c r="AE198" s="4">
        <v>6.5893514400511846</v>
      </c>
      <c r="AF198" s="4">
        <v>10.907320764985093</v>
      </c>
      <c r="AG198" s="5"/>
      <c r="AH198" s="5"/>
      <c r="AI198" s="152">
        <f t="shared" si="79"/>
        <v>307.35940517255244</v>
      </c>
      <c r="AJ198" s="152">
        <f t="shared" si="80"/>
        <v>20.441742262439611</v>
      </c>
      <c r="AK198" s="152">
        <f t="shared" si="81"/>
        <v>35.557415937525562</v>
      </c>
      <c r="AL198" s="152">
        <f t="shared" si="82"/>
        <v>34.633051555579712</v>
      </c>
      <c r="AM198" s="152">
        <f t="shared" si="83"/>
        <v>8.712409532295208</v>
      </c>
      <c r="AN198" s="152">
        <f t="shared" si="84"/>
        <v>4.5629527083218022</v>
      </c>
      <c r="AO198" s="152">
        <f t="shared" si="85"/>
        <v>8.5661568720665411</v>
      </c>
      <c r="AP198" s="152">
        <f t="shared" si="86"/>
        <v>14.17951699448062</v>
      </c>
      <c r="AS198" s="152">
        <f t="shared" si="87"/>
        <v>434.01265103526146</v>
      </c>
      <c r="AT198" s="156">
        <v>1842</v>
      </c>
      <c r="AU198" s="109">
        <f t="shared" si="88"/>
        <v>0.80618642742075164</v>
      </c>
      <c r="AV198" s="109">
        <f t="shared" si="102"/>
        <v>0.84294031963794025</v>
      </c>
    </row>
    <row r="199" spans="1:48" x14ac:dyDescent="0.2">
      <c r="A199" s="156">
        <v>1843</v>
      </c>
      <c r="B199" s="56">
        <v>1.3313782267245986</v>
      </c>
      <c r="C199" s="56">
        <v>1.5949197239712818</v>
      </c>
      <c r="D199" s="56">
        <v>2.8825145000000005</v>
      </c>
      <c r="E199" s="68">
        <v>12.627252866568144</v>
      </c>
      <c r="F199" s="56">
        <v>4.7967585677594302</v>
      </c>
      <c r="G199" s="55">
        <f t="shared" si="103"/>
        <v>2.5928369608755455</v>
      </c>
      <c r="H199" s="109">
        <v>7.4575335764140265</v>
      </c>
      <c r="I199" s="113">
        <v>0.22581729352235433</v>
      </c>
      <c r="J199" s="55">
        <f t="shared" si="104"/>
        <v>2.4722573437500008</v>
      </c>
      <c r="K199" s="8"/>
      <c r="L199" s="14">
        <f t="shared" si="67"/>
        <v>238.31670258370315</v>
      </c>
      <c r="M199" s="14">
        <f t="shared" si="68"/>
        <v>31.898394479425637</v>
      </c>
      <c r="N199" s="14">
        <f t="shared" si="69"/>
        <v>14.412572500000003</v>
      </c>
      <c r="O199" s="14">
        <f t="shared" si="70"/>
        <v>37.881758599704433</v>
      </c>
      <c r="P199" s="14">
        <f t="shared" si="71"/>
        <v>6.2357861380872599</v>
      </c>
      <c r="Q199" s="14">
        <f t="shared" si="72"/>
        <v>7.7785108826266365</v>
      </c>
      <c r="R199" s="14">
        <f t="shared" si="73"/>
        <v>9.6947936493382354</v>
      </c>
      <c r="S199" s="14">
        <f t="shared" si="74"/>
        <v>0.29356248157906062</v>
      </c>
      <c r="T199" s="14">
        <f t="shared" si="75"/>
        <v>7.4167720312500025</v>
      </c>
      <c r="V199" s="14">
        <f t="shared" si="77"/>
        <v>353.92885334571434</v>
      </c>
      <c r="W199" s="14">
        <f t="shared" si="78"/>
        <v>346.51208131446435</v>
      </c>
      <c r="X199" s="163"/>
      <c r="Y199" s="4">
        <v>1.3954933337683277</v>
      </c>
      <c r="Z199" s="4">
        <v>0.81289158655462213</v>
      </c>
      <c r="AA199" s="4">
        <v>6.1062178619972318</v>
      </c>
      <c r="AB199" s="4">
        <v>10.423469334452552</v>
      </c>
      <c r="AC199" s="4">
        <v>6.8145898073689013</v>
      </c>
      <c r="AD199" s="4">
        <v>1.568700225806424</v>
      </c>
      <c r="AE199" s="4">
        <v>6.6334144634779815</v>
      </c>
      <c r="AF199" s="4">
        <v>10.319496182875996</v>
      </c>
      <c r="AG199" s="5"/>
      <c r="AH199" s="5"/>
      <c r="AI199" s="152">
        <f t="shared" si="79"/>
        <v>270.02796008417141</v>
      </c>
      <c r="AJ199" s="152">
        <f t="shared" si="80"/>
        <v>16.257831731092441</v>
      </c>
      <c r="AK199" s="152">
        <f t="shared" si="81"/>
        <v>30.531089309986157</v>
      </c>
      <c r="AL199" s="152">
        <f t="shared" si="82"/>
        <v>31.270408003357655</v>
      </c>
      <c r="AM199" s="152">
        <f t="shared" si="83"/>
        <v>8.8589667495795723</v>
      </c>
      <c r="AN199" s="152">
        <f t="shared" si="84"/>
        <v>4.706100677419272</v>
      </c>
      <c r="AO199" s="152">
        <f t="shared" si="85"/>
        <v>8.6234388025213757</v>
      </c>
      <c r="AP199" s="152">
        <f t="shared" si="86"/>
        <v>13.415345037738795</v>
      </c>
      <c r="AS199" s="152">
        <f t="shared" si="87"/>
        <v>383.69114039586668</v>
      </c>
      <c r="AT199" s="156">
        <v>1843</v>
      </c>
      <c r="AU199" s="109">
        <f t="shared" si="88"/>
        <v>0.90310159613525742</v>
      </c>
      <c r="AV199" s="109">
        <f t="shared" si="102"/>
        <v>0.78947564547063775</v>
      </c>
    </row>
    <row r="200" spans="1:48" x14ac:dyDescent="0.2">
      <c r="A200" s="156">
        <v>1844</v>
      </c>
      <c r="B200" s="56">
        <v>0.9987240737549623</v>
      </c>
      <c r="C200" s="56">
        <v>1.5455531610864561</v>
      </c>
      <c r="D200" s="56">
        <v>2.8825145000000005</v>
      </c>
      <c r="E200" s="68">
        <v>9.5689876991788267</v>
      </c>
      <c r="F200" s="56">
        <v>5.3710183962940095</v>
      </c>
      <c r="G200" s="55">
        <f t="shared" si="103"/>
        <v>2.5882344361234813</v>
      </c>
      <c r="H200" s="109">
        <v>7.344533127211772</v>
      </c>
      <c r="I200" s="113">
        <v>0.3042806078092411</v>
      </c>
      <c r="J200" s="55">
        <f t="shared" si="104"/>
        <v>2.547210390625001</v>
      </c>
      <c r="K200" s="8"/>
      <c r="L200" s="14">
        <f t="shared" si="67"/>
        <v>178.77160920213825</v>
      </c>
      <c r="M200" s="14">
        <f t="shared" si="68"/>
        <v>30.911063221729123</v>
      </c>
      <c r="N200" s="14">
        <f t="shared" si="69"/>
        <v>14.412572500000003</v>
      </c>
      <c r="O200" s="14">
        <f t="shared" si="70"/>
        <v>28.70696309753648</v>
      </c>
      <c r="P200" s="14">
        <f t="shared" si="71"/>
        <v>6.9823239151822127</v>
      </c>
      <c r="Q200" s="14">
        <f t="shared" si="72"/>
        <v>7.7647033083704438</v>
      </c>
      <c r="R200" s="14">
        <f t="shared" si="73"/>
        <v>9.5478930653753036</v>
      </c>
      <c r="S200" s="14">
        <f t="shared" si="74"/>
        <v>0.39556479015201346</v>
      </c>
      <c r="T200" s="14">
        <f t="shared" si="75"/>
        <v>7.6416311718750034</v>
      </c>
      <c r="V200" s="14">
        <f t="shared" si="77"/>
        <v>285.13432427235887</v>
      </c>
      <c r="W200" s="14">
        <f t="shared" si="78"/>
        <v>277.49269310048385</v>
      </c>
      <c r="X200" s="163"/>
      <c r="Y200" s="4">
        <v>1.4201921064900405</v>
      </c>
      <c r="Z200" s="4">
        <v>0.93104340907004624</v>
      </c>
      <c r="AA200" s="4">
        <v>5.7597019314214446</v>
      </c>
      <c r="AB200" s="4">
        <v>9.9274940250289969</v>
      </c>
      <c r="AC200" s="4">
        <v>6.1256386804373406</v>
      </c>
      <c r="AD200" s="4">
        <v>1.2234485438696734</v>
      </c>
      <c r="AE200" s="4">
        <v>5.7556836377901641</v>
      </c>
      <c r="AF200" s="4">
        <v>9.1320946298768355</v>
      </c>
      <c r="AG200" s="5"/>
      <c r="AH200" s="5"/>
      <c r="AI200" s="152">
        <f t="shared" si="79"/>
        <v>274.80717260582281</v>
      </c>
      <c r="AJ200" s="152">
        <f t="shared" si="80"/>
        <v>18.620868181400926</v>
      </c>
      <c r="AK200" s="152">
        <f t="shared" si="81"/>
        <v>28.798509657107225</v>
      </c>
      <c r="AL200" s="152">
        <f t="shared" si="82"/>
        <v>29.782482075086989</v>
      </c>
      <c r="AM200" s="152">
        <f t="shared" si="83"/>
        <v>7.963330284568543</v>
      </c>
      <c r="AN200" s="152">
        <f t="shared" si="84"/>
        <v>3.6703456316090204</v>
      </c>
      <c r="AO200" s="152">
        <f t="shared" si="85"/>
        <v>7.482388729127214</v>
      </c>
      <c r="AP200" s="152">
        <f t="shared" si="86"/>
        <v>11.871723018839887</v>
      </c>
      <c r="AS200" s="152">
        <f t="shared" si="87"/>
        <v>382.99682018356253</v>
      </c>
      <c r="AT200" s="156">
        <v>1844</v>
      </c>
      <c r="AU200" s="109">
        <f t="shared" si="88"/>
        <v>0.72453001820612317</v>
      </c>
      <c r="AV200" s="109">
        <f t="shared" si="102"/>
        <v>0.82910234307780262</v>
      </c>
    </row>
    <row r="201" spans="1:48" x14ac:dyDescent="0.2">
      <c r="A201" s="156">
        <v>1845</v>
      </c>
      <c r="B201" s="56">
        <v>1.2502434983633397</v>
      </c>
      <c r="C201" s="56">
        <v>1.297296311194498</v>
      </c>
      <c r="D201" s="56">
        <v>3.8433526666666666</v>
      </c>
      <c r="E201" s="68">
        <v>8.0790924748696771</v>
      </c>
      <c r="F201" s="56">
        <v>4.1027333204395635</v>
      </c>
      <c r="G201" s="55">
        <f t="shared" si="103"/>
        <v>2.583631911371417</v>
      </c>
      <c r="H201" s="109">
        <v>6.7170582755019153</v>
      </c>
      <c r="I201" s="113">
        <v>0.31883633880780815</v>
      </c>
      <c r="J201" s="55">
        <f t="shared" si="104"/>
        <v>2.6221634375000011</v>
      </c>
      <c r="K201" s="8"/>
      <c r="L201" s="14">
        <f t="shared" ref="L201:L269" si="105">B201*179</f>
        <v>223.79358620703781</v>
      </c>
      <c r="M201" s="14">
        <f t="shared" ref="M201:M269" si="106">C201*20</f>
        <v>25.945926223889959</v>
      </c>
      <c r="N201" s="14">
        <f t="shared" ref="N201:N269" si="107">D201*5</f>
        <v>19.216763333333333</v>
      </c>
      <c r="O201" s="14">
        <f t="shared" ref="O201:O269" si="108">E201*3</f>
        <v>24.237277424609033</v>
      </c>
      <c r="P201" s="14">
        <f t="shared" ref="P201:P269" si="109">F201*1.3</f>
        <v>5.3335533165714324</v>
      </c>
      <c r="Q201" s="14">
        <f t="shared" ref="Q201:Q269" si="110">G201*3</f>
        <v>7.750895734114251</v>
      </c>
      <c r="R201" s="14">
        <f t="shared" ref="R201:R269" si="111">H201*1.3</f>
        <v>8.7321757581524899</v>
      </c>
      <c r="S201" s="14">
        <f t="shared" ref="S201:S269" si="112">I201*1.3</f>
        <v>0.41448724045015062</v>
      </c>
      <c r="T201" s="14">
        <f t="shared" ref="T201:T269" si="113">J201*3</f>
        <v>7.8664903125000034</v>
      </c>
      <c r="V201" s="14">
        <f t="shared" si="77"/>
        <v>323.29115555065846</v>
      </c>
      <c r="W201" s="14">
        <f t="shared" si="78"/>
        <v>315.42466523815847</v>
      </c>
      <c r="X201" s="163"/>
      <c r="Y201" s="4">
        <v>1.4144633361456516</v>
      </c>
      <c r="Z201" s="4">
        <v>1.0614667373788285</v>
      </c>
      <c r="AA201" s="4">
        <v>4.9702431777769922</v>
      </c>
      <c r="AB201" s="4">
        <v>10.991773450317373</v>
      </c>
      <c r="AC201" s="4">
        <v>8.4554488514326369</v>
      </c>
      <c r="AD201" s="4">
        <v>1.2691667581545809</v>
      </c>
      <c r="AE201" s="4">
        <v>5.4288149454738424</v>
      </c>
      <c r="AF201" s="4">
        <v>10.315216485537212</v>
      </c>
      <c r="AG201" s="5"/>
      <c r="AH201" s="5"/>
      <c r="AI201" s="152">
        <f t="shared" si="79"/>
        <v>273.69865554418357</v>
      </c>
      <c r="AJ201" s="152">
        <f t="shared" si="80"/>
        <v>21.229334747576569</v>
      </c>
      <c r="AK201" s="152">
        <f t="shared" si="81"/>
        <v>24.851215888884962</v>
      </c>
      <c r="AL201" s="152">
        <f t="shared" si="82"/>
        <v>32.975320350952117</v>
      </c>
      <c r="AM201" s="152">
        <f t="shared" si="83"/>
        <v>10.992083506862429</v>
      </c>
      <c r="AN201" s="152">
        <f t="shared" si="84"/>
        <v>3.8075002744637425</v>
      </c>
      <c r="AO201" s="152">
        <f t="shared" si="85"/>
        <v>7.0574594291159949</v>
      </c>
      <c r="AP201" s="152">
        <f t="shared" si="86"/>
        <v>13.409781431198375</v>
      </c>
      <c r="AS201" s="152">
        <f t="shared" si="87"/>
        <v>388.02135117323775</v>
      </c>
      <c r="AT201" s="156">
        <v>1845</v>
      </c>
      <c r="AU201" s="109">
        <f t="shared" si="88"/>
        <v>0.81290543493142098</v>
      </c>
      <c r="AV201" s="109">
        <f t="shared" si="102"/>
        <v>0.81711400789207023</v>
      </c>
    </row>
    <row r="202" spans="1:48" x14ac:dyDescent="0.2">
      <c r="A202" s="156">
        <v>1846</v>
      </c>
      <c r="B202" s="56">
        <v>1.3941217917176227</v>
      </c>
      <c r="C202" s="56">
        <v>1.5408063761936845</v>
      </c>
      <c r="D202" s="57">
        <v>3.4590174</v>
      </c>
      <c r="E202" s="68">
        <v>17.420953803004689</v>
      </c>
      <c r="F202" s="56">
        <v>3.5581310380175375</v>
      </c>
      <c r="G202" s="55">
        <f t="shared" si="103"/>
        <v>2.5790293866193528</v>
      </c>
      <c r="H202" s="109">
        <v>8.6591198634538138</v>
      </c>
      <c r="I202" s="113">
        <v>0.1651941900344803</v>
      </c>
      <c r="J202" s="55">
        <f t="shared" si="104"/>
        <v>2.6971164843750013</v>
      </c>
      <c r="K202" s="8"/>
      <c r="L202" s="14">
        <f t="shared" si="105"/>
        <v>249.54780071745446</v>
      </c>
      <c r="M202" s="14">
        <f t="shared" si="106"/>
        <v>30.816127523873689</v>
      </c>
      <c r="N202" s="14">
        <f t="shared" si="107"/>
        <v>17.295086999999999</v>
      </c>
      <c r="O202" s="14">
        <f t="shared" si="108"/>
        <v>52.262861409014064</v>
      </c>
      <c r="P202" s="14">
        <f t="shared" si="109"/>
        <v>4.6255703494227989</v>
      </c>
      <c r="Q202" s="14">
        <f t="shared" si="110"/>
        <v>7.7370881598580583</v>
      </c>
      <c r="R202" s="14">
        <f t="shared" si="111"/>
        <v>11.256855822489959</v>
      </c>
      <c r="S202" s="14">
        <f t="shared" si="112"/>
        <v>0.21475244704482441</v>
      </c>
      <c r="T202" s="14">
        <f t="shared" si="113"/>
        <v>8.0913494531250034</v>
      </c>
      <c r="V202" s="14">
        <f t="shared" ref="V202:V265" si="114">SUM(L202:T202)</f>
        <v>381.84749288228289</v>
      </c>
      <c r="W202" s="14">
        <f t="shared" ref="W202:W265" si="115">V202-T202</f>
        <v>373.75614342915787</v>
      </c>
      <c r="X202" s="163"/>
      <c r="Y202" s="4">
        <v>1.521152809606199</v>
      </c>
      <c r="Z202" s="4">
        <v>1.0856446407894096</v>
      </c>
      <c r="AA202" s="4">
        <v>6.8092504729736287</v>
      </c>
      <c r="AB202" s="4">
        <v>10.852043553638701</v>
      </c>
      <c r="AC202" s="4">
        <v>5.8523679165079328</v>
      </c>
      <c r="AD202" s="4">
        <v>1.2135511214342256</v>
      </c>
      <c r="AE202" s="4">
        <v>5.8491897735174705</v>
      </c>
      <c r="AF202" s="4">
        <v>11.025749678914485</v>
      </c>
      <c r="AG202" s="5"/>
      <c r="AH202" s="5"/>
      <c r="AI202" s="152">
        <f t="shared" ref="AI202:AI265" si="116">Y202*AI$8</f>
        <v>294.3430686587995</v>
      </c>
      <c r="AJ202" s="152">
        <f t="shared" ref="AJ202:AJ265" si="117">Z202*AJ$8</f>
        <v>21.712892815788191</v>
      </c>
      <c r="AK202" s="152">
        <f t="shared" ref="AK202:AK265" si="118">AA202*AK$8</f>
        <v>34.046252364868145</v>
      </c>
      <c r="AL202" s="152">
        <f t="shared" ref="AL202:AL265" si="119">AB202*AL$8</f>
        <v>32.556130660916104</v>
      </c>
      <c r="AM202" s="152">
        <f t="shared" ref="AM202:AM265" si="120">AC202*AM$8</f>
        <v>7.6080782914603127</v>
      </c>
      <c r="AN202" s="152">
        <f t="shared" ref="AN202:AN265" si="121">AD202*AN$8</f>
        <v>3.6406533643026768</v>
      </c>
      <c r="AO202" s="152">
        <f t="shared" ref="AO202:AO265" si="122">AE202*AO$8</f>
        <v>7.6039467055727119</v>
      </c>
      <c r="AP202" s="152">
        <f t="shared" ref="AP202:AP265" si="123">AF202*AP$8</f>
        <v>14.333474582588831</v>
      </c>
      <c r="AS202" s="152">
        <f t="shared" ref="AS202:AS265" si="124">SUM(AI202:AP202)</f>
        <v>415.84449744429645</v>
      </c>
      <c r="AT202" s="156">
        <v>1846</v>
      </c>
      <c r="AU202" s="109">
        <f t="shared" ref="AU202:AU265" si="125">W202/AS202</f>
        <v>0.89878823869545987</v>
      </c>
      <c r="AV202" s="109">
        <f t="shared" si="102"/>
        <v>0.79998534635509577</v>
      </c>
    </row>
    <row r="203" spans="1:48" x14ac:dyDescent="0.2">
      <c r="A203" s="156">
        <v>1847</v>
      </c>
      <c r="B203" s="56">
        <v>1.4213427773911711</v>
      </c>
      <c r="C203" s="56">
        <v>2.0673708757218408</v>
      </c>
      <c r="D203" s="57">
        <v>3.0746821333333334</v>
      </c>
      <c r="E203" s="68">
        <v>13.605693496584154</v>
      </c>
      <c r="F203" s="56">
        <v>3.6031431249999999</v>
      </c>
      <c r="G203" s="55">
        <f t="shared" si="103"/>
        <v>2.5744268618672885</v>
      </c>
      <c r="H203" s="109">
        <v>10.50108434460698</v>
      </c>
      <c r="I203" s="113">
        <v>0.18704471888190094</v>
      </c>
      <c r="J203" s="55">
        <f t="shared" si="104"/>
        <v>2.7720695312500014</v>
      </c>
      <c r="K203" s="8"/>
      <c r="L203" s="14">
        <f t="shared" si="105"/>
        <v>254.42035715301964</v>
      </c>
      <c r="M203" s="14">
        <f t="shared" si="106"/>
        <v>41.347417514436813</v>
      </c>
      <c r="N203" s="14">
        <f t="shared" si="107"/>
        <v>15.373410666666667</v>
      </c>
      <c r="O203" s="14">
        <f t="shared" si="108"/>
        <v>40.817080489752463</v>
      </c>
      <c r="P203" s="14">
        <f t="shared" si="109"/>
        <v>4.6840860624999996</v>
      </c>
      <c r="Q203" s="14">
        <f t="shared" si="110"/>
        <v>7.7232805856018656</v>
      </c>
      <c r="R203" s="14">
        <f t="shared" si="111"/>
        <v>13.651409647989075</v>
      </c>
      <c r="S203" s="14">
        <f t="shared" si="112"/>
        <v>0.24315813454647123</v>
      </c>
      <c r="T203" s="14">
        <f t="shared" si="113"/>
        <v>8.3162085937500052</v>
      </c>
      <c r="V203" s="14">
        <f t="shared" si="114"/>
        <v>386.57640884826299</v>
      </c>
      <c r="W203" s="14">
        <f t="shared" si="115"/>
        <v>378.26020025451299</v>
      </c>
      <c r="X203" s="163"/>
      <c r="Y203" s="4">
        <v>1.9285303515292544</v>
      </c>
      <c r="Z203" s="4">
        <v>1.3522606016193019</v>
      </c>
      <c r="AA203" s="4">
        <v>7.3823411225399695</v>
      </c>
      <c r="AB203" s="4">
        <v>11.070037900133173</v>
      </c>
      <c r="AC203" s="4">
        <v>6.5282251932609237</v>
      </c>
      <c r="AD203" s="4">
        <v>1.2768672725752288</v>
      </c>
      <c r="AE203" s="4">
        <v>6.8029198762384251</v>
      </c>
      <c r="AF203" s="4">
        <v>11.835508162349745</v>
      </c>
      <c r="AG203" s="5"/>
      <c r="AH203" s="5"/>
      <c r="AI203" s="152">
        <f t="shared" si="116"/>
        <v>373.17062302091074</v>
      </c>
      <c r="AJ203" s="152">
        <f t="shared" si="117"/>
        <v>27.04521203238604</v>
      </c>
      <c r="AK203" s="152">
        <f t="shared" si="118"/>
        <v>36.911705612699848</v>
      </c>
      <c r="AL203" s="152">
        <f t="shared" si="119"/>
        <v>33.210113700399518</v>
      </c>
      <c r="AM203" s="152">
        <f t="shared" si="120"/>
        <v>8.4866927512392003</v>
      </c>
      <c r="AN203" s="152">
        <f t="shared" si="121"/>
        <v>3.8306018177256864</v>
      </c>
      <c r="AO203" s="152">
        <f t="shared" si="122"/>
        <v>8.8437958391099531</v>
      </c>
      <c r="AP203" s="152">
        <f t="shared" si="123"/>
        <v>15.386160611054668</v>
      </c>
      <c r="AS203" s="152">
        <f t="shared" si="124"/>
        <v>506.8849053855256</v>
      </c>
      <c r="AT203" s="156">
        <v>1847</v>
      </c>
      <c r="AU203" s="109">
        <f t="shared" si="125"/>
        <v>0.7462447514920898</v>
      </c>
      <c r="AV203" s="109">
        <f t="shared" si="102"/>
        <v>0.83693880459121461</v>
      </c>
    </row>
    <row r="204" spans="1:48" x14ac:dyDescent="0.2">
      <c r="A204" s="156">
        <v>1848</v>
      </c>
      <c r="B204" s="56">
        <v>1.2343687461513924</v>
      </c>
      <c r="C204" s="56">
        <v>1.7696014080252793</v>
      </c>
      <c r="D204" s="57">
        <v>2.6903468666666668</v>
      </c>
      <c r="E204" s="68">
        <v>9.8599129772446545</v>
      </c>
      <c r="F204" s="56">
        <v>3.6031431249999999</v>
      </c>
      <c r="G204" s="55">
        <f t="shared" si="103"/>
        <v>2.5698243371152243</v>
      </c>
      <c r="H204" s="109">
        <v>9.0083468078087474</v>
      </c>
      <c r="I204" s="113">
        <v>0.21562920023418239</v>
      </c>
      <c r="J204" s="55">
        <f t="shared" si="104"/>
        <v>2.8470225781250016</v>
      </c>
      <c r="K204" s="8"/>
      <c r="L204" s="14">
        <f t="shared" si="105"/>
        <v>220.95200556109924</v>
      </c>
      <c r="M204" s="14">
        <f t="shared" si="106"/>
        <v>35.392028160505589</v>
      </c>
      <c r="N204" s="14">
        <f t="shared" si="107"/>
        <v>13.451734333333334</v>
      </c>
      <c r="O204" s="14">
        <f t="shared" si="108"/>
        <v>29.579738931733964</v>
      </c>
      <c r="P204" s="14">
        <f t="shared" si="109"/>
        <v>4.6840860624999996</v>
      </c>
      <c r="Q204" s="14">
        <f t="shared" si="110"/>
        <v>7.7094730113456729</v>
      </c>
      <c r="R204" s="14">
        <f t="shared" si="111"/>
        <v>11.710850850151372</v>
      </c>
      <c r="S204" s="14">
        <f t="shared" si="112"/>
        <v>0.28031796030443712</v>
      </c>
      <c r="T204" s="14">
        <f t="shared" si="113"/>
        <v>8.5410677343750052</v>
      </c>
      <c r="V204" s="14">
        <f t="shared" si="114"/>
        <v>332.30130260534861</v>
      </c>
      <c r="W204" s="14">
        <f t="shared" si="115"/>
        <v>323.76023487097359</v>
      </c>
      <c r="X204" s="163"/>
      <c r="Y204" s="4">
        <v>1.3990449728596333</v>
      </c>
      <c r="Z204" s="4">
        <v>1.0732777849188151</v>
      </c>
      <c r="AA204" s="4">
        <v>7.2954102550020661</v>
      </c>
      <c r="AB204" s="4">
        <v>11.126145344177083</v>
      </c>
      <c r="AC204" s="4">
        <v>5.7962416621255493</v>
      </c>
      <c r="AD204" s="4">
        <v>1.2494247425041463</v>
      </c>
      <c r="AE204" s="4">
        <v>6.6901314202377931</v>
      </c>
      <c r="AF204" s="4">
        <v>10.800298622055172</v>
      </c>
      <c r="AG204" s="5"/>
      <c r="AH204" s="5"/>
      <c r="AI204" s="152">
        <f t="shared" si="116"/>
        <v>270.71520224833904</v>
      </c>
      <c r="AJ204" s="152">
        <f t="shared" si="117"/>
        <v>21.465555698376303</v>
      </c>
      <c r="AK204" s="152">
        <f t="shared" si="118"/>
        <v>36.477051275010332</v>
      </c>
      <c r="AL204" s="152">
        <f t="shared" si="119"/>
        <v>33.378436032531248</v>
      </c>
      <c r="AM204" s="152">
        <f t="shared" si="120"/>
        <v>7.5351141607632144</v>
      </c>
      <c r="AN204" s="152">
        <f t="shared" si="121"/>
        <v>3.7482742275124386</v>
      </c>
      <c r="AO204" s="152">
        <f t="shared" si="122"/>
        <v>8.6971708463091311</v>
      </c>
      <c r="AP204" s="152">
        <f t="shared" si="123"/>
        <v>14.040388208671724</v>
      </c>
      <c r="AS204" s="152">
        <f t="shared" si="124"/>
        <v>396.05719269751341</v>
      </c>
      <c r="AT204" s="156">
        <v>1848</v>
      </c>
      <c r="AU204" s="109">
        <f t="shared" si="125"/>
        <v>0.81745828845038493</v>
      </c>
      <c r="AV204" s="109">
        <f t="shared" si="102"/>
        <v>0.87011135784693905</v>
      </c>
    </row>
    <row r="205" spans="1:48" x14ac:dyDescent="0.2">
      <c r="A205" s="156">
        <v>1849</v>
      </c>
      <c r="B205" s="56">
        <v>1.2244479657254996</v>
      </c>
      <c r="C205" s="56">
        <v>1.4126431840888494</v>
      </c>
      <c r="D205" s="57">
        <v>2.3060116000000002</v>
      </c>
      <c r="E205" s="68">
        <v>11.315138852519459</v>
      </c>
      <c r="F205" s="56">
        <v>3.6031431249999999</v>
      </c>
      <c r="G205" s="55">
        <f t="shared" si="103"/>
        <v>2.56522181236316</v>
      </c>
      <c r="H205" s="109">
        <v>6.2669101042382591</v>
      </c>
      <c r="I205" s="113">
        <v>0.2930845467370769</v>
      </c>
      <c r="J205" s="55">
        <f t="shared" si="104"/>
        <v>2.9219756250000017</v>
      </c>
      <c r="K205" s="8"/>
      <c r="L205" s="14">
        <f t="shared" si="105"/>
        <v>219.17618586486444</v>
      </c>
      <c r="M205" s="14">
        <f t="shared" si="106"/>
        <v>28.252863681776986</v>
      </c>
      <c r="N205" s="14">
        <f t="shared" si="107"/>
        <v>11.530058</v>
      </c>
      <c r="O205" s="14">
        <f t="shared" si="108"/>
        <v>33.945416557558374</v>
      </c>
      <c r="P205" s="14">
        <f t="shared" si="109"/>
        <v>4.6840860624999996</v>
      </c>
      <c r="Q205" s="14">
        <f t="shared" si="110"/>
        <v>7.6956654370894801</v>
      </c>
      <c r="R205" s="14">
        <f t="shared" si="111"/>
        <v>8.1469831355097373</v>
      </c>
      <c r="S205" s="14">
        <f t="shared" si="112"/>
        <v>0.38100991075820001</v>
      </c>
      <c r="T205" s="14">
        <f t="shared" si="113"/>
        <v>8.7659268750000052</v>
      </c>
      <c r="V205" s="14">
        <f t="shared" si="114"/>
        <v>322.5781955250572</v>
      </c>
      <c r="W205" s="14">
        <f t="shared" si="115"/>
        <v>313.81226865005721</v>
      </c>
      <c r="X205" s="163"/>
      <c r="Y205" s="4">
        <v>1.2226635190055313</v>
      </c>
      <c r="Z205" s="4">
        <v>0.90753165316387274</v>
      </c>
      <c r="AA205" s="4">
        <v>5.8523849851385865</v>
      </c>
      <c r="AB205" s="4">
        <v>9.8937735480607873</v>
      </c>
      <c r="AC205" s="4">
        <v>5.4398232412797567</v>
      </c>
      <c r="AD205" s="4">
        <v>1.2048126637519196</v>
      </c>
      <c r="AE205" s="4">
        <v>5.9627534814808199</v>
      </c>
      <c r="AF205" s="4">
        <v>9.9985255151603347</v>
      </c>
      <c r="AG205" s="5"/>
      <c r="AH205" s="5"/>
      <c r="AI205" s="152">
        <f t="shared" si="116"/>
        <v>236.5853909275703</v>
      </c>
      <c r="AJ205" s="152">
        <f t="shared" si="117"/>
        <v>18.150633063277454</v>
      </c>
      <c r="AK205" s="152">
        <f t="shared" si="118"/>
        <v>29.261924925692931</v>
      </c>
      <c r="AL205" s="152">
        <f t="shared" si="119"/>
        <v>29.681320644182364</v>
      </c>
      <c r="AM205" s="152">
        <f t="shared" si="120"/>
        <v>7.071770213663684</v>
      </c>
      <c r="AN205" s="152">
        <f t="shared" si="121"/>
        <v>3.6144379912557589</v>
      </c>
      <c r="AO205" s="152">
        <f t="shared" si="122"/>
        <v>7.7515795259250657</v>
      </c>
      <c r="AP205" s="152">
        <f t="shared" si="123"/>
        <v>12.998083169708435</v>
      </c>
      <c r="AS205" s="152">
        <f t="shared" si="124"/>
        <v>345.11514046127598</v>
      </c>
      <c r="AT205" s="156">
        <v>1849</v>
      </c>
      <c r="AU205" s="109">
        <f t="shared" si="125"/>
        <v>0.90929730938671716</v>
      </c>
      <c r="AV205" s="109">
        <f t="shared" si="102"/>
        <v>0.85207865721802245</v>
      </c>
    </row>
    <row r="206" spans="1:48" x14ac:dyDescent="0.2">
      <c r="A206" s="156">
        <v>1850</v>
      </c>
      <c r="B206" s="56">
        <v>1.1217685356063583</v>
      </c>
      <c r="C206" s="56">
        <v>1.4287822527242733</v>
      </c>
      <c r="D206" s="56">
        <v>1.9216763333333333</v>
      </c>
      <c r="E206" s="68">
        <v>12.436971837453944</v>
      </c>
      <c r="F206" s="56">
        <v>3.6031431249999999</v>
      </c>
      <c r="G206" s="55">
        <f t="shared" si="103"/>
        <v>2.5606192876110958</v>
      </c>
      <c r="H206" s="109">
        <v>6.5271958271897326</v>
      </c>
      <c r="I206" s="113">
        <v>0.16795763837280595</v>
      </c>
      <c r="J206" s="55">
        <f t="shared" si="104"/>
        <v>2.9969286718750019</v>
      </c>
      <c r="K206" s="8"/>
      <c r="L206" s="14">
        <f t="shared" si="105"/>
        <v>200.79656787353812</v>
      </c>
      <c r="M206" s="14">
        <f t="shared" si="106"/>
        <v>28.575645054485467</v>
      </c>
      <c r="N206" s="14">
        <f t="shared" si="107"/>
        <v>9.6083816666666664</v>
      </c>
      <c r="O206" s="14">
        <f t="shared" si="108"/>
        <v>37.310915512361831</v>
      </c>
      <c r="P206" s="14">
        <f t="shared" si="109"/>
        <v>4.6840860624999996</v>
      </c>
      <c r="Q206" s="14">
        <f t="shared" si="110"/>
        <v>7.6818578628332874</v>
      </c>
      <c r="R206" s="14">
        <f t="shared" si="111"/>
        <v>8.485354575346653</v>
      </c>
      <c r="S206" s="14">
        <f t="shared" si="112"/>
        <v>0.21834492988464774</v>
      </c>
      <c r="T206" s="14">
        <f t="shared" si="113"/>
        <v>8.9907860156250052</v>
      </c>
      <c r="V206" s="14">
        <f t="shared" si="114"/>
        <v>306.35193955324172</v>
      </c>
      <c r="W206" s="14">
        <f t="shared" si="115"/>
        <v>297.3611535376167</v>
      </c>
      <c r="X206" s="163"/>
      <c r="Y206" s="4">
        <v>1.1053271884949958</v>
      </c>
      <c r="Z206" s="4">
        <v>0.82298843067656624</v>
      </c>
      <c r="AA206" s="4">
        <v>5.8623641802446009</v>
      </c>
      <c r="AB206" s="4">
        <v>8.5894982450068706</v>
      </c>
      <c r="AC206" s="4">
        <v>5.403188627929155</v>
      </c>
      <c r="AD206" s="4">
        <v>1.3419084097038894</v>
      </c>
      <c r="AE206" s="4">
        <v>5.6468115924813436</v>
      </c>
      <c r="AF206" s="4"/>
      <c r="AG206" s="5"/>
      <c r="AH206" s="5"/>
      <c r="AI206" s="152">
        <f t="shared" si="116"/>
        <v>213.88081097378168</v>
      </c>
      <c r="AJ206" s="152">
        <f t="shared" si="117"/>
        <v>16.459768613531324</v>
      </c>
      <c r="AK206" s="152">
        <f t="shared" si="118"/>
        <v>29.311820901223005</v>
      </c>
      <c r="AL206" s="152">
        <f t="shared" si="119"/>
        <v>25.76849473502061</v>
      </c>
      <c r="AM206" s="152">
        <f t="shared" si="120"/>
        <v>7.0241452163079021</v>
      </c>
      <c r="AN206" s="152">
        <f t="shared" si="121"/>
        <v>4.0257252291116679</v>
      </c>
      <c r="AO206" s="152">
        <f t="shared" si="122"/>
        <v>7.3408550702257465</v>
      </c>
      <c r="AP206" s="152">
        <f t="shared" si="123"/>
        <v>0</v>
      </c>
      <c r="AS206" s="152">
        <f t="shared" si="124"/>
        <v>303.811620739202</v>
      </c>
      <c r="AT206" s="156">
        <v>1850</v>
      </c>
      <c r="AU206" s="109">
        <f t="shared" si="125"/>
        <v>0.9787682012100436</v>
      </c>
      <c r="AV206" s="109">
        <f t="shared" si="102"/>
        <v>0.85519326592944811</v>
      </c>
    </row>
    <row r="207" spans="1:48" x14ac:dyDescent="0.2">
      <c r="A207" s="156">
        <v>1851</v>
      </c>
      <c r="B207" s="56">
        <v>0.78778528995831731</v>
      </c>
      <c r="C207" s="56">
        <v>1.3230476192377845</v>
      </c>
      <c r="D207" s="56">
        <v>1.8928511883333334</v>
      </c>
      <c r="E207" s="68">
        <v>14.171088459229265</v>
      </c>
      <c r="F207" s="56">
        <v>3.6031431249999999</v>
      </c>
      <c r="G207" s="55">
        <f t="shared" si="103"/>
        <v>2.5560167628590316</v>
      </c>
      <c r="H207" s="109">
        <v>8.0045700592982652</v>
      </c>
      <c r="I207" s="99">
        <v>0.58180399324196663</v>
      </c>
      <c r="J207" s="55">
        <f t="shared" si="104"/>
        <v>3.071881718750002</v>
      </c>
      <c r="K207" s="8"/>
      <c r="L207" s="14">
        <f t="shared" si="105"/>
        <v>141.0135669025388</v>
      </c>
      <c r="M207" s="14">
        <f t="shared" si="106"/>
        <v>26.460952384755689</v>
      </c>
      <c r="N207" s="14">
        <f t="shared" si="107"/>
        <v>9.4642559416666678</v>
      </c>
      <c r="O207" s="14">
        <f t="shared" si="108"/>
        <v>42.513265377687794</v>
      </c>
      <c r="P207" s="14">
        <f t="shared" si="109"/>
        <v>4.6840860624999996</v>
      </c>
      <c r="Q207" s="14">
        <f t="shared" si="110"/>
        <v>7.6680502885770947</v>
      </c>
      <c r="R207" s="14">
        <f t="shared" si="111"/>
        <v>10.405941077087745</v>
      </c>
      <c r="S207" s="14">
        <f t="shared" si="112"/>
        <v>0.75634519121455668</v>
      </c>
      <c r="T207" s="14">
        <f t="shared" si="113"/>
        <v>9.2156451562500052</v>
      </c>
      <c r="V207" s="14">
        <f t="shared" si="114"/>
        <v>252.18210838227833</v>
      </c>
      <c r="W207" s="14">
        <f t="shared" si="115"/>
        <v>242.96646322602834</v>
      </c>
      <c r="X207" s="163"/>
      <c r="Y207" s="4">
        <v>1.0415335860943771</v>
      </c>
      <c r="Z207" s="4">
        <v>0.78845235739641362</v>
      </c>
      <c r="AA207" s="4">
        <v>5.7017024497322168</v>
      </c>
      <c r="AB207" s="4">
        <v>9.065755311324148</v>
      </c>
      <c r="AC207" s="4">
        <v>5.1149064282423735</v>
      </c>
      <c r="AD207" s="4">
        <v>1.3499662967925885</v>
      </c>
      <c r="AE207" s="4">
        <v>5.3179341253670955</v>
      </c>
      <c r="AF207" s="4">
        <v>7.5727567683560926</v>
      </c>
      <c r="AG207" s="5"/>
      <c r="AH207" s="5"/>
      <c r="AI207" s="152">
        <f t="shared" si="116"/>
        <v>201.53674890926197</v>
      </c>
      <c r="AJ207" s="152">
        <f t="shared" si="117"/>
        <v>15.769047147928273</v>
      </c>
      <c r="AK207" s="152">
        <f t="shared" si="118"/>
        <v>28.508512248661084</v>
      </c>
      <c r="AL207" s="152">
        <f t="shared" si="119"/>
        <v>27.197265933972446</v>
      </c>
      <c r="AM207" s="152">
        <f t="shared" si="120"/>
        <v>6.6493783567150855</v>
      </c>
      <c r="AN207" s="152">
        <f t="shared" si="121"/>
        <v>4.0498988903777651</v>
      </c>
      <c r="AO207" s="152">
        <f t="shared" si="122"/>
        <v>6.913314362977224</v>
      </c>
      <c r="AP207" s="152">
        <f t="shared" si="123"/>
        <v>9.8445837988629208</v>
      </c>
      <c r="AS207" s="152">
        <f t="shared" si="124"/>
        <v>300.46874964875678</v>
      </c>
      <c r="AT207" s="156">
        <v>1851</v>
      </c>
      <c r="AU207" s="109">
        <f t="shared" si="125"/>
        <v>0.80862473555087611</v>
      </c>
      <c r="AV207" s="109">
        <f t="shared" si="102"/>
        <v>0.84102046240413098</v>
      </c>
    </row>
    <row r="208" spans="1:48" x14ac:dyDescent="0.2">
      <c r="A208" s="156">
        <v>1852</v>
      </c>
      <c r="B208" s="56">
        <v>0.70064915302981945</v>
      </c>
      <c r="C208" s="56">
        <v>1.6093974178942352</v>
      </c>
      <c r="D208" s="57">
        <v>2.3028088061111114</v>
      </c>
      <c r="E208" s="68">
        <v>17.295087000000002</v>
      </c>
      <c r="F208" s="56">
        <v>3.8433526666666666</v>
      </c>
      <c r="G208" s="113">
        <v>2.55141423810697</v>
      </c>
      <c r="H208" s="109">
        <v>7.7308396782822486</v>
      </c>
      <c r="I208" s="113">
        <v>0.38336890584858718</v>
      </c>
      <c r="J208" s="55">
        <f t="shared" si="104"/>
        <v>3.1468347656250022</v>
      </c>
      <c r="K208" s="8"/>
      <c r="L208" s="14">
        <f t="shared" si="105"/>
        <v>125.41619839233768</v>
      </c>
      <c r="M208" s="14">
        <f t="shared" si="106"/>
        <v>32.187948357884707</v>
      </c>
      <c r="N208" s="14">
        <f t="shared" si="107"/>
        <v>11.514044030555556</v>
      </c>
      <c r="O208" s="14">
        <f t="shared" si="108"/>
        <v>51.885261000000007</v>
      </c>
      <c r="P208" s="14">
        <f t="shared" si="109"/>
        <v>4.9963584666666669</v>
      </c>
      <c r="Q208" s="14">
        <f t="shared" si="110"/>
        <v>7.65424271432091</v>
      </c>
      <c r="R208" s="14">
        <f t="shared" si="111"/>
        <v>10.050091581766923</v>
      </c>
      <c r="S208" s="14">
        <f t="shared" si="112"/>
        <v>0.49837957760316337</v>
      </c>
      <c r="T208" s="14">
        <f t="shared" si="113"/>
        <v>9.440504296875007</v>
      </c>
      <c r="V208" s="14">
        <f t="shared" si="114"/>
        <v>253.64302841801066</v>
      </c>
      <c r="W208" s="14">
        <f t="shared" si="115"/>
        <v>244.20252412113564</v>
      </c>
      <c r="X208" s="163"/>
      <c r="Y208" s="4">
        <v>1.110928057205969</v>
      </c>
      <c r="Z208" s="4">
        <v>0.84296084298546614</v>
      </c>
      <c r="AA208" s="4">
        <v>6.0535406374836507</v>
      </c>
      <c r="AB208" s="4">
        <v>9.1589971111503665</v>
      </c>
      <c r="AC208" s="4">
        <v>5.4380559246181503</v>
      </c>
      <c r="AD208" s="4">
        <v>1.2314115972152737</v>
      </c>
      <c r="AE208" s="4">
        <v>5.4927301676085927</v>
      </c>
      <c r="AF208" s="4">
        <v>10.061272984785974</v>
      </c>
      <c r="AG208" s="5"/>
      <c r="AH208" s="5"/>
      <c r="AI208" s="152">
        <f t="shared" si="116"/>
        <v>214.96457906935501</v>
      </c>
      <c r="AJ208" s="152">
        <f t="shared" si="117"/>
        <v>16.859216859709324</v>
      </c>
      <c r="AK208" s="152">
        <f t="shared" si="118"/>
        <v>30.267703187418252</v>
      </c>
      <c r="AL208" s="152">
        <f t="shared" si="119"/>
        <v>27.4769913334511</v>
      </c>
      <c r="AM208" s="152">
        <f t="shared" si="120"/>
        <v>7.0694727020035959</v>
      </c>
      <c r="AN208" s="152">
        <f t="shared" si="121"/>
        <v>3.6942347916458211</v>
      </c>
      <c r="AO208" s="152">
        <f t="shared" si="122"/>
        <v>7.1405492178911709</v>
      </c>
      <c r="AP208" s="152">
        <f t="shared" si="123"/>
        <v>13.079654880221767</v>
      </c>
      <c r="AS208" s="152">
        <f t="shared" si="124"/>
        <v>320.55240204169615</v>
      </c>
      <c r="AT208" s="156">
        <v>1852</v>
      </c>
      <c r="AU208" s="109">
        <f t="shared" si="125"/>
        <v>0.76181779504921876</v>
      </c>
      <c r="AV208" s="109">
        <f t="shared" si="102"/>
        <v>0.81378368171428206</v>
      </c>
    </row>
    <row r="209" spans="1:58" x14ac:dyDescent="0.2">
      <c r="A209" s="156">
        <v>1853</v>
      </c>
      <c r="B209" s="56">
        <v>0.83101068953220514</v>
      </c>
      <c r="C209" s="56">
        <v>2.2058309396709959</v>
      </c>
      <c r="D209" s="57">
        <v>2.7127664238888891</v>
      </c>
      <c r="E209" s="68">
        <v>19.216763333333336</v>
      </c>
      <c r="F209" s="56">
        <v>4.8041908333333323</v>
      </c>
      <c r="G209" s="113">
        <v>2.4707032402177416</v>
      </c>
      <c r="H209" s="109">
        <v>8.6421986287813226</v>
      </c>
      <c r="I209" s="113">
        <v>0.29398549400595247</v>
      </c>
      <c r="J209" s="55">
        <f t="shared" si="104"/>
        <v>3.2217878125000023</v>
      </c>
      <c r="K209" s="8"/>
      <c r="L209" s="14">
        <f t="shared" si="105"/>
        <v>148.75091342626473</v>
      </c>
      <c r="M209" s="14">
        <f t="shared" si="106"/>
        <v>44.116618793419917</v>
      </c>
      <c r="N209" s="14">
        <f t="shared" si="107"/>
        <v>13.563832119444445</v>
      </c>
      <c r="O209" s="14">
        <f t="shared" si="108"/>
        <v>57.650290000000012</v>
      </c>
      <c r="P209" s="14">
        <f t="shared" si="109"/>
        <v>6.2454480833333319</v>
      </c>
      <c r="Q209" s="14">
        <f t="shared" si="110"/>
        <v>7.4121097206532252</v>
      </c>
      <c r="R209" s="14">
        <f t="shared" si="111"/>
        <v>11.23485821741572</v>
      </c>
      <c r="S209" s="14">
        <f t="shared" si="112"/>
        <v>0.38218114220773824</v>
      </c>
      <c r="T209" s="14">
        <f t="shared" si="113"/>
        <v>9.665363437500007</v>
      </c>
      <c r="V209" s="14">
        <f t="shared" si="114"/>
        <v>299.02161494023909</v>
      </c>
      <c r="W209" s="14">
        <f t="shared" si="115"/>
        <v>289.3562515027391</v>
      </c>
      <c r="X209" s="163"/>
      <c r="Y209" s="4">
        <v>1.4289457782621786</v>
      </c>
      <c r="Z209" s="4">
        <v>0.82325311756174291</v>
      </c>
      <c r="AA209" s="4">
        <v>7.1325765101481151</v>
      </c>
      <c r="AB209" s="4">
        <v>9.4295831201201707</v>
      </c>
      <c r="AC209" s="4">
        <v>5.8670023531316176</v>
      </c>
      <c r="AD209" s="4">
        <v>1.2249075260214868</v>
      </c>
      <c r="AE209" s="4">
        <v>6.2629957880058917</v>
      </c>
      <c r="AF209" s="4">
        <v>8.6206535247084108</v>
      </c>
      <c r="AG209" s="5"/>
      <c r="AH209" s="5"/>
      <c r="AI209" s="152">
        <f t="shared" si="116"/>
        <v>276.50100809373157</v>
      </c>
      <c r="AJ209" s="152">
        <f t="shared" si="117"/>
        <v>16.46506235123486</v>
      </c>
      <c r="AK209" s="152">
        <f t="shared" si="118"/>
        <v>35.662882550740576</v>
      </c>
      <c r="AL209" s="152">
        <f t="shared" si="119"/>
        <v>28.288749360360512</v>
      </c>
      <c r="AM209" s="152">
        <f t="shared" si="120"/>
        <v>7.6271030590711026</v>
      </c>
      <c r="AN209" s="152">
        <f t="shared" si="121"/>
        <v>3.6747225780644603</v>
      </c>
      <c r="AO209" s="152">
        <f t="shared" si="122"/>
        <v>8.1418945244076593</v>
      </c>
      <c r="AP209" s="152">
        <f t="shared" si="123"/>
        <v>11.206849582120935</v>
      </c>
      <c r="AS209" s="152">
        <f t="shared" si="124"/>
        <v>387.56827209973159</v>
      </c>
      <c r="AT209" s="156">
        <v>1853</v>
      </c>
      <c r="AU209" s="109">
        <f t="shared" si="125"/>
        <v>0.7465942708237997</v>
      </c>
      <c r="AV209" s="109">
        <f t="shared" si="102"/>
        <v>0.76072218002747349</v>
      </c>
    </row>
    <row r="210" spans="1:58" x14ac:dyDescent="0.2">
      <c r="A210" s="156">
        <v>1854</v>
      </c>
      <c r="B210" s="56">
        <v>1.5693933091803416</v>
      </c>
      <c r="C210" s="68">
        <v>1.4092511347741843</v>
      </c>
      <c r="D210" s="56">
        <v>3.1227240416666668</v>
      </c>
      <c r="E210" s="68">
        <v>12.250686625000002</v>
      </c>
      <c r="F210" s="56">
        <v>6.2454480833333337</v>
      </c>
      <c r="G210" s="113">
        <v>2.5886605590222649</v>
      </c>
      <c r="H210" s="109">
        <v>8.43017355409836</v>
      </c>
      <c r="I210" s="99">
        <v>0.619427342182295</v>
      </c>
      <c r="J210" s="55">
        <f t="shared" si="104"/>
        <v>3.2967408593750025</v>
      </c>
      <c r="K210" s="8"/>
      <c r="L210" s="14">
        <f t="shared" si="105"/>
        <v>280.92140234328116</v>
      </c>
      <c r="M210" s="14">
        <f t="shared" si="106"/>
        <v>28.185022695483685</v>
      </c>
      <c r="N210" s="14">
        <f t="shared" si="107"/>
        <v>15.613620208333334</v>
      </c>
      <c r="O210" s="14">
        <f t="shared" si="108"/>
        <v>36.752059875000008</v>
      </c>
      <c r="P210" s="14">
        <f t="shared" si="109"/>
        <v>8.1190825083333333</v>
      </c>
      <c r="Q210" s="14">
        <f t="shared" si="110"/>
        <v>7.7659816770667947</v>
      </c>
      <c r="R210" s="14">
        <f t="shared" si="111"/>
        <v>10.959225620327869</v>
      </c>
      <c r="S210" s="14">
        <f t="shared" si="112"/>
        <v>0.80525554483698358</v>
      </c>
      <c r="T210" s="14">
        <f t="shared" si="113"/>
        <v>9.890222578125007</v>
      </c>
      <c r="V210" s="14">
        <f t="shared" si="114"/>
        <v>399.01187305078815</v>
      </c>
      <c r="W210" s="14">
        <f t="shared" si="115"/>
        <v>389.12165047266313</v>
      </c>
      <c r="X210" s="163"/>
      <c r="Y210" s="4">
        <v>1.9444032998359118</v>
      </c>
      <c r="Z210" s="4">
        <v>1.2274337626547109</v>
      </c>
      <c r="AA210" s="4">
        <v>7.5300728764569076</v>
      </c>
      <c r="AB210" s="4">
        <v>10.729372528821628</v>
      </c>
      <c r="AC210" s="4">
        <v>5.8672674824487059</v>
      </c>
      <c r="AD210" s="4">
        <v>1.170112082319446</v>
      </c>
      <c r="AE210" s="4">
        <v>6.9840977862945248</v>
      </c>
      <c r="AF210" s="4">
        <v>9.5933685681046423</v>
      </c>
      <c r="AG210" s="5"/>
      <c r="AH210" s="5"/>
      <c r="AI210" s="152">
        <f t="shared" si="116"/>
        <v>376.24203851824893</v>
      </c>
      <c r="AJ210" s="152">
        <f t="shared" si="117"/>
        <v>24.548675253094217</v>
      </c>
      <c r="AK210" s="152">
        <f t="shared" si="118"/>
        <v>37.650364382284536</v>
      </c>
      <c r="AL210" s="152">
        <f t="shared" si="119"/>
        <v>32.188117586464884</v>
      </c>
      <c r="AM210" s="152">
        <f t="shared" si="120"/>
        <v>7.6274477271833181</v>
      </c>
      <c r="AN210" s="152">
        <f t="shared" si="121"/>
        <v>3.5103362469583379</v>
      </c>
      <c r="AO210" s="152">
        <f t="shared" si="122"/>
        <v>9.0793271221828817</v>
      </c>
      <c r="AP210" s="152">
        <f t="shared" si="123"/>
        <v>12.471379138536035</v>
      </c>
      <c r="AS210" s="152">
        <f t="shared" si="124"/>
        <v>503.31768597495306</v>
      </c>
      <c r="AT210" s="156">
        <v>1854</v>
      </c>
      <c r="AU210" s="109">
        <f t="shared" si="125"/>
        <v>0.77311340593747235</v>
      </c>
      <c r="AV210" s="109">
        <f t="shared" si="102"/>
        <v>0.77536892482327036</v>
      </c>
    </row>
    <row r="211" spans="1:58" x14ac:dyDescent="0.2">
      <c r="A211" s="156">
        <v>1855</v>
      </c>
      <c r="B211" s="56">
        <v>1.4412795696554155</v>
      </c>
      <c r="C211" s="68">
        <v>1.3612084824523369</v>
      </c>
      <c r="D211" s="56">
        <v>2.8825145000000005</v>
      </c>
      <c r="E211" s="68">
        <v>13.451734333333334</v>
      </c>
      <c r="F211" s="56">
        <v>6.7258671666666672</v>
      </c>
      <c r="G211" s="113">
        <v>2.217941441955412</v>
      </c>
      <c r="H211" s="109">
        <v>9.3019686504751853</v>
      </c>
      <c r="I211" s="99">
        <v>0.69649402870200638</v>
      </c>
      <c r="J211" s="55">
        <f t="shared" si="104"/>
        <v>3.3716939062500026</v>
      </c>
      <c r="K211" s="8"/>
      <c r="L211" s="14">
        <f t="shared" si="105"/>
        <v>257.98904296831938</v>
      </c>
      <c r="M211" s="14">
        <f t="shared" si="106"/>
        <v>27.22416964904674</v>
      </c>
      <c r="N211" s="14">
        <f t="shared" si="107"/>
        <v>14.412572500000003</v>
      </c>
      <c r="O211" s="14">
        <f t="shared" si="108"/>
        <v>40.355203000000003</v>
      </c>
      <c r="P211" s="14">
        <f t="shared" si="109"/>
        <v>8.743627316666668</v>
      </c>
      <c r="Q211" s="14">
        <f t="shared" si="110"/>
        <v>6.6538243258662355</v>
      </c>
      <c r="R211" s="14">
        <f t="shared" si="111"/>
        <v>12.092559245617741</v>
      </c>
      <c r="S211" s="14">
        <f t="shared" si="112"/>
        <v>0.90544223731260831</v>
      </c>
      <c r="T211" s="14">
        <f t="shared" si="113"/>
        <v>10.115081718750009</v>
      </c>
      <c r="V211" s="14">
        <f t="shared" si="114"/>
        <v>378.49152296157945</v>
      </c>
      <c r="W211" s="14">
        <f t="shared" si="115"/>
        <v>368.37644124282946</v>
      </c>
      <c r="X211" s="163"/>
      <c r="Y211" s="4">
        <v>2.0081204360045537</v>
      </c>
      <c r="Z211" s="4">
        <v>1.212826581208259</v>
      </c>
      <c r="AA211" s="4">
        <v>7.7285383345282828</v>
      </c>
      <c r="AB211" s="4">
        <v>11.307645745455458</v>
      </c>
      <c r="AC211" s="4">
        <v>5.2533504539087774</v>
      </c>
      <c r="AD211" s="4">
        <v>1.0711636446423733</v>
      </c>
      <c r="AE211" s="4">
        <v>7.1238467595758435</v>
      </c>
      <c r="AF211" s="4">
        <v>8.9431342988924314</v>
      </c>
      <c r="AG211" s="5"/>
      <c r="AH211" s="5"/>
      <c r="AI211" s="152">
        <f t="shared" si="116"/>
        <v>388.57130436688112</v>
      </c>
      <c r="AJ211" s="152">
        <f t="shared" si="117"/>
        <v>24.256531624165181</v>
      </c>
      <c r="AK211" s="152">
        <f t="shared" si="118"/>
        <v>38.642691672641412</v>
      </c>
      <c r="AL211" s="152">
        <f t="shared" si="119"/>
        <v>33.922937236366373</v>
      </c>
      <c r="AM211" s="152">
        <f t="shared" si="120"/>
        <v>6.8293555900814109</v>
      </c>
      <c r="AN211" s="152">
        <f t="shared" si="121"/>
        <v>3.2134909339271198</v>
      </c>
      <c r="AO211" s="152">
        <f t="shared" si="122"/>
        <v>9.2610007874485962</v>
      </c>
      <c r="AP211" s="152">
        <f t="shared" si="123"/>
        <v>11.626074588560162</v>
      </c>
      <c r="AS211" s="152">
        <f t="shared" si="124"/>
        <v>516.32338680007138</v>
      </c>
      <c r="AT211" s="156">
        <v>1855</v>
      </c>
      <c r="AU211" s="109">
        <f t="shared" si="125"/>
        <v>0.71346069277599988</v>
      </c>
      <c r="AV211" s="109">
        <f t="shared" si="102"/>
        <v>0.84415656675064521</v>
      </c>
    </row>
    <row r="212" spans="1:58" x14ac:dyDescent="0.2">
      <c r="A212" s="156">
        <v>1856</v>
      </c>
      <c r="B212" s="56">
        <v>1.7295354835864989</v>
      </c>
      <c r="C212" s="68">
        <v>1.4893222219772626</v>
      </c>
      <c r="D212" s="56">
        <v>3.1227240416666668</v>
      </c>
      <c r="E212" s="68">
        <v>14.892991583333336</v>
      </c>
      <c r="F212" s="56">
        <v>6.9660767083333335</v>
      </c>
      <c r="G212" s="55">
        <f>G211+($G$213-$G$211)/2</f>
        <v>1.8655661955383236</v>
      </c>
      <c r="H212" s="55">
        <f>H211+($H$213-$H$211)/2</f>
        <v>10.288429334147345</v>
      </c>
      <c r="I212" s="55">
        <f>I211+($I$213-$I$211)/2</f>
        <v>0.51282655393108745</v>
      </c>
      <c r="J212" s="55">
        <f t="shared" si="104"/>
        <v>3.4466469531250028</v>
      </c>
      <c r="K212" s="8"/>
      <c r="L212" s="14">
        <f t="shared" si="105"/>
        <v>309.58685156198328</v>
      </c>
      <c r="M212" s="14">
        <f t="shared" si="106"/>
        <v>29.786444439545253</v>
      </c>
      <c r="N212" s="14">
        <f t="shared" si="107"/>
        <v>15.613620208333334</v>
      </c>
      <c r="O212" s="14">
        <f t="shared" si="108"/>
        <v>44.678974750000009</v>
      </c>
      <c r="P212" s="14">
        <f t="shared" si="109"/>
        <v>9.0558997208333345</v>
      </c>
      <c r="Q212" s="14">
        <f t="shared" si="110"/>
        <v>5.5966985866149708</v>
      </c>
      <c r="R212" s="14">
        <f t="shared" si="111"/>
        <v>13.37495813439155</v>
      </c>
      <c r="S212" s="14">
        <f t="shared" si="112"/>
        <v>0.66667452011041373</v>
      </c>
      <c r="T212" s="14">
        <f t="shared" si="113"/>
        <v>10.339940859375009</v>
      </c>
      <c r="V212" s="14">
        <f t="shared" si="114"/>
        <v>438.70006278118717</v>
      </c>
      <c r="W212" s="14">
        <f t="shared" si="115"/>
        <v>428.36012192181215</v>
      </c>
      <c r="X212" s="163"/>
      <c r="Y212" s="4">
        <v>1.8616723154703303</v>
      </c>
      <c r="Z212" s="4">
        <v>1.1265249770335404</v>
      </c>
      <c r="AA212" s="4">
        <v>7.755441722804969</v>
      </c>
      <c r="AB212" s="4">
        <v>11.679896447445545</v>
      </c>
      <c r="AC212" s="4">
        <v>4.9093279305483692</v>
      </c>
      <c r="AD212" s="4">
        <v>1.2466034038694538</v>
      </c>
      <c r="AE212" s="4">
        <v>7.6978560478802942</v>
      </c>
      <c r="AF212" s="4">
        <v>6.9514489541548601</v>
      </c>
      <c r="AG212" s="5"/>
      <c r="AH212" s="5"/>
      <c r="AI212" s="152">
        <f t="shared" si="116"/>
        <v>360.2335930435089</v>
      </c>
      <c r="AJ212" s="152">
        <f t="shared" si="117"/>
        <v>22.530499540670807</v>
      </c>
      <c r="AK212" s="152">
        <f t="shared" si="118"/>
        <v>38.777208614024843</v>
      </c>
      <c r="AL212" s="152">
        <f t="shared" si="119"/>
        <v>35.039689342336636</v>
      </c>
      <c r="AM212" s="152">
        <f t="shared" si="120"/>
        <v>6.3821263097128806</v>
      </c>
      <c r="AN212" s="152">
        <f t="shared" si="121"/>
        <v>3.7398102116083614</v>
      </c>
      <c r="AO212" s="152">
        <f t="shared" si="122"/>
        <v>10.007212862244383</v>
      </c>
      <c r="AP212" s="152">
        <f t="shared" si="123"/>
        <v>9.0368836404013191</v>
      </c>
      <c r="AS212" s="152">
        <f t="shared" si="124"/>
        <v>485.74702356450814</v>
      </c>
      <c r="AT212" s="156">
        <v>1856</v>
      </c>
      <c r="AU212" s="109">
        <f t="shared" si="125"/>
        <v>0.88185845952986086</v>
      </c>
      <c r="AV212" s="109">
        <f t="shared" si="102"/>
        <v>0.97058226000958003</v>
      </c>
    </row>
    <row r="213" spans="1:58" x14ac:dyDescent="0.2">
      <c r="A213" s="156">
        <v>1857</v>
      </c>
      <c r="B213" s="56">
        <v>1.798930425829167</v>
      </c>
      <c r="C213" s="43">
        <v>1.6361192151829069</v>
      </c>
      <c r="D213" s="56">
        <v>3.3629335833333336</v>
      </c>
      <c r="E213" s="68">
        <v>15.133201125000001</v>
      </c>
      <c r="F213" s="56">
        <v>11.770267541666668</v>
      </c>
      <c r="G213" s="113">
        <v>1.5131909491212352</v>
      </c>
      <c r="H213" s="109">
        <v>11.274890017819505</v>
      </c>
      <c r="I213" s="113">
        <v>0.32915907916016846</v>
      </c>
      <c r="J213" s="109">
        <v>3.5215999999999998</v>
      </c>
      <c r="K213" s="8"/>
      <c r="L213" s="14">
        <f t="shared" si="105"/>
        <v>322.00854622342086</v>
      </c>
      <c r="M213" s="14">
        <f t="shared" si="106"/>
        <v>32.722384303658139</v>
      </c>
      <c r="N213" s="14">
        <f t="shared" si="107"/>
        <v>16.814667916666668</v>
      </c>
      <c r="O213" s="14">
        <f t="shared" si="108"/>
        <v>45.399603375000005</v>
      </c>
      <c r="P213" s="14">
        <f t="shared" si="109"/>
        <v>15.301347804166669</v>
      </c>
      <c r="Q213" s="14">
        <f t="shared" si="110"/>
        <v>4.539572847363706</v>
      </c>
      <c r="R213" s="14">
        <f t="shared" si="111"/>
        <v>14.657357023165357</v>
      </c>
      <c r="S213" s="14">
        <f t="shared" si="112"/>
        <v>0.42790680290821903</v>
      </c>
      <c r="T213" s="14">
        <f t="shared" si="113"/>
        <v>10.5648</v>
      </c>
      <c r="V213" s="14">
        <f t="shared" si="114"/>
        <v>462.43618629634966</v>
      </c>
      <c r="W213" s="14">
        <f t="shared" si="115"/>
        <v>451.87138629634967</v>
      </c>
      <c r="X213" s="163"/>
      <c r="Y213" s="4">
        <v>1.5049186874620588</v>
      </c>
      <c r="Z213" s="4">
        <v>1.1377064424509689</v>
      </c>
      <c r="AA213" s="4">
        <v>7.7598301425208822</v>
      </c>
      <c r="AB213" s="4">
        <v>12.212021090671165</v>
      </c>
      <c r="AC213" s="4">
        <v>4.9884475299046924</v>
      </c>
      <c r="AD213" s="4">
        <v>1.1879264001285197</v>
      </c>
      <c r="AE213" s="4">
        <v>7.0876337852761884</v>
      </c>
      <c r="AF213" s="4"/>
      <c r="AG213" s="5"/>
      <c r="AH213" s="5"/>
      <c r="AI213" s="152">
        <f t="shared" si="116"/>
        <v>291.20176602390836</v>
      </c>
      <c r="AJ213" s="152">
        <f t="shared" si="117"/>
        <v>22.754128849019377</v>
      </c>
      <c r="AK213" s="152">
        <f t="shared" si="118"/>
        <v>38.799150712604408</v>
      </c>
      <c r="AL213" s="152">
        <f t="shared" si="119"/>
        <v>36.636063272013494</v>
      </c>
      <c r="AM213" s="152">
        <f t="shared" si="120"/>
        <v>6.4849817888761008</v>
      </c>
      <c r="AN213" s="152">
        <f t="shared" si="121"/>
        <v>3.5637792003855591</v>
      </c>
      <c r="AO213" s="152">
        <f t="shared" si="122"/>
        <v>9.2139239208590453</v>
      </c>
      <c r="AP213" s="152">
        <f t="shared" si="123"/>
        <v>0</v>
      </c>
      <c r="AS213" s="152">
        <f t="shared" si="124"/>
        <v>408.65379376766629</v>
      </c>
      <c r="AT213" s="156">
        <v>1857</v>
      </c>
      <c r="AU213" s="109">
        <f t="shared" si="125"/>
        <v>1.1057560046860939</v>
      </c>
      <c r="AV213" s="109">
        <f t="shared" si="102"/>
        <v>1.096161521639011</v>
      </c>
    </row>
    <row r="214" spans="1:58" x14ac:dyDescent="0.2">
      <c r="A214" s="156">
        <v>1858</v>
      </c>
      <c r="B214" s="56">
        <v>1.8683253680718352</v>
      </c>
      <c r="C214" s="43">
        <v>1.7829162083885512</v>
      </c>
      <c r="D214" s="57">
        <v>4.8041908333333332</v>
      </c>
      <c r="E214" s="43">
        <v>15.493515437500001</v>
      </c>
      <c r="F214" s="57">
        <f>F213+($F$215-$F$213)/2</f>
        <v>10.569219833333333</v>
      </c>
      <c r="G214" s="55">
        <f>G213+($G$215-$G$213)/2</f>
        <v>1.6902424734945194</v>
      </c>
      <c r="H214" s="55">
        <f>H213+($H$216-$H$213)/3</f>
        <v>10.602982913961599</v>
      </c>
      <c r="I214" s="55">
        <f>I213+($I$216-$I$213)/3</f>
        <v>0.45034289065082139</v>
      </c>
      <c r="J214" s="109">
        <v>5.1188000000000002</v>
      </c>
      <c r="K214" s="8"/>
      <c r="L214" s="14">
        <f t="shared" si="105"/>
        <v>334.43024088485851</v>
      </c>
      <c r="M214" s="14">
        <f t="shared" si="106"/>
        <v>35.658324167771028</v>
      </c>
      <c r="N214" s="14">
        <f t="shared" si="107"/>
        <v>24.020954166666666</v>
      </c>
      <c r="O214" s="14">
        <f t="shared" si="108"/>
        <v>46.480546312500003</v>
      </c>
      <c r="P214" s="14">
        <f t="shared" si="109"/>
        <v>13.739985783333333</v>
      </c>
      <c r="Q214" s="14">
        <f t="shared" si="110"/>
        <v>5.070727420483558</v>
      </c>
      <c r="R214" s="14">
        <f t="shared" si="111"/>
        <v>13.783877788150079</v>
      </c>
      <c r="S214" s="14">
        <f t="shared" si="112"/>
        <v>0.58544575784606778</v>
      </c>
      <c r="T214" s="14">
        <f t="shared" si="113"/>
        <v>15.356400000000001</v>
      </c>
      <c r="V214" s="14">
        <f t="shared" si="114"/>
        <v>489.12650228160919</v>
      </c>
      <c r="W214" s="14">
        <f t="shared" si="115"/>
        <v>473.77010228160918</v>
      </c>
      <c r="X214" s="163"/>
      <c r="Y214" s="4">
        <v>1.1870166509461821</v>
      </c>
      <c r="Z214" s="4">
        <v>1.1001126878453893</v>
      </c>
      <c r="AA214" s="4">
        <v>7.4128628921895503</v>
      </c>
      <c r="AB214" s="4">
        <v>11.888625191483158</v>
      </c>
      <c r="AC214" s="4">
        <v>5.0137794900174901</v>
      </c>
      <c r="AD214" s="4">
        <v>1.2396741230372028</v>
      </c>
      <c r="AE214" s="4">
        <v>6.9020110103379064</v>
      </c>
      <c r="AF214" s="4"/>
      <c r="AG214" s="5"/>
      <c r="AH214" s="5"/>
      <c r="AI214" s="152">
        <f t="shared" si="116"/>
        <v>229.68772195808626</v>
      </c>
      <c r="AJ214" s="152">
        <f t="shared" si="117"/>
        <v>22.002253756907784</v>
      </c>
      <c r="AK214" s="152">
        <f t="shared" si="118"/>
        <v>37.064314460947749</v>
      </c>
      <c r="AL214" s="152">
        <f t="shared" si="119"/>
        <v>35.665875574449473</v>
      </c>
      <c r="AM214" s="152">
        <f t="shared" si="120"/>
        <v>6.5179133370227378</v>
      </c>
      <c r="AN214" s="152">
        <f t="shared" si="121"/>
        <v>3.7190223691116087</v>
      </c>
      <c r="AO214" s="152">
        <f t="shared" si="122"/>
        <v>8.9726143134392782</v>
      </c>
      <c r="AP214" s="152">
        <f t="shared" si="123"/>
        <v>0</v>
      </c>
      <c r="AS214" s="152">
        <f t="shared" si="124"/>
        <v>343.62971576996483</v>
      </c>
      <c r="AT214" s="156">
        <v>1858</v>
      </c>
      <c r="AU214" s="109">
        <f t="shared" si="125"/>
        <v>1.378722737118474</v>
      </c>
      <c r="AV214" s="109">
        <f t="shared" si="102"/>
        <v>1.1855250507277826</v>
      </c>
      <c r="AY214" t="s">
        <v>1056</v>
      </c>
    </row>
    <row r="215" spans="1:58" x14ac:dyDescent="0.2">
      <c r="A215" s="156">
        <v>1859</v>
      </c>
      <c r="B215" s="56">
        <v>1.9377203103145033</v>
      </c>
      <c r="C215" s="68">
        <v>1.9297132015941953</v>
      </c>
      <c r="D215" s="56">
        <v>6.2454480833333337</v>
      </c>
      <c r="E215" s="68">
        <v>15.853829750000001</v>
      </c>
      <c r="F215" s="56">
        <v>9.3681721249999992</v>
      </c>
      <c r="G215" s="113">
        <v>1.8672939978678036</v>
      </c>
      <c r="H215" s="55">
        <f>H214+($H$216-$H$213)/3</f>
        <v>9.9310758101036924</v>
      </c>
      <c r="I215" s="55">
        <f>I214+($I$216-$I$213)/3</f>
        <v>0.57152670214147439</v>
      </c>
      <c r="J215" s="109">
        <v>4.3322000000000003</v>
      </c>
      <c r="K215" s="8"/>
      <c r="L215" s="14">
        <f t="shared" si="105"/>
        <v>346.85193554629609</v>
      </c>
      <c r="M215" s="14">
        <f t="shared" si="106"/>
        <v>38.59426403188391</v>
      </c>
      <c r="N215" s="14">
        <f t="shared" si="107"/>
        <v>31.227240416666667</v>
      </c>
      <c r="O215" s="14">
        <f t="shared" si="108"/>
        <v>47.561489250000001</v>
      </c>
      <c r="P215" s="14">
        <f t="shared" si="109"/>
        <v>12.178623762499999</v>
      </c>
      <c r="Q215" s="14">
        <f t="shared" si="110"/>
        <v>5.6018819936034108</v>
      </c>
      <c r="R215" s="14">
        <f t="shared" si="111"/>
        <v>12.910398553134801</v>
      </c>
      <c r="S215" s="14">
        <f t="shared" si="112"/>
        <v>0.74298471278391676</v>
      </c>
      <c r="T215" s="14">
        <f t="shared" si="113"/>
        <v>12.996600000000001</v>
      </c>
      <c r="V215" s="14">
        <f t="shared" si="114"/>
        <v>508.66541826686887</v>
      </c>
      <c r="W215" s="14">
        <f t="shared" si="115"/>
        <v>495.66881826686887</v>
      </c>
      <c r="X215" s="167" t="s">
        <v>1057</v>
      </c>
      <c r="Y215" s="4">
        <v>1.1619284962026812</v>
      </c>
      <c r="Z215" s="4">
        <v>1.0912224659527832</v>
      </c>
      <c r="AA215" s="4">
        <v>7.7298673192118219</v>
      </c>
      <c r="AB215" s="4">
        <v>11.443215880299666</v>
      </c>
      <c r="AC215" s="4">
        <v>4.8267916778210376</v>
      </c>
      <c r="AD215" s="4">
        <v>1.3796716267414106</v>
      </c>
      <c r="AE215" s="4">
        <v>6.3836421096342209</v>
      </c>
      <c r="AF215" s="4">
        <v>11.880626684520108</v>
      </c>
      <c r="AG215" s="5"/>
      <c r="AH215" s="5"/>
      <c r="AI215" s="152">
        <f t="shared" si="116"/>
        <v>224.83316401521881</v>
      </c>
      <c r="AJ215" s="152">
        <f t="shared" si="117"/>
        <v>21.824449319055663</v>
      </c>
      <c r="AK215" s="152">
        <f t="shared" si="118"/>
        <v>38.649336596059108</v>
      </c>
      <c r="AL215" s="152">
        <f t="shared" si="119"/>
        <v>34.329647640898997</v>
      </c>
      <c r="AM215" s="152">
        <f t="shared" si="120"/>
        <v>6.2748291811673491</v>
      </c>
      <c r="AN215" s="152">
        <f t="shared" si="121"/>
        <v>4.1390148802242317</v>
      </c>
      <c r="AO215" s="152">
        <f t="shared" si="122"/>
        <v>8.2987347425244877</v>
      </c>
      <c r="AP215" s="152">
        <f t="shared" si="123"/>
        <v>15.444814689876141</v>
      </c>
      <c r="AR215" t="s">
        <v>1057</v>
      </c>
      <c r="AS215" s="152">
        <f t="shared" si="124"/>
        <v>353.79399106502478</v>
      </c>
      <c r="AT215" s="156">
        <v>1859</v>
      </c>
      <c r="AU215" s="109">
        <f t="shared" si="125"/>
        <v>1.4010097140846254</v>
      </c>
      <c r="AV215" s="109">
        <f t="shared" si="102"/>
        <v>1.2414294728309525</v>
      </c>
    </row>
    <row r="216" spans="1:58" x14ac:dyDescent="0.2">
      <c r="A216" s="156">
        <v>1860</v>
      </c>
      <c r="B216" s="56">
        <v>1.8256207882301934</v>
      </c>
      <c r="C216" s="68">
        <v>1.9857629626363507</v>
      </c>
      <c r="D216" s="56">
        <v>6.0052385416666674</v>
      </c>
      <c r="E216" s="68">
        <v>16.574458374999999</v>
      </c>
      <c r="F216" s="57">
        <f>F215+($F$217-$F$215)/2</f>
        <v>9.0078578124999993</v>
      </c>
      <c r="G216" s="113">
        <v>1.9429799451510692</v>
      </c>
      <c r="H216" s="109">
        <v>9.2591687062457844</v>
      </c>
      <c r="I216" s="99">
        <v>0.69271051363212732</v>
      </c>
      <c r="J216" s="109">
        <v>5.2521000000000004</v>
      </c>
      <c r="K216" s="8"/>
      <c r="L216" s="14">
        <f t="shared" si="105"/>
        <v>326.7861210932046</v>
      </c>
      <c r="M216" s="14">
        <f t="shared" si="106"/>
        <v>39.715259252727016</v>
      </c>
      <c r="N216" s="14">
        <f t="shared" si="107"/>
        <v>30.026192708333337</v>
      </c>
      <c r="O216" s="14">
        <f t="shared" si="108"/>
        <v>49.723375124999997</v>
      </c>
      <c r="P216" s="14">
        <f t="shared" si="109"/>
        <v>11.710215156249999</v>
      </c>
      <c r="Q216" s="14">
        <f t="shared" si="110"/>
        <v>5.8289398354532072</v>
      </c>
      <c r="R216" s="14">
        <f t="shared" si="111"/>
        <v>12.036919318119519</v>
      </c>
      <c r="S216" s="14">
        <f t="shared" si="112"/>
        <v>0.90052366772176551</v>
      </c>
      <c r="T216" s="14">
        <f t="shared" si="113"/>
        <v>15.756300000000001</v>
      </c>
      <c r="V216" s="14">
        <f t="shared" si="114"/>
        <v>492.48384615680948</v>
      </c>
      <c r="W216" s="14">
        <f t="shared" si="115"/>
        <v>476.72754615680947</v>
      </c>
      <c r="X216" s="167" t="s">
        <v>1058</v>
      </c>
      <c r="Y216" s="4">
        <v>1.4250537080490129</v>
      </c>
      <c r="Z216" s="4">
        <v>1.1221999251523651</v>
      </c>
      <c r="AA216" s="4">
        <v>8.062599954461561</v>
      </c>
      <c r="AB216" s="4">
        <v>12.343559589336632</v>
      </c>
      <c r="AC216" s="4">
        <v>5.3951498794306625</v>
      </c>
      <c r="AD216" s="4">
        <v>1.3623918941442068</v>
      </c>
      <c r="AE216" s="4">
        <v>7.2132252364822369</v>
      </c>
      <c r="AF216" s="4">
        <v>11.430616864041422</v>
      </c>
      <c r="AG216" s="5"/>
      <c r="AH216" s="5"/>
      <c r="AI216" s="152">
        <f t="shared" si="116"/>
        <v>275.74789250748398</v>
      </c>
      <c r="AJ216" s="152">
        <f t="shared" si="117"/>
        <v>22.443998503047304</v>
      </c>
      <c r="AK216" s="152">
        <f t="shared" si="118"/>
        <v>40.312999772307805</v>
      </c>
      <c r="AL216" s="152">
        <f t="shared" si="119"/>
        <v>37.030678768009892</v>
      </c>
      <c r="AM216" s="152">
        <f t="shared" si="120"/>
        <v>7.0136948432598611</v>
      </c>
      <c r="AN216" s="152">
        <f t="shared" si="121"/>
        <v>4.0871756824326209</v>
      </c>
      <c r="AO216" s="152">
        <f t="shared" si="122"/>
        <v>9.3771928074269084</v>
      </c>
      <c r="AP216" s="152">
        <f t="shared" si="123"/>
        <v>14.859801923253849</v>
      </c>
      <c r="AR216" t="s">
        <v>1058</v>
      </c>
      <c r="AS216" s="152">
        <f t="shared" si="124"/>
        <v>410.87343480722228</v>
      </c>
      <c r="AT216" s="156">
        <v>1860</v>
      </c>
      <c r="AU216" s="109">
        <f t="shared" si="125"/>
        <v>1.1602783382198592</v>
      </c>
      <c r="AV216" s="109">
        <f t="shared" si="102"/>
        <v>1.3412257618019701</v>
      </c>
      <c r="AZ216" s="176" t="s">
        <v>1059</v>
      </c>
      <c r="BA216" s="176" t="s">
        <v>1049</v>
      </c>
      <c r="BD216" s="162" t="s">
        <v>1062</v>
      </c>
    </row>
    <row r="217" spans="1:58" x14ac:dyDescent="0.2">
      <c r="A217" s="157">
        <v>1861</v>
      </c>
      <c r="B217" s="56">
        <v>1.9217060928738876</v>
      </c>
      <c r="C217" s="68">
        <v>1.777578135908346</v>
      </c>
      <c r="D217" s="56">
        <v>6.0052385416666674</v>
      </c>
      <c r="E217" s="68">
        <v>19.456972875000002</v>
      </c>
      <c r="F217" s="56">
        <v>8.6475434999999994</v>
      </c>
      <c r="G217" s="113">
        <v>1.9362470779561076</v>
      </c>
      <c r="H217" s="55">
        <f>H216+($H$219-$H$216)/3</f>
        <v>9.0864788074449354</v>
      </c>
      <c r="I217" s="55">
        <f>I216+($I$219-$I$216)/3</f>
        <v>0.67744472657813226</v>
      </c>
      <c r="J217" s="109">
        <v>4.3861999999999997</v>
      </c>
      <c r="K217" s="8"/>
      <c r="L217" s="14">
        <f t="shared" si="105"/>
        <v>343.98539062442586</v>
      </c>
      <c r="M217" s="14">
        <f t="shared" si="106"/>
        <v>35.55156271816692</v>
      </c>
      <c r="N217" s="14">
        <f t="shared" si="107"/>
        <v>30.026192708333337</v>
      </c>
      <c r="O217" s="14">
        <f t="shared" si="108"/>
        <v>58.370918625000002</v>
      </c>
      <c r="P217" s="14">
        <f t="shared" si="109"/>
        <v>11.24180655</v>
      </c>
      <c r="Q217" s="14">
        <f t="shared" si="110"/>
        <v>5.8087412338683233</v>
      </c>
      <c r="R217" s="14">
        <f t="shared" si="111"/>
        <v>11.812422449678417</v>
      </c>
      <c r="S217" s="14">
        <f t="shared" si="112"/>
        <v>0.88067814455157201</v>
      </c>
      <c r="T217" s="14">
        <f t="shared" si="113"/>
        <v>13.1586</v>
      </c>
      <c r="V217" s="14">
        <f t="shared" si="114"/>
        <v>510.83631305402434</v>
      </c>
      <c r="W217" s="14">
        <f t="shared" si="115"/>
        <v>497.67771305402437</v>
      </c>
      <c r="X217" s="168">
        <f>AVERAGE(W215:W219)</f>
        <v>536.556609466689</v>
      </c>
      <c r="Y217" s="4">
        <v>1.5012323235840728</v>
      </c>
      <c r="Z217" s="4">
        <v>1.1055310355022983</v>
      </c>
      <c r="AA217" s="4">
        <v>8.0974637592540279</v>
      </c>
      <c r="AB217" s="4">
        <v>12.061001769535764</v>
      </c>
      <c r="AC217" s="4">
        <v>4.9602750682411552</v>
      </c>
      <c r="AD217" s="4">
        <v>1.3130763168601443</v>
      </c>
      <c r="AE217" s="4">
        <v>7.0131993610412957</v>
      </c>
      <c r="AF217" s="4">
        <v>15.191047319896313</v>
      </c>
      <c r="AG217" s="5"/>
      <c r="AH217" s="5"/>
      <c r="AI217" s="152">
        <f t="shared" si="116"/>
        <v>290.48845461351806</v>
      </c>
      <c r="AJ217" s="152">
        <f t="shared" si="117"/>
        <v>22.110620710045964</v>
      </c>
      <c r="AK217" s="152">
        <f t="shared" si="118"/>
        <v>40.487318796270138</v>
      </c>
      <c r="AL217" s="152">
        <f t="shared" si="119"/>
        <v>36.183005308607292</v>
      </c>
      <c r="AM217" s="152">
        <f t="shared" si="120"/>
        <v>6.4483575887135016</v>
      </c>
      <c r="AN217" s="152">
        <f t="shared" si="121"/>
        <v>3.939228950580433</v>
      </c>
      <c r="AO217" s="152">
        <f t="shared" si="122"/>
        <v>9.117159169353684</v>
      </c>
      <c r="AP217" s="152">
        <f t="shared" si="123"/>
        <v>19.748361515865209</v>
      </c>
      <c r="AR217" s="158">
        <f>AVERAGE(AS215:AS219)</f>
        <v>388.79284921097627</v>
      </c>
      <c r="AS217" s="152">
        <f t="shared" si="124"/>
        <v>428.52250665295429</v>
      </c>
      <c r="AT217" s="157">
        <v>1861</v>
      </c>
      <c r="AU217" s="109">
        <f t="shared" si="125"/>
        <v>1.1613805700457094</v>
      </c>
      <c r="AV217" s="109">
        <f t="shared" si="102"/>
        <v>1.3909691740211683</v>
      </c>
      <c r="AW217" t="s">
        <v>1055</v>
      </c>
      <c r="AY217" s="159" t="s">
        <v>1060</v>
      </c>
      <c r="AZ217" s="152">
        <f>X217</f>
        <v>536.556609466689</v>
      </c>
      <c r="BA217" s="152">
        <f>AR217</f>
        <v>388.79284921097627</v>
      </c>
      <c r="BB217" t="s">
        <v>1061</v>
      </c>
      <c r="BD217" s="40">
        <f>AZ217/BA217</f>
        <v>1.380057813706161</v>
      </c>
    </row>
    <row r="218" spans="1:58" x14ac:dyDescent="0.2">
      <c r="A218" s="156">
        <v>1862</v>
      </c>
      <c r="B218" s="56">
        <v>2.6583600951422111</v>
      </c>
      <c r="C218" s="68">
        <v>2.1138767021612765</v>
      </c>
      <c r="D218" s="56">
        <v>6.2454480833333337</v>
      </c>
      <c r="E218" s="68">
        <v>21.859068291666667</v>
      </c>
      <c r="F218" s="56">
        <v>8.6475434999999994</v>
      </c>
      <c r="G218" s="113">
        <v>2.27216556133394</v>
      </c>
      <c r="H218" s="55">
        <f>H217+($H$219-$H$216)/3</f>
        <v>8.9137889086440865</v>
      </c>
      <c r="I218" s="55">
        <f>I217+($I$219-$I$216)/3</f>
        <v>0.6621789395241372</v>
      </c>
      <c r="J218" s="109">
        <v>3.47</v>
      </c>
      <c r="K218" s="8"/>
      <c r="L218" s="14">
        <f t="shared" si="105"/>
        <v>475.84645703045578</v>
      </c>
      <c r="M218" s="14">
        <f t="shared" si="106"/>
        <v>42.277534043225529</v>
      </c>
      <c r="N218" s="14">
        <f t="shared" si="107"/>
        <v>31.227240416666667</v>
      </c>
      <c r="O218" s="14">
        <f t="shared" si="108"/>
        <v>65.577204875000007</v>
      </c>
      <c r="P218" s="14">
        <f t="shared" si="109"/>
        <v>11.24180655</v>
      </c>
      <c r="Q218" s="14">
        <f t="shared" si="110"/>
        <v>6.8164966840018195</v>
      </c>
      <c r="R218" s="14">
        <f t="shared" si="111"/>
        <v>11.587925581237313</v>
      </c>
      <c r="S218" s="14">
        <f t="shared" si="112"/>
        <v>0.86083262138137839</v>
      </c>
      <c r="T218" s="14">
        <f t="shared" si="113"/>
        <v>10.41</v>
      </c>
      <c r="V218" s="14">
        <f t="shared" si="114"/>
        <v>655.84549780196835</v>
      </c>
      <c r="W218" s="14">
        <f t="shared" si="115"/>
        <v>645.43549780196838</v>
      </c>
      <c r="X218" s="163"/>
      <c r="Y218" s="4">
        <v>1.48819971322978</v>
      </c>
      <c r="Z218" s="4">
        <v>0.95884352521058658</v>
      </c>
      <c r="AA218" s="4">
        <v>7.7200645076369545</v>
      </c>
      <c r="AB218" s="4">
        <v>11.462239106628513</v>
      </c>
      <c r="AC218" s="4">
        <v>6.8261376779093021</v>
      </c>
      <c r="AD218" s="4">
        <v>1.5330535657739419</v>
      </c>
      <c r="AE218" s="4">
        <v>6.6173819765779598</v>
      </c>
      <c r="AF218" s="4"/>
      <c r="AG218" s="5"/>
      <c r="AH218" s="5"/>
      <c r="AI218" s="152">
        <f t="shared" si="116"/>
        <v>287.96664450996241</v>
      </c>
      <c r="AJ218" s="152">
        <f t="shared" si="117"/>
        <v>19.176870504211731</v>
      </c>
      <c r="AK218" s="152">
        <f t="shared" si="118"/>
        <v>38.60032253818477</v>
      </c>
      <c r="AL218" s="152">
        <f t="shared" si="119"/>
        <v>34.386717319885534</v>
      </c>
      <c r="AM218" s="152">
        <f t="shared" si="120"/>
        <v>8.8739789812820931</v>
      </c>
      <c r="AN218" s="152">
        <f t="shared" si="121"/>
        <v>4.5991606973218255</v>
      </c>
      <c r="AO218" s="152">
        <f t="shared" si="122"/>
        <v>8.6025965695513484</v>
      </c>
      <c r="AP218" s="152">
        <f t="shared" si="123"/>
        <v>0</v>
      </c>
      <c r="AS218" s="152">
        <f t="shared" si="124"/>
        <v>402.20629112039967</v>
      </c>
      <c r="AT218" s="156">
        <v>1862</v>
      </c>
      <c r="AU218" s="109">
        <f t="shared" si="125"/>
        <v>1.6047374495411821</v>
      </c>
      <c r="AV218" s="109">
        <f t="shared" si="102"/>
        <v>1.3636020030092841</v>
      </c>
      <c r="AX218" s="107"/>
      <c r="AY218" s="159" t="s">
        <v>1068</v>
      </c>
      <c r="AZ218" s="152">
        <v>112.3224603732334</v>
      </c>
      <c r="BA218" s="152">
        <v>112.3224603732334</v>
      </c>
      <c r="BB218" s="107" t="s">
        <v>1067</v>
      </c>
      <c r="BC218" s="107"/>
      <c r="BD218" s="40">
        <f t="shared" ref="BD218:BD223" si="126">AZ218/BA218</f>
        <v>1</v>
      </c>
      <c r="BE218" s="107"/>
      <c r="BF218" s="107"/>
    </row>
    <row r="219" spans="1:58" x14ac:dyDescent="0.2">
      <c r="A219" s="156">
        <v>1863</v>
      </c>
      <c r="B219" s="56">
        <v>2.2900330940080491</v>
      </c>
      <c r="C219" s="68">
        <v>2.2580046591268181</v>
      </c>
      <c r="D219" s="56">
        <v>5.524819458333333</v>
      </c>
      <c r="E219" s="68">
        <v>17.775506083333333</v>
      </c>
      <c r="F219" s="56">
        <v>8.6475434999999994</v>
      </c>
      <c r="G219" s="113">
        <v>2.6002057137077399</v>
      </c>
      <c r="H219" s="109">
        <v>8.7410990098432375</v>
      </c>
      <c r="I219" s="99">
        <v>0.64691315247014225</v>
      </c>
      <c r="J219" s="109">
        <v>4.1521999999999997</v>
      </c>
      <c r="K219" s="8"/>
      <c r="L219" s="14">
        <f t="shared" si="105"/>
        <v>409.91592382744079</v>
      </c>
      <c r="M219" s="14">
        <f t="shared" si="106"/>
        <v>45.160093182536365</v>
      </c>
      <c r="N219" s="14">
        <f t="shared" si="107"/>
        <v>27.624097291666665</v>
      </c>
      <c r="O219" s="14">
        <f t="shared" si="108"/>
        <v>53.326518249999999</v>
      </c>
      <c r="P219" s="14">
        <f t="shared" si="109"/>
        <v>11.24180655</v>
      </c>
      <c r="Q219" s="14">
        <f t="shared" si="110"/>
        <v>7.8006171411232197</v>
      </c>
      <c r="R219" s="14">
        <f t="shared" si="111"/>
        <v>11.363428712796209</v>
      </c>
      <c r="S219" s="14">
        <f t="shared" si="112"/>
        <v>0.840987098211185</v>
      </c>
      <c r="T219" s="14">
        <f t="shared" si="113"/>
        <v>12.456599999999998</v>
      </c>
      <c r="V219" s="14">
        <f t="shared" si="114"/>
        <v>579.73007205377439</v>
      </c>
      <c r="W219" s="14">
        <f t="shared" si="115"/>
        <v>567.27347205377441</v>
      </c>
      <c r="X219" s="163"/>
      <c r="Y219" s="4">
        <v>1.2039293978013805</v>
      </c>
      <c r="Z219" s="4">
        <v>0.95730922579863109</v>
      </c>
      <c r="AA219" s="4">
        <v>8.1226648359073401</v>
      </c>
      <c r="AB219" s="4">
        <v>11.405180008476133</v>
      </c>
      <c r="AC219" s="4">
        <v>4.8815343288405186</v>
      </c>
      <c r="AD219" s="4">
        <v>2.4526321707500962</v>
      </c>
      <c r="AE219" s="4">
        <v>6.0990339031019873</v>
      </c>
      <c r="AF219" s="4"/>
      <c r="AG219" s="5"/>
      <c r="AH219" s="5"/>
      <c r="AI219" s="152">
        <f t="shared" si="116"/>
        <v>232.96033847456712</v>
      </c>
      <c r="AJ219" s="152">
        <f t="shared" si="117"/>
        <v>19.146184515972621</v>
      </c>
      <c r="AK219" s="152">
        <f t="shared" si="118"/>
        <v>40.613324179536704</v>
      </c>
      <c r="AL219" s="152">
        <f t="shared" si="119"/>
        <v>34.215540025428396</v>
      </c>
      <c r="AM219" s="152">
        <f t="shared" si="120"/>
        <v>6.3459946274926748</v>
      </c>
      <c r="AN219" s="152">
        <f t="shared" si="121"/>
        <v>7.3578965122502886</v>
      </c>
      <c r="AO219" s="152">
        <f t="shared" si="122"/>
        <v>7.9287440740325836</v>
      </c>
      <c r="AP219" s="152">
        <f t="shared" si="123"/>
        <v>0</v>
      </c>
      <c r="AS219" s="152">
        <f t="shared" si="124"/>
        <v>348.56802240928045</v>
      </c>
      <c r="AT219" s="156">
        <v>1863</v>
      </c>
      <c r="AU219" s="109">
        <f t="shared" si="125"/>
        <v>1.6274397982144648</v>
      </c>
      <c r="AV219" s="109">
        <f t="shared" si="102"/>
        <v>1.4295822941541996</v>
      </c>
      <c r="AY219" s="159" t="s">
        <v>1060</v>
      </c>
      <c r="AZ219" s="152">
        <f>AZ217/AZ218</f>
        <v>4.7769307018719047</v>
      </c>
      <c r="BA219" s="152">
        <f>BA217/BA218</f>
        <v>3.4613989750497502</v>
      </c>
      <c r="BB219" s="107" t="s">
        <v>1069</v>
      </c>
      <c r="BC219" s="107"/>
      <c r="BD219" s="40">
        <f t="shared" si="126"/>
        <v>1.380057813706161</v>
      </c>
      <c r="BE219" s="107"/>
      <c r="BF219" s="107"/>
    </row>
    <row r="220" spans="1:58" x14ac:dyDescent="0.2">
      <c r="A220" s="156">
        <v>1864</v>
      </c>
      <c r="B220" s="56">
        <v>1.6334501789428046</v>
      </c>
      <c r="C220" s="68">
        <v>1.7455497010271144</v>
      </c>
      <c r="D220" s="56">
        <v>4.3237717499999997</v>
      </c>
      <c r="E220" s="68">
        <v>15.253305895833334</v>
      </c>
      <c r="F220" s="56">
        <v>7.6867053333333333</v>
      </c>
      <c r="G220" s="113">
        <v>3.0550893674416826</v>
      </c>
      <c r="H220" s="109">
        <v>7.596938094735286</v>
      </c>
      <c r="I220" s="99">
        <v>0.54576932757459928</v>
      </c>
      <c r="J220" s="109">
        <v>4.2769000000000004</v>
      </c>
      <c r="K220" s="8"/>
      <c r="L220" s="14">
        <f t="shared" si="105"/>
        <v>292.38758203076202</v>
      </c>
      <c r="M220" s="14">
        <f t="shared" si="106"/>
        <v>34.91099402054229</v>
      </c>
      <c r="N220" s="14">
        <f t="shared" si="107"/>
        <v>21.618858749999998</v>
      </c>
      <c r="O220" s="14">
        <f t="shared" si="108"/>
        <v>45.7599176875</v>
      </c>
      <c r="P220" s="14">
        <f t="shared" si="109"/>
        <v>9.9927169333333339</v>
      </c>
      <c r="Q220" s="14">
        <f t="shared" si="110"/>
        <v>9.1652681023250473</v>
      </c>
      <c r="R220" s="14">
        <f t="shared" si="111"/>
        <v>9.8760195231558718</v>
      </c>
      <c r="S220" s="14">
        <f t="shared" si="112"/>
        <v>0.70950012584697908</v>
      </c>
      <c r="T220" s="14">
        <f t="shared" si="113"/>
        <v>12.8307</v>
      </c>
      <c r="V220" s="14">
        <f t="shared" si="114"/>
        <v>437.25155717346553</v>
      </c>
      <c r="W220" s="14">
        <f t="shared" si="115"/>
        <v>424.42085717346555</v>
      </c>
      <c r="X220" s="163"/>
      <c r="Y220" s="4">
        <v>1.0713874278820694</v>
      </c>
      <c r="Z220" s="4">
        <v>1.0000119449457401</v>
      </c>
      <c r="AA220" s="4">
        <v>8.1559200228382629</v>
      </c>
      <c r="AB220" s="4">
        <v>11.640150869834992</v>
      </c>
      <c r="AC220" s="4">
        <v>4.8099291137094875</v>
      </c>
      <c r="AD220" s="4">
        <v>2.9106972808625895</v>
      </c>
      <c r="AE220" s="4">
        <v>5.6940635333157337</v>
      </c>
      <c r="AF220" s="4">
        <v>7.9452114387778821</v>
      </c>
      <c r="AG220" s="5"/>
      <c r="AH220" s="5"/>
      <c r="AI220" s="152">
        <f t="shared" si="116"/>
        <v>207.31346729518043</v>
      </c>
      <c r="AJ220" s="152">
        <f t="shared" si="117"/>
        <v>20.000238898914802</v>
      </c>
      <c r="AK220" s="152">
        <f t="shared" si="118"/>
        <v>40.779600114191311</v>
      </c>
      <c r="AL220" s="152">
        <f t="shared" si="119"/>
        <v>34.920452609504977</v>
      </c>
      <c r="AM220" s="152">
        <f t="shared" si="120"/>
        <v>6.2529078478223337</v>
      </c>
      <c r="AN220" s="152">
        <f t="shared" si="121"/>
        <v>8.7320918425877689</v>
      </c>
      <c r="AO220" s="152">
        <f t="shared" si="122"/>
        <v>7.4022825933104537</v>
      </c>
      <c r="AP220" s="152">
        <f t="shared" si="123"/>
        <v>10.328774870411246</v>
      </c>
      <c r="AS220" s="152">
        <f t="shared" si="124"/>
        <v>335.72981607192327</v>
      </c>
      <c r="AT220" s="156">
        <v>1864</v>
      </c>
      <c r="AU220" s="109">
        <f t="shared" si="125"/>
        <v>1.264173859025205</v>
      </c>
      <c r="AV220" s="109">
        <f t="shared" si="102"/>
        <v>1.444442966481577</v>
      </c>
      <c r="AY220" s="159" t="s">
        <v>1063</v>
      </c>
      <c r="AZ220" s="152">
        <v>2.6879930000000001</v>
      </c>
      <c r="BA220" s="152">
        <v>721.88699160527869</v>
      </c>
      <c r="BB220" t="s">
        <v>1066</v>
      </c>
      <c r="BD220" s="160">
        <f t="shared" si="126"/>
        <v>3.7235648117479453E-3</v>
      </c>
    </row>
    <row r="221" spans="1:58" x14ac:dyDescent="0.2">
      <c r="A221" s="156">
        <v>1865</v>
      </c>
      <c r="B221" s="56">
        <v>2.0658340498394292</v>
      </c>
      <c r="C221" s="68">
        <v>1.777578135908346</v>
      </c>
      <c r="D221" s="56">
        <v>4.8041908333333323</v>
      </c>
      <c r="E221" s="68">
        <v>17.775506083333333</v>
      </c>
      <c r="F221" s="56">
        <v>7.6867053333333333</v>
      </c>
      <c r="G221" s="113">
        <v>2.6687904841586234</v>
      </c>
      <c r="H221" s="109">
        <v>7.5192251816546003</v>
      </c>
      <c r="I221" s="99">
        <v>0.53889950605826664</v>
      </c>
      <c r="J221" s="109">
        <v>4.1729000000000003</v>
      </c>
      <c r="K221" s="8"/>
      <c r="L221" s="14">
        <f t="shared" si="105"/>
        <v>369.78429492125781</v>
      </c>
      <c r="M221" s="14">
        <f t="shared" si="106"/>
        <v>35.55156271816692</v>
      </c>
      <c r="N221" s="14">
        <f t="shared" si="107"/>
        <v>24.020954166666662</v>
      </c>
      <c r="O221" s="14">
        <f t="shared" si="108"/>
        <v>53.326518249999999</v>
      </c>
      <c r="P221" s="14">
        <f t="shared" si="109"/>
        <v>9.9927169333333339</v>
      </c>
      <c r="Q221" s="14">
        <f t="shared" si="110"/>
        <v>8.0063714524758698</v>
      </c>
      <c r="R221" s="14">
        <f t="shared" si="111"/>
        <v>9.7749927361509812</v>
      </c>
      <c r="S221" s="14">
        <f t="shared" si="112"/>
        <v>0.7005693578757467</v>
      </c>
      <c r="T221" s="14">
        <f t="shared" si="113"/>
        <v>12.518700000000001</v>
      </c>
      <c r="V221" s="14">
        <f t="shared" si="114"/>
        <v>523.67668053592729</v>
      </c>
      <c r="W221" s="14">
        <f t="shared" si="115"/>
        <v>511.15798053592727</v>
      </c>
      <c r="X221" s="163"/>
      <c r="Y221" s="4">
        <v>1.1298555088776927</v>
      </c>
      <c r="Z221" s="4">
        <v>1.1038590096694889</v>
      </c>
      <c r="AA221" s="4">
        <v>9.0530827306172981</v>
      </c>
      <c r="AB221" s="4">
        <v>12.498763129065793</v>
      </c>
      <c r="AC221" s="4">
        <v>4.4158292098752314</v>
      </c>
      <c r="AD221" s="4">
        <v>2.0104097441148041</v>
      </c>
      <c r="AE221" s="4">
        <v>5.984557688437941</v>
      </c>
      <c r="AF221" s="4"/>
      <c r="AG221" s="5"/>
      <c r="AH221" s="5"/>
      <c r="AI221" s="152">
        <f t="shared" si="116"/>
        <v>218.62704096783355</v>
      </c>
      <c r="AJ221" s="152">
        <f t="shared" si="117"/>
        <v>22.077180193389779</v>
      </c>
      <c r="AK221" s="152">
        <f t="shared" si="118"/>
        <v>45.26541365308649</v>
      </c>
      <c r="AL221" s="152">
        <f t="shared" si="119"/>
        <v>37.496289387197379</v>
      </c>
      <c r="AM221" s="152">
        <f t="shared" si="120"/>
        <v>5.7405779728378015</v>
      </c>
      <c r="AN221" s="152">
        <f t="shared" si="121"/>
        <v>6.0312292323444119</v>
      </c>
      <c r="AO221" s="152">
        <f t="shared" si="122"/>
        <v>7.7799249949693232</v>
      </c>
      <c r="AP221" s="152">
        <f t="shared" si="123"/>
        <v>0</v>
      </c>
      <c r="AS221" s="152">
        <f t="shared" si="124"/>
        <v>343.01765640165871</v>
      </c>
      <c r="AT221" s="156">
        <v>1865</v>
      </c>
      <c r="AU221" s="109">
        <f t="shared" si="125"/>
        <v>1.4901797939444363</v>
      </c>
      <c r="AV221" s="109">
        <f t="shared" si="102"/>
        <v>1.2954768363635458</v>
      </c>
      <c r="AY221" s="159" t="s">
        <v>1064</v>
      </c>
      <c r="AZ221" s="152">
        <v>0.41039999999999999</v>
      </c>
      <c r="BA221" s="152">
        <v>23.219008057425562</v>
      </c>
      <c r="BB221" t="s">
        <v>1086</v>
      </c>
      <c r="BD221" s="40">
        <f t="shared" si="126"/>
        <v>1.7675173676024111E-2</v>
      </c>
    </row>
    <row r="222" spans="1:58" x14ac:dyDescent="0.2">
      <c r="A222" s="156">
        <v>1866</v>
      </c>
      <c r="B222" s="56">
        <v>2.0658340498394292</v>
      </c>
      <c r="C222" s="68">
        <v>1.9537345277551188</v>
      </c>
      <c r="D222" s="56">
        <v>4.203666979166667</v>
      </c>
      <c r="E222" s="68">
        <v>15.133201125000001</v>
      </c>
      <c r="F222" s="56">
        <v>6.485657625</v>
      </c>
      <c r="G222" s="113">
        <v>2.8487689347428535</v>
      </c>
      <c r="H222" s="55">
        <f>H221+($H$223-$H$221)/2</f>
        <v>7.7709887583982908</v>
      </c>
      <c r="I222" s="55">
        <f>I221+($I$223-$I$221)/2</f>
        <v>0.56115540624240889</v>
      </c>
      <c r="J222" s="109">
        <v>3.8346</v>
      </c>
      <c r="K222" s="8"/>
      <c r="L222" s="14">
        <f t="shared" si="105"/>
        <v>369.78429492125781</v>
      </c>
      <c r="M222" s="14">
        <f t="shared" si="106"/>
        <v>39.074690555102379</v>
      </c>
      <c r="N222" s="14">
        <f t="shared" si="107"/>
        <v>21.018334895833334</v>
      </c>
      <c r="O222" s="14">
        <f t="shared" si="108"/>
        <v>45.399603375000005</v>
      </c>
      <c r="P222" s="14">
        <f t="shared" si="109"/>
        <v>8.4313549124999998</v>
      </c>
      <c r="Q222" s="14">
        <f t="shared" si="110"/>
        <v>8.5463068042285606</v>
      </c>
      <c r="R222" s="14">
        <f t="shared" si="111"/>
        <v>10.102285385917778</v>
      </c>
      <c r="S222" s="14">
        <f t="shared" si="112"/>
        <v>0.72950202811513154</v>
      </c>
      <c r="T222" s="14">
        <f t="shared" si="113"/>
        <v>11.5038</v>
      </c>
      <c r="V222" s="14">
        <f t="shared" si="114"/>
        <v>514.59017287795496</v>
      </c>
      <c r="W222" s="14">
        <f t="shared" si="115"/>
        <v>503.08637287795494</v>
      </c>
      <c r="X222" s="163"/>
      <c r="Y222" s="4">
        <v>1.3466610140104327</v>
      </c>
      <c r="Z222" s="4">
        <v>1.2040052177387635</v>
      </c>
      <c r="AA222" s="4">
        <v>8.8993637232026135</v>
      </c>
      <c r="AB222" s="4">
        <v>13.020839848826133</v>
      </c>
      <c r="AC222" s="4">
        <v>5.145734311406474</v>
      </c>
      <c r="AD222" s="4">
        <v>2.0825729065002352</v>
      </c>
      <c r="AE222" s="4">
        <v>7.3787915781535851</v>
      </c>
      <c r="AF222" s="4">
        <v>12.603053780423078</v>
      </c>
      <c r="AG222" s="5"/>
      <c r="AH222" s="5"/>
      <c r="AI222" s="152">
        <f t="shared" si="116"/>
        <v>260.5789062110187</v>
      </c>
      <c r="AJ222" s="152">
        <f t="shared" si="117"/>
        <v>24.080104354775269</v>
      </c>
      <c r="AK222" s="152">
        <f t="shared" si="118"/>
        <v>44.496818616013066</v>
      </c>
      <c r="AL222" s="152">
        <f t="shared" si="119"/>
        <v>39.062519546478399</v>
      </c>
      <c r="AM222" s="152">
        <f t="shared" si="120"/>
        <v>6.6894546048284163</v>
      </c>
      <c r="AN222" s="152">
        <f t="shared" si="121"/>
        <v>6.2477187195007051</v>
      </c>
      <c r="AO222" s="152">
        <f t="shared" si="122"/>
        <v>9.5924290515996606</v>
      </c>
      <c r="AP222" s="152">
        <f t="shared" si="123"/>
        <v>16.383969914550001</v>
      </c>
      <c r="AS222" s="152">
        <f t="shared" si="124"/>
        <v>407.13192101876416</v>
      </c>
      <c r="AT222" s="156">
        <v>1866</v>
      </c>
      <c r="AU222" s="109">
        <f t="shared" si="125"/>
        <v>1.2356839316825967</v>
      </c>
      <c r="AV222" s="109">
        <f t="shared" si="102"/>
        <v>1.1140393159852033</v>
      </c>
      <c r="AY222" s="159" t="s">
        <v>1065</v>
      </c>
      <c r="AZ222" s="152">
        <f>AZ220/AZ221</f>
        <v>6.5496905458089669</v>
      </c>
      <c r="BA222" s="152">
        <v>31.069412548982172</v>
      </c>
      <c r="BB222" t="s">
        <v>88</v>
      </c>
      <c r="BD222" s="161">
        <f t="shared" si="126"/>
        <v>0.21080831623330881</v>
      </c>
    </row>
    <row r="223" spans="1:58" x14ac:dyDescent="0.2">
      <c r="A223" s="156">
        <v>1867</v>
      </c>
      <c r="B223" s="56">
        <v>1.5693933091803416</v>
      </c>
      <c r="C223" s="68">
        <v>1.6334501789428046</v>
      </c>
      <c r="D223" s="56">
        <v>4.0835622083333334</v>
      </c>
      <c r="E223" s="68">
        <v>13.091420020833334</v>
      </c>
      <c r="F223" s="56">
        <v>6.7258671666666672</v>
      </c>
      <c r="G223" s="113">
        <v>2.2395562900946469</v>
      </c>
      <c r="H223" s="109">
        <v>8.0227523351419805</v>
      </c>
      <c r="I223" s="99">
        <v>0.58341130642655115</v>
      </c>
      <c r="J223" s="109">
        <v>4.1904000000000003</v>
      </c>
      <c r="K223" s="8"/>
      <c r="L223" s="14">
        <f t="shared" si="105"/>
        <v>280.92140234328116</v>
      </c>
      <c r="M223" s="14">
        <f t="shared" si="106"/>
        <v>32.669003578856092</v>
      </c>
      <c r="N223" s="14">
        <f t="shared" si="107"/>
        <v>20.417811041666667</v>
      </c>
      <c r="O223" s="14">
        <f t="shared" si="108"/>
        <v>39.274260062500005</v>
      </c>
      <c r="P223" s="14">
        <f t="shared" si="109"/>
        <v>8.743627316666668</v>
      </c>
      <c r="Q223" s="14">
        <f t="shared" si="110"/>
        <v>6.7186688702839401</v>
      </c>
      <c r="R223" s="14">
        <f t="shared" si="111"/>
        <v>10.429578035684575</v>
      </c>
      <c r="S223" s="14">
        <f t="shared" si="112"/>
        <v>0.75843469835451649</v>
      </c>
      <c r="T223" s="14">
        <f t="shared" si="113"/>
        <v>12.571200000000001</v>
      </c>
      <c r="V223" s="14">
        <f t="shared" si="114"/>
        <v>412.50398594729359</v>
      </c>
      <c r="W223" s="14">
        <f t="shared" si="115"/>
        <v>399.93278594729361</v>
      </c>
      <c r="X223" s="163"/>
      <c r="Y223" s="4">
        <v>1.7549541515743741</v>
      </c>
      <c r="Z223" s="4">
        <v>1.1831178585657773</v>
      </c>
      <c r="AA223" s="4">
        <v>8.6549664196836211</v>
      </c>
      <c r="AB223" s="4">
        <v>12.424802364228043</v>
      </c>
      <c r="AC223" s="4">
        <v>4.9473179860662722</v>
      </c>
      <c r="AD223" s="4">
        <v>1.7912538149151183</v>
      </c>
      <c r="AE223" s="4">
        <v>7.2984822001286398</v>
      </c>
      <c r="AF223" s="4"/>
      <c r="AG223" s="5"/>
      <c r="AH223" s="5"/>
      <c r="AI223" s="152">
        <f t="shared" si="116"/>
        <v>339.58362832964139</v>
      </c>
      <c r="AJ223" s="152">
        <f t="shared" si="117"/>
        <v>23.662357171315548</v>
      </c>
      <c r="AK223" s="152">
        <f t="shared" si="118"/>
        <v>43.274832098418102</v>
      </c>
      <c r="AL223" s="152">
        <f t="shared" si="119"/>
        <v>37.274407092684129</v>
      </c>
      <c r="AM223" s="152">
        <f t="shared" si="120"/>
        <v>6.4315133818861536</v>
      </c>
      <c r="AN223" s="152">
        <f t="shared" si="121"/>
        <v>5.3737614447453552</v>
      </c>
      <c r="AO223" s="152">
        <f t="shared" si="122"/>
        <v>9.4880268601672313</v>
      </c>
      <c r="AP223" s="152">
        <f t="shared" si="123"/>
        <v>0</v>
      </c>
      <c r="AS223" s="152">
        <f t="shared" si="124"/>
        <v>465.08852637885786</v>
      </c>
      <c r="AT223" s="156">
        <v>1867</v>
      </c>
      <c r="AU223" s="109">
        <f t="shared" si="125"/>
        <v>0.85990679895102629</v>
      </c>
      <c r="AV223" s="109">
        <f t="shared" si="102"/>
        <v>1.0176773928300353</v>
      </c>
      <c r="AY223" s="159" t="s">
        <v>1070</v>
      </c>
      <c r="AZ223" s="109">
        <f>AZ222/AZ219</f>
        <v>1.3711085537084267</v>
      </c>
      <c r="BA223" s="109">
        <f>BA222/BA219</f>
        <v>8.9759697662519855</v>
      </c>
      <c r="BB223" t="s">
        <v>1071</v>
      </c>
      <c r="BD223" s="161">
        <f t="shared" si="126"/>
        <v>0.15275325000130299</v>
      </c>
    </row>
    <row r="224" spans="1:58" x14ac:dyDescent="0.2">
      <c r="A224" s="156">
        <v>1868</v>
      </c>
      <c r="B224" s="56">
        <v>1.249108960368027</v>
      </c>
      <c r="C224" s="68">
        <v>1.4092511347741843</v>
      </c>
      <c r="D224" s="56">
        <v>3.7232478958333339</v>
      </c>
      <c r="E224" s="68">
        <v>12.010477083333335</v>
      </c>
      <c r="F224" s="56">
        <v>6.0853724447666675</v>
      </c>
      <c r="G224" s="113">
        <v>2.1286055664352843</v>
      </c>
      <c r="H224" s="109">
        <v>7.8546504602306646</v>
      </c>
      <c r="I224" s="99">
        <v>0.56855110068439074</v>
      </c>
      <c r="J224" s="109">
        <v>4.2712000000000003</v>
      </c>
      <c r="K224" s="8"/>
      <c r="L224" s="14">
        <f t="shared" si="105"/>
        <v>223.59050390587683</v>
      </c>
      <c r="M224" s="14">
        <f t="shared" si="106"/>
        <v>28.185022695483685</v>
      </c>
      <c r="N224" s="14">
        <f t="shared" si="107"/>
        <v>18.616239479166669</v>
      </c>
      <c r="O224" s="14">
        <f t="shared" si="108"/>
        <v>36.031431250000004</v>
      </c>
      <c r="P224" s="14">
        <f t="shared" si="109"/>
        <v>7.9109841781966681</v>
      </c>
      <c r="Q224" s="14">
        <f t="shared" si="110"/>
        <v>6.3858166993058525</v>
      </c>
      <c r="R224" s="14">
        <f t="shared" si="111"/>
        <v>10.211045598299865</v>
      </c>
      <c r="S224" s="14">
        <f t="shared" si="112"/>
        <v>0.73911643088970802</v>
      </c>
      <c r="T224" s="14">
        <f t="shared" si="113"/>
        <v>12.813600000000001</v>
      </c>
      <c r="V224" s="14">
        <f t="shared" si="114"/>
        <v>344.48376023721926</v>
      </c>
      <c r="W224" s="14">
        <f t="shared" si="115"/>
        <v>331.67016023721925</v>
      </c>
      <c r="X224" s="163"/>
      <c r="Y224" s="4">
        <v>1.7383558514772561</v>
      </c>
      <c r="Z224" s="4">
        <v>1.2892455835397609</v>
      </c>
      <c r="AA224" s="4">
        <v>8.3552437034610296</v>
      </c>
      <c r="AB224" s="4">
        <v>12.307473592558509</v>
      </c>
      <c r="AC224" s="4">
        <v>4.5822064061891874</v>
      </c>
      <c r="AD224" s="4">
        <v>1.5706666567403353</v>
      </c>
      <c r="AE224" s="4">
        <v>6.8980201124198741</v>
      </c>
      <c r="AF224" s="4"/>
      <c r="AG224" s="5"/>
      <c r="AH224" s="5"/>
      <c r="AI224" s="152">
        <f t="shared" si="116"/>
        <v>336.37185726084908</v>
      </c>
      <c r="AJ224" s="152">
        <f t="shared" si="117"/>
        <v>25.784911670795218</v>
      </c>
      <c r="AK224" s="152">
        <f t="shared" si="118"/>
        <v>41.776218517305146</v>
      </c>
      <c r="AL224" s="152">
        <f t="shared" si="119"/>
        <v>36.922420777675526</v>
      </c>
      <c r="AM224" s="152">
        <f t="shared" si="120"/>
        <v>5.9568683280459442</v>
      </c>
      <c r="AN224" s="152">
        <f t="shared" si="121"/>
        <v>4.7119999702210063</v>
      </c>
      <c r="AO224" s="152">
        <f t="shared" si="122"/>
        <v>8.9674261461458364</v>
      </c>
      <c r="AP224" s="152">
        <f t="shared" si="123"/>
        <v>0</v>
      </c>
      <c r="AS224" s="152">
        <f t="shared" si="124"/>
        <v>460.49170267103784</v>
      </c>
      <c r="AT224" s="156">
        <v>1868</v>
      </c>
      <c r="AU224" s="109">
        <f t="shared" si="125"/>
        <v>0.72025219632275317</v>
      </c>
      <c r="BD224" s="162" t="s">
        <v>1074</v>
      </c>
    </row>
    <row r="225" spans="1:56" x14ac:dyDescent="0.2">
      <c r="A225" s="156">
        <v>1869</v>
      </c>
      <c r="B225" s="56">
        <v>1.1690378731649482</v>
      </c>
      <c r="C225" s="68">
        <v>1.345194265011721</v>
      </c>
      <c r="D225" s="56">
        <v>3.6031431249999999</v>
      </c>
      <c r="E225" s="68">
        <v>11.770267541666668</v>
      </c>
      <c r="F225" s="56">
        <v>6.0853724447666675</v>
      </c>
      <c r="G225" s="113">
        <v>1.935281286453483</v>
      </c>
      <c r="H225" s="109">
        <v>7.8521421729292271</v>
      </c>
      <c r="I225" s="99">
        <v>0.56832936808694368</v>
      </c>
      <c r="J225" s="109">
        <v>3.7063000000000001</v>
      </c>
      <c r="K225" s="8"/>
      <c r="L225" s="14">
        <f t="shared" si="105"/>
        <v>209.25777929652574</v>
      </c>
      <c r="M225" s="14">
        <f t="shared" si="106"/>
        <v>26.903885300234421</v>
      </c>
      <c r="N225" s="14">
        <f t="shared" si="107"/>
        <v>18.015715624999999</v>
      </c>
      <c r="O225" s="14">
        <f t="shared" si="108"/>
        <v>35.310802625000001</v>
      </c>
      <c r="P225" s="14">
        <f t="shared" si="109"/>
        <v>7.9109841781966681</v>
      </c>
      <c r="Q225" s="14">
        <f t="shared" si="110"/>
        <v>5.8058438593604489</v>
      </c>
      <c r="R225" s="14">
        <f t="shared" si="111"/>
        <v>10.207784824807996</v>
      </c>
      <c r="S225" s="14">
        <f t="shared" si="112"/>
        <v>0.73882817851302685</v>
      </c>
      <c r="T225" s="14">
        <f t="shared" si="113"/>
        <v>11.1189</v>
      </c>
      <c r="V225" s="14">
        <f t="shared" si="114"/>
        <v>325.27052388763826</v>
      </c>
      <c r="W225" s="14">
        <f t="shared" si="115"/>
        <v>314.15162388763827</v>
      </c>
      <c r="X225" s="163"/>
      <c r="Y225" s="4">
        <v>1.3148892823510594</v>
      </c>
      <c r="Z225" s="4">
        <v>1.1854671791745257</v>
      </c>
      <c r="AA225" s="4">
        <v>8.7674942112636902</v>
      </c>
      <c r="AB225" s="4">
        <v>14.199466586822679</v>
      </c>
      <c r="AC225" s="4">
        <v>5.0267836328852837</v>
      </c>
      <c r="AD225" s="4">
        <v>1.5866547419115016</v>
      </c>
      <c r="AE225" s="4">
        <v>6.2241329205815088</v>
      </c>
      <c r="AF225" s="4">
        <v>13.522262597416105</v>
      </c>
      <c r="AG225" s="5"/>
      <c r="AH225" s="5"/>
      <c r="AI225" s="152">
        <f t="shared" si="116"/>
        <v>254.43107613492998</v>
      </c>
      <c r="AJ225" s="152">
        <f t="shared" si="117"/>
        <v>23.709343583490515</v>
      </c>
      <c r="AK225" s="152">
        <f t="shared" si="118"/>
        <v>43.837471056318449</v>
      </c>
      <c r="AL225" s="152">
        <f t="shared" si="119"/>
        <v>42.598399760468034</v>
      </c>
      <c r="AM225" s="152">
        <f t="shared" si="120"/>
        <v>6.5348187227508694</v>
      </c>
      <c r="AN225" s="152">
        <f t="shared" si="121"/>
        <v>4.759964225734505</v>
      </c>
      <c r="AO225" s="152">
        <f t="shared" si="122"/>
        <v>8.0913727967559623</v>
      </c>
      <c r="AP225" s="152">
        <f t="shared" si="123"/>
        <v>17.578941376640937</v>
      </c>
      <c r="AS225" s="152">
        <f t="shared" si="124"/>
        <v>401.54138765708933</v>
      </c>
      <c r="AT225" s="156">
        <v>1869</v>
      </c>
      <c r="AU225" s="109">
        <f t="shared" si="125"/>
        <v>0.78236424324936416</v>
      </c>
      <c r="BC225" s="159" t="s">
        <v>1072</v>
      </c>
      <c r="BD225" s="161">
        <v>0.24740790078928621</v>
      </c>
    </row>
    <row r="226" spans="1:56" x14ac:dyDescent="0.2">
      <c r="A226" s="156">
        <v>1870</v>
      </c>
      <c r="B226" s="56">
        <v>1.2130769711266414</v>
      </c>
      <c r="C226" s="68">
        <v>1.1169916664829471</v>
      </c>
      <c r="D226" s="57">
        <v>3.9634574374999998</v>
      </c>
      <c r="E226" s="43">
        <v>13.571839104166667</v>
      </c>
      <c r="F226" s="57">
        <f t="shared" ref="F226:F237" si="127">F225+($F$238-$F$225)/13</f>
        <v>5.7748064886622208</v>
      </c>
      <c r="G226" s="113">
        <v>2.2019927399100081</v>
      </c>
      <c r="H226" s="109">
        <v>7.7175583340590679</v>
      </c>
      <c r="I226" s="99">
        <v>0.55643215673082158</v>
      </c>
      <c r="J226" s="109">
        <v>3.9689000000000001</v>
      </c>
      <c r="K226" s="8"/>
      <c r="L226" s="14">
        <f t="shared" si="105"/>
        <v>217.1407778316688</v>
      </c>
      <c r="M226" s="14">
        <f t="shared" si="106"/>
        <v>22.339833329658944</v>
      </c>
      <c r="N226" s="14">
        <f t="shared" si="107"/>
        <v>19.8172871875</v>
      </c>
      <c r="O226" s="14">
        <f t="shared" si="108"/>
        <v>40.715517312499998</v>
      </c>
      <c r="P226" s="14">
        <f t="shared" si="109"/>
        <v>7.5072484352608875</v>
      </c>
      <c r="Q226" s="14">
        <f t="shared" si="110"/>
        <v>6.6059782197300247</v>
      </c>
      <c r="R226" s="14">
        <f t="shared" si="111"/>
        <v>10.032825834276789</v>
      </c>
      <c r="S226" s="14">
        <f t="shared" si="112"/>
        <v>0.72336180375006809</v>
      </c>
      <c r="T226" s="14">
        <f t="shared" si="113"/>
        <v>11.906700000000001</v>
      </c>
      <c r="V226" s="14">
        <f t="shared" si="114"/>
        <v>336.78952995434548</v>
      </c>
      <c r="W226" s="14">
        <f t="shared" si="115"/>
        <v>324.88282995434548</v>
      </c>
      <c r="X226" s="163"/>
      <c r="Y226" s="4">
        <v>1.2785769889450105</v>
      </c>
      <c r="Z226" s="4">
        <v>1.1615568378336778</v>
      </c>
      <c r="AA226" s="4">
        <v>8.9269031969230301</v>
      </c>
      <c r="AB226" s="4">
        <v>13.502092393650845</v>
      </c>
      <c r="AC226" s="4">
        <v>4.9252743893964892</v>
      </c>
      <c r="AD226" s="4"/>
      <c r="AE226" s="5"/>
      <c r="AF226" s="4">
        <v>13.184206032480704</v>
      </c>
      <c r="AG226" s="5"/>
      <c r="AH226" s="5"/>
      <c r="AI226" s="152">
        <f t="shared" si="116"/>
        <v>247.40464736085954</v>
      </c>
      <c r="AJ226" s="152">
        <f t="shared" si="117"/>
        <v>23.231136756673557</v>
      </c>
      <c r="AK226" s="152">
        <f t="shared" si="118"/>
        <v>44.634515984615149</v>
      </c>
      <c r="AL226" s="152">
        <f t="shared" si="119"/>
        <v>40.506277180952537</v>
      </c>
      <c r="AM226" s="152">
        <f t="shared" si="120"/>
        <v>6.4028567062154362</v>
      </c>
      <c r="AN226" s="152"/>
      <c r="AO226" s="152">
        <f t="shared" si="122"/>
        <v>0</v>
      </c>
      <c r="AP226" s="152">
        <f t="shared" si="123"/>
        <v>17.139467842224917</v>
      </c>
      <c r="AS226" s="107"/>
      <c r="AT226" s="156">
        <v>1870</v>
      </c>
      <c r="AU226" s="107"/>
      <c r="BC226" s="159" t="s">
        <v>1073</v>
      </c>
    </row>
    <row r="227" spans="1:56" x14ac:dyDescent="0.2">
      <c r="A227" s="156">
        <v>1871</v>
      </c>
      <c r="B227" s="56">
        <v>1.5696895722029929</v>
      </c>
      <c r="C227" s="68">
        <v>1.6187170988974382</v>
      </c>
      <c r="D227" s="56">
        <v>4.3237717499999997</v>
      </c>
      <c r="E227" s="68">
        <v>15.373410666666667</v>
      </c>
      <c r="F227" s="57">
        <f t="shared" si="127"/>
        <v>5.4642405325577741</v>
      </c>
      <c r="G227" s="113">
        <v>1.842086485961451</v>
      </c>
      <c r="H227" s="109">
        <v>7.785140212591986</v>
      </c>
      <c r="I227" s="99">
        <v>0.56240639479313159</v>
      </c>
      <c r="J227" s="109">
        <v>3.7621000000000002</v>
      </c>
      <c r="K227" s="8"/>
      <c r="L227" s="14">
        <f t="shared" si="105"/>
        <v>280.9744334243357</v>
      </c>
      <c r="M227" s="14">
        <f t="shared" si="106"/>
        <v>32.374341977948767</v>
      </c>
      <c r="N227" s="14">
        <f t="shared" si="107"/>
        <v>21.618858749999998</v>
      </c>
      <c r="O227" s="14">
        <f t="shared" si="108"/>
        <v>46.120232000000001</v>
      </c>
      <c r="P227" s="14">
        <f t="shared" si="109"/>
        <v>7.1035126923251068</v>
      </c>
      <c r="Q227" s="14">
        <f t="shared" si="110"/>
        <v>5.5262594578843531</v>
      </c>
      <c r="R227" s="14">
        <f t="shared" si="111"/>
        <v>10.120682276369582</v>
      </c>
      <c r="S227" s="14">
        <f t="shared" si="112"/>
        <v>0.73112831323107108</v>
      </c>
      <c r="T227" s="14">
        <f t="shared" si="113"/>
        <v>11.286300000000001</v>
      </c>
      <c r="V227" s="14">
        <f t="shared" si="114"/>
        <v>415.85574889209454</v>
      </c>
      <c r="W227" s="14">
        <f t="shared" si="115"/>
        <v>404.56944889209456</v>
      </c>
      <c r="X227" s="163"/>
      <c r="Y227" s="4">
        <v>1.5449549534330966</v>
      </c>
      <c r="Z227" s="4">
        <v>1.1489933696827188</v>
      </c>
      <c r="AA227" s="4">
        <v>9.5645391395603898</v>
      </c>
      <c r="AB227" s="4">
        <v>14.627534642780935</v>
      </c>
      <c r="AC227" s="4">
        <v>4.8099317469257956</v>
      </c>
      <c r="AD227" s="4"/>
      <c r="AE227" s="5"/>
      <c r="AF227" s="4">
        <v>11.831979772739095</v>
      </c>
      <c r="AG227" s="5"/>
      <c r="AH227" s="5"/>
      <c r="AI227" s="152">
        <f t="shared" si="116"/>
        <v>298.94878348930422</v>
      </c>
      <c r="AJ227" s="152">
        <f t="shared" si="117"/>
        <v>22.979867393654377</v>
      </c>
      <c r="AK227" s="152">
        <f t="shared" si="118"/>
        <v>47.822695697801947</v>
      </c>
      <c r="AL227" s="152">
        <f t="shared" si="119"/>
        <v>43.882603928342803</v>
      </c>
      <c r="AM227" s="152">
        <f t="shared" si="120"/>
        <v>6.2529112710035344</v>
      </c>
      <c r="AN227" s="152"/>
      <c r="AO227" s="152">
        <f t="shared" si="122"/>
        <v>0</v>
      </c>
      <c r="AP227" s="152">
        <f t="shared" si="123"/>
        <v>15.381573704560823</v>
      </c>
      <c r="AS227" s="107"/>
      <c r="AT227" s="156">
        <v>1871</v>
      </c>
      <c r="AU227" s="73" t="s">
        <v>1078</v>
      </c>
    </row>
    <row r="228" spans="1:56" x14ac:dyDescent="0.2">
      <c r="A228" s="156">
        <v>1872</v>
      </c>
      <c r="B228" s="56">
        <v>1.6353598743725977</v>
      </c>
      <c r="C228" s="68">
        <v>1.6636209646009243</v>
      </c>
      <c r="D228" s="56">
        <v>4.8041908333333323</v>
      </c>
      <c r="E228" s="68">
        <v>14.4125725</v>
      </c>
      <c r="F228" s="57">
        <f t="shared" si="127"/>
        <v>5.1536745764533274</v>
      </c>
      <c r="G228" s="113">
        <v>1.9341367229676887</v>
      </c>
      <c r="H228" s="109">
        <v>8.4917182535576696</v>
      </c>
      <c r="I228" s="99">
        <v>0.62486789361449802</v>
      </c>
      <c r="J228" s="109">
        <v>4.5719000000000003</v>
      </c>
      <c r="K228" s="8"/>
      <c r="L228" s="14">
        <f t="shared" si="105"/>
        <v>292.72941751269497</v>
      </c>
      <c r="M228" s="14">
        <f t="shared" si="106"/>
        <v>33.272419292018483</v>
      </c>
      <c r="N228" s="14">
        <f t="shared" si="107"/>
        <v>24.020954166666662</v>
      </c>
      <c r="O228" s="14">
        <f t="shared" si="108"/>
        <v>43.237717500000002</v>
      </c>
      <c r="P228" s="14">
        <f t="shared" si="109"/>
        <v>6.6997769493893262</v>
      </c>
      <c r="Q228" s="14">
        <f t="shared" si="110"/>
        <v>5.8024101689030658</v>
      </c>
      <c r="R228" s="14">
        <f t="shared" si="111"/>
        <v>11.039233729624971</v>
      </c>
      <c r="S228" s="14">
        <f t="shared" si="112"/>
        <v>0.81232826169884742</v>
      </c>
      <c r="T228" s="14">
        <f t="shared" si="113"/>
        <v>13.715700000000002</v>
      </c>
      <c r="V228" s="14">
        <f t="shared" si="114"/>
        <v>431.32995758099639</v>
      </c>
      <c r="W228" s="14">
        <f t="shared" si="115"/>
        <v>417.61425758099637</v>
      </c>
      <c r="X228" s="163"/>
      <c r="Y228" s="4">
        <v>1.5588979716830142</v>
      </c>
      <c r="Z228" s="4">
        <v>1.0931239628352314</v>
      </c>
      <c r="AA228" s="4">
        <v>9.4051301539010499</v>
      </c>
      <c r="AB228" s="4">
        <v>14.154747450020285</v>
      </c>
      <c r="AC228" s="4">
        <v>4.6150435752641554</v>
      </c>
      <c r="AD228" s="4" t="s">
        <v>1040</v>
      </c>
      <c r="AE228" s="5"/>
      <c r="AF228" s="4">
        <v>12.001008055206796</v>
      </c>
      <c r="AG228" s="5"/>
      <c r="AH228" s="5"/>
      <c r="AI228" s="152">
        <f t="shared" si="116"/>
        <v>301.64675752066324</v>
      </c>
      <c r="AJ228" s="152">
        <f t="shared" si="117"/>
        <v>21.862479256704628</v>
      </c>
      <c r="AK228" s="152">
        <f t="shared" si="118"/>
        <v>47.025650769505248</v>
      </c>
      <c r="AL228" s="152">
        <f t="shared" si="119"/>
        <v>42.464242350060857</v>
      </c>
      <c r="AM228" s="152">
        <f t="shared" si="120"/>
        <v>5.9995566478434021</v>
      </c>
      <c r="AN228" s="152"/>
      <c r="AO228" s="152">
        <f t="shared" si="122"/>
        <v>0</v>
      </c>
      <c r="AP228" s="152">
        <f t="shared" si="123"/>
        <v>15.601310471768835</v>
      </c>
      <c r="AS228" s="107"/>
      <c r="AT228" s="156">
        <v>1872</v>
      </c>
      <c r="AU228" s="73" t="s">
        <v>1079</v>
      </c>
    </row>
    <row r="229" spans="1:56" x14ac:dyDescent="0.2">
      <c r="A229" s="156">
        <v>1873</v>
      </c>
      <c r="B229" s="56">
        <v>1.8980410830510177</v>
      </c>
      <c r="C229" s="68">
        <v>1.8432364274148703</v>
      </c>
      <c r="D229" s="56">
        <v>6.485657625</v>
      </c>
      <c r="E229" s="68">
        <v>20.658020583333332</v>
      </c>
      <c r="F229" s="57">
        <f t="shared" si="127"/>
        <v>4.8431086203488807</v>
      </c>
      <c r="G229" s="113">
        <v>1.9942265373298844</v>
      </c>
      <c r="H229" s="109">
        <v>8.5123155018847569</v>
      </c>
      <c r="I229" s="99">
        <v>0.62668869036661257</v>
      </c>
      <c r="J229" s="109">
        <v>6.7168000000000001</v>
      </c>
      <c r="K229" s="8"/>
      <c r="L229" s="14">
        <f t="shared" si="105"/>
        <v>339.7493538661322</v>
      </c>
      <c r="M229" s="14">
        <f t="shared" si="106"/>
        <v>36.864728548297407</v>
      </c>
      <c r="N229" s="14">
        <f t="shared" si="107"/>
        <v>32.428288125000002</v>
      </c>
      <c r="O229" s="14">
        <f t="shared" si="108"/>
        <v>61.974061749999997</v>
      </c>
      <c r="P229" s="14">
        <f t="shared" si="109"/>
        <v>6.2960412064535447</v>
      </c>
      <c r="Q229" s="14">
        <f t="shared" si="110"/>
        <v>5.9826796119896528</v>
      </c>
      <c r="R229" s="14">
        <f t="shared" si="111"/>
        <v>11.066010152450184</v>
      </c>
      <c r="S229" s="14">
        <f t="shared" si="112"/>
        <v>0.81469529747659641</v>
      </c>
      <c r="T229" s="14">
        <f t="shared" si="113"/>
        <v>20.150400000000001</v>
      </c>
      <c r="V229" s="14">
        <f t="shared" si="114"/>
        <v>515.32625855779963</v>
      </c>
      <c r="W229" s="14">
        <f t="shared" si="115"/>
        <v>495.17585855779964</v>
      </c>
      <c r="X229" s="163"/>
      <c r="Y229" s="4">
        <v>1.6326022127921009</v>
      </c>
      <c r="Z229" s="4">
        <v>1.1704375651266508</v>
      </c>
      <c r="AA229" s="4">
        <v>10.361584067857089</v>
      </c>
      <c r="AB229" s="4">
        <v>14.106421579154016</v>
      </c>
      <c r="AC229" s="4">
        <v>4.6886685597390585</v>
      </c>
      <c r="AD229" s="4">
        <v>1.6495250711889851</v>
      </c>
      <c r="AE229" s="5"/>
      <c r="AF229" s="4">
        <v>10.310725230529782</v>
      </c>
      <c r="AG229" s="5"/>
      <c r="AH229" s="5"/>
      <c r="AI229" s="152">
        <f t="shared" si="116"/>
        <v>315.90852817527156</v>
      </c>
      <c r="AJ229" s="152">
        <f t="shared" si="117"/>
        <v>23.408751302533016</v>
      </c>
      <c r="AK229" s="152">
        <f t="shared" si="118"/>
        <v>51.807920339285445</v>
      </c>
      <c r="AL229" s="152">
        <f t="shared" si="119"/>
        <v>42.319264737462049</v>
      </c>
      <c r="AM229" s="152">
        <f t="shared" si="120"/>
        <v>6.0952691276607762</v>
      </c>
      <c r="AN229" s="152">
        <f t="shared" si="121"/>
        <v>4.9485752135669552</v>
      </c>
      <c r="AO229" s="152">
        <f t="shared" si="122"/>
        <v>0</v>
      </c>
      <c r="AP229" s="152">
        <f t="shared" si="123"/>
        <v>13.403942799688716</v>
      </c>
      <c r="AS229" s="152">
        <f t="shared" si="124"/>
        <v>457.89225169546853</v>
      </c>
      <c r="AT229" s="156">
        <v>1873</v>
      </c>
      <c r="AU229" s="109">
        <f t="shared" si="125"/>
        <v>1.0814244109269782</v>
      </c>
    </row>
    <row r="230" spans="1:56" x14ac:dyDescent="0.2">
      <c r="A230" s="156">
        <v>1874</v>
      </c>
      <c r="B230" s="56">
        <v>1.8980410830510177</v>
      </c>
      <c r="C230" s="68">
        <v>1.8432364274148703</v>
      </c>
      <c r="D230" s="56">
        <v>6.485657625</v>
      </c>
      <c r="E230" s="68">
        <v>21.859068291666667</v>
      </c>
      <c r="F230" s="57">
        <f t="shared" si="127"/>
        <v>4.532542664244434</v>
      </c>
      <c r="G230" s="113">
        <v>2.0578054382616191</v>
      </c>
      <c r="H230" s="109">
        <v>8.1626477013128991</v>
      </c>
      <c r="I230" s="99">
        <v>0.59577805679606033</v>
      </c>
      <c r="J230" s="109">
        <v>7.1487999999999996</v>
      </c>
      <c r="K230" s="8"/>
      <c r="L230" s="14">
        <f t="shared" si="105"/>
        <v>339.7493538661322</v>
      </c>
      <c r="M230" s="14">
        <f t="shared" si="106"/>
        <v>36.864728548297407</v>
      </c>
      <c r="N230" s="14">
        <f t="shared" si="107"/>
        <v>32.428288125000002</v>
      </c>
      <c r="O230" s="14">
        <f t="shared" si="108"/>
        <v>65.577204875000007</v>
      </c>
      <c r="P230" s="14">
        <f t="shared" si="109"/>
        <v>5.8923054635177641</v>
      </c>
      <c r="Q230" s="14">
        <f t="shared" si="110"/>
        <v>6.1734163147848573</v>
      </c>
      <c r="R230" s="14">
        <f t="shared" si="111"/>
        <v>10.611442011706769</v>
      </c>
      <c r="S230" s="14">
        <f t="shared" si="112"/>
        <v>0.77451147383487851</v>
      </c>
      <c r="T230" s="14">
        <f t="shared" si="113"/>
        <v>21.446399999999997</v>
      </c>
      <c r="V230" s="14">
        <f t="shared" si="114"/>
        <v>519.51765067827387</v>
      </c>
      <c r="W230" s="14">
        <f t="shared" si="115"/>
        <v>498.07125067827388</v>
      </c>
      <c r="X230" s="163"/>
      <c r="Y230" s="4">
        <v>1.5771479870139402</v>
      </c>
      <c r="Z230" s="4">
        <v>1.3235342480003227</v>
      </c>
      <c r="AA230" s="4">
        <v>9.8833571108790697</v>
      </c>
      <c r="AB230" s="4">
        <v>15.188234436085098</v>
      </c>
      <c r="AC230" s="4">
        <v>4.492608844223736</v>
      </c>
      <c r="AD230" s="4" t="s">
        <v>1041</v>
      </c>
      <c r="AE230" s="5"/>
      <c r="AF230" s="4">
        <v>6.9301595811757544</v>
      </c>
      <c r="AG230" s="5"/>
      <c r="AH230" s="5"/>
      <c r="AI230" s="152">
        <f t="shared" si="116"/>
        <v>305.17813548719744</v>
      </c>
      <c r="AJ230" s="152">
        <f t="shared" si="117"/>
        <v>26.470684960006455</v>
      </c>
      <c r="AK230" s="152">
        <f t="shared" si="118"/>
        <v>49.416785554395346</v>
      </c>
      <c r="AL230" s="152">
        <f t="shared" si="119"/>
        <v>45.564703308255297</v>
      </c>
      <c r="AM230" s="152">
        <f t="shared" si="120"/>
        <v>5.8403914974908568</v>
      </c>
      <c r="AN230" s="152"/>
      <c r="AO230" s="152">
        <f t="shared" si="122"/>
        <v>0</v>
      </c>
      <c r="AP230" s="152">
        <f t="shared" si="123"/>
        <v>9.0092074555284807</v>
      </c>
      <c r="AS230" s="107"/>
      <c r="AT230" s="156">
        <v>1874</v>
      </c>
      <c r="AU230" s="107"/>
    </row>
    <row r="231" spans="1:56" x14ac:dyDescent="0.2">
      <c r="A231" s="156">
        <v>1875</v>
      </c>
      <c r="B231" s="56">
        <v>1.9637113852206227</v>
      </c>
      <c r="C231" s="68">
        <v>1.8881402931183568</v>
      </c>
      <c r="D231" s="56">
        <v>6.9660767083333335</v>
      </c>
      <c r="E231" s="68">
        <v>23.060116000000004</v>
      </c>
      <c r="F231" s="57">
        <f t="shared" si="127"/>
        <v>4.2219767081399873</v>
      </c>
      <c r="G231" s="113">
        <v>2.0027980476023273</v>
      </c>
      <c r="H231" s="109">
        <v>7.9034072553729064</v>
      </c>
      <c r="I231" s="99">
        <v>0.57286120137496499</v>
      </c>
      <c r="J231" s="109">
        <v>4.8948999999999998</v>
      </c>
      <c r="K231" s="8"/>
      <c r="L231" s="14">
        <f t="shared" si="105"/>
        <v>351.50433795449146</v>
      </c>
      <c r="M231" s="14">
        <f t="shared" si="106"/>
        <v>37.762805862367138</v>
      </c>
      <c r="N231" s="14">
        <f t="shared" si="107"/>
        <v>34.83038354166667</v>
      </c>
      <c r="O231" s="14">
        <f t="shared" si="108"/>
        <v>69.180348000000009</v>
      </c>
      <c r="P231" s="14">
        <f t="shared" si="109"/>
        <v>5.4885697205819834</v>
      </c>
      <c r="Q231" s="14">
        <f t="shared" si="110"/>
        <v>6.0083941428069814</v>
      </c>
      <c r="R231" s="14">
        <f t="shared" si="111"/>
        <v>10.274429431984778</v>
      </c>
      <c r="S231" s="14">
        <f t="shared" si="112"/>
        <v>0.74471956178745446</v>
      </c>
      <c r="T231" s="14">
        <f t="shared" si="113"/>
        <v>14.684699999999999</v>
      </c>
      <c r="V231" s="14">
        <f t="shared" si="114"/>
        <v>530.47868821568647</v>
      </c>
      <c r="W231" s="14">
        <f t="shared" si="115"/>
        <v>515.79398821568645</v>
      </c>
      <c r="X231" s="163"/>
      <c r="Y231" s="4">
        <v>1.3108836432264157</v>
      </c>
      <c r="Z231" s="4">
        <v>1.2996615980613375</v>
      </c>
      <c r="AA231" s="4">
        <v>10.202175082197749</v>
      </c>
      <c r="AB231" s="4">
        <v>15.393392825761016</v>
      </c>
      <c r="AC231" s="4">
        <v>4.3849952014469258</v>
      </c>
      <c r="AD231" s="4" t="s">
        <v>1042</v>
      </c>
      <c r="AE231" s="5"/>
      <c r="AF231" s="4">
        <v>6.7611312987080527</v>
      </c>
      <c r="AG231" s="5"/>
      <c r="AH231" s="5"/>
      <c r="AI231" s="152">
        <f t="shared" si="116"/>
        <v>253.65598496431144</v>
      </c>
      <c r="AJ231" s="152">
        <f t="shared" si="117"/>
        <v>25.993231961226751</v>
      </c>
      <c r="AK231" s="152">
        <f t="shared" si="118"/>
        <v>51.010875410988746</v>
      </c>
      <c r="AL231" s="152">
        <f t="shared" si="119"/>
        <v>46.18017847728305</v>
      </c>
      <c r="AM231" s="152">
        <f t="shared" si="120"/>
        <v>5.7004937618810034</v>
      </c>
      <c r="AN231" s="152"/>
      <c r="AO231" s="152">
        <f t="shared" si="122"/>
        <v>0</v>
      </c>
      <c r="AP231" s="152">
        <f t="shared" si="123"/>
        <v>8.7894706883204687</v>
      </c>
      <c r="AS231" s="107"/>
      <c r="AT231" s="156">
        <v>1875</v>
      </c>
      <c r="AU231" s="107"/>
    </row>
    <row r="232" spans="1:56" x14ac:dyDescent="0.2">
      <c r="A232" s="156">
        <v>1876</v>
      </c>
      <c r="B232" s="56">
        <v>1.7010301765422027</v>
      </c>
      <c r="C232" s="68">
        <v>1.7085248303044109</v>
      </c>
      <c r="D232" s="56">
        <v>6.2454480833333337</v>
      </c>
      <c r="E232" s="68">
        <v>17.295087000000002</v>
      </c>
      <c r="F232" s="57">
        <f t="shared" si="127"/>
        <v>3.9114107520355401</v>
      </c>
      <c r="G232" s="113">
        <v>1.872720554701448</v>
      </c>
      <c r="H232" s="109">
        <v>7.8176912604132394</v>
      </c>
      <c r="I232" s="99">
        <v>0.56528390742053036</v>
      </c>
      <c r="J232" s="109">
        <v>4.3852000000000002</v>
      </c>
      <c r="K232" s="8"/>
      <c r="L232" s="14">
        <f t="shared" si="105"/>
        <v>304.48440160105429</v>
      </c>
      <c r="M232" s="14">
        <f t="shared" si="106"/>
        <v>34.170496606088221</v>
      </c>
      <c r="N232" s="14">
        <f t="shared" si="107"/>
        <v>31.227240416666667</v>
      </c>
      <c r="O232" s="14">
        <f t="shared" si="108"/>
        <v>51.885261000000007</v>
      </c>
      <c r="P232" s="14">
        <f t="shared" si="109"/>
        <v>5.0848339776462019</v>
      </c>
      <c r="Q232" s="14">
        <f t="shared" si="110"/>
        <v>5.6181616641043437</v>
      </c>
      <c r="R232" s="14">
        <f t="shared" si="111"/>
        <v>10.162998638537211</v>
      </c>
      <c r="S232" s="14">
        <f t="shared" si="112"/>
        <v>0.73486907964668946</v>
      </c>
      <c r="T232" s="14">
        <f t="shared" si="113"/>
        <v>13.1556</v>
      </c>
      <c r="V232" s="14">
        <f t="shared" si="114"/>
        <v>456.52386298374364</v>
      </c>
      <c r="W232" s="14">
        <f t="shared" si="115"/>
        <v>443.36826298374365</v>
      </c>
      <c r="X232" s="163"/>
      <c r="Y232" s="4">
        <v>1.4444166617901009</v>
      </c>
      <c r="Z232" s="4">
        <v>1.2497818555982421</v>
      </c>
      <c r="AA232" s="4">
        <v>9.8833571108790697</v>
      </c>
      <c r="AB232" s="4">
        <v>17.186178397502179</v>
      </c>
      <c r="AC232" s="4">
        <v>4.5158961997166402</v>
      </c>
      <c r="AD232" s="4">
        <v>1.4453036635319242E-2</v>
      </c>
      <c r="AE232" s="5"/>
      <c r="AF232" s="4">
        <v>9.8036403831266767</v>
      </c>
      <c r="AG232" s="5"/>
      <c r="AH232" s="5"/>
      <c r="AI232" s="152">
        <f t="shared" si="116"/>
        <v>279.49462405638451</v>
      </c>
      <c r="AJ232" s="152">
        <f t="shared" si="117"/>
        <v>24.99563711196484</v>
      </c>
      <c r="AK232" s="152">
        <f t="shared" si="118"/>
        <v>49.416785554395346</v>
      </c>
      <c r="AL232" s="152">
        <f t="shared" si="119"/>
        <v>51.55853519250654</v>
      </c>
      <c r="AM232" s="152">
        <f t="shared" si="120"/>
        <v>5.8706650596316328</v>
      </c>
      <c r="AN232" s="152"/>
      <c r="AO232" s="152">
        <f t="shared" si="122"/>
        <v>0</v>
      </c>
      <c r="AP232" s="152">
        <f t="shared" si="123"/>
        <v>12.74473249806468</v>
      </c>
      <c r="AS232" s="107"/>
      <c r="AT232" s="156">
        <v>1876</v>
      </c>
      <c r="AU232" s="107"/>
    </row>
    <row r="233" spans="1:56" x14ac:dyDescent="0.2">
      <c r="A233" s="156">
        <v>1877</v>
      </c>
      <c r="B233" s="56">
        <v>1.8980410830510177</v>
      </c>
      <c r="C233" s="68">
        <v>1.8432364274148703</v>
      </c>
      <c r="D233" s="56">
        <v>6.2454480833333337</v>
      </c>
      <c r="E233" s="68">
        <v>18.255925166666664</v>
      </c>
      <c r="F233" s="57">
        <f t="shared" si="127"/>
        <v>3.600844795931093</v>
      </c>
      <c r="G233" s="113">
        <v>1.7346749233506551</v>
      </c>
      <c r="H233" s="109">
        <v>7.7681857009255006</v>
      </c>
      <c r="I233" s="99">
        <v>0.56090761596181427</v>
      </c>
      <c r="J233" s="109">
        <v>4.1707999999999998</v>
      </c>
      <c r="K233" s="8"/>
      <c r="L233" s="14">
        <f t="shared" si="105"/>
        <v>339.7493538661322</v>
      </c>
      <c r="M233" s="14">
        <f t="shared" si="106"/>
        <v>36.864728548297407</v>
      </c>
      <c r="N233" s="14">
        <f t="shared" si="107"/>
        <v>31.227240416666667</v>
      </c>
      <c r="O233" s="14">
        <f t="shared" si="108"/>
        <v>54.767775499999992</v>
      </c>
      <c r="P233" s="14">
        <f t="shared" si="109"/>
        <v>4.6810982347104213</v>
      </c>
      <c r="Q233" s="14">
        <f t="shared" si="110"/>
        <v>5.2040247700519657</v>
      </c>
      <c r="R233" s="14">
        <f t="shared" si="111"/>
        <v>10.09864141120315</v>
      </c>
      <c r="S233" s="14">
        <f t="shared" si="112"/>
        <v>0.72917990075035855</v>
      </c>
      <c r="T233" s="14">
        <f t="shared" si="113"/>
        <v>12.5124</v>
      </c>
      <c r="V233" s="14">
        <f t="shared" si="114"/>
        <v>495.83444264781218</v>
      </c>
      <c r="W233" s="14">
        <f t="shared" si="115"/>
        <v>483.32204264781217</v>
      </c>
      <c r="X233" s="163"/>
      <c r="Y233" s="4">
        <v>1.707750675163995</v>
      </c>
      <c r="Z233" s="4">
        <v>1.0866195911568977</v>
      </c>
      <c r="AA233" s="4">
        <v>9.7239481252197297</v>
      </c>
      <c r="AB233" s="4">
        <v>16.578008757371428</v>
      </c>
      <c r="AC233" s="4">
        <v>4.4684526392429635</v>
      </c>
      <c r="AD233" s="4" t="s">
        <v>1043</v>
      </c>
      <c r="AE233" s="5"/>
      <c r="AF233" s="4">
        <v>8.113357558449664</v>
      </c>
      <c r="AG233" s="5"/>
      <c r="AH233" s="5"/>
      <c r="AI233" s="152">
        <f t="shared" si="116"/>
        <v>330.44975564423305</v>
      </c>
      <c r="AJ233" s="152">
        <f t="shared" si="117"/>
        <v>21.732391823137952</v>
      </c>
      <c r="AK233" s="152">
        <f t="shared" si="118"/>
        <v>48.619740626098647</v>
      </c>
      <c r="AL233" s="152">
        <f t="shared" si="119"/>
        <v>49.734026272114285</v>
      </c>
      <c r="AM233" s="152">
        <f t="shared" si="120"/>
        <v>5.8089884310158526</v>
      </c>
      <c r="AN233" s="152"/>
      <c r="AO233" s="152">
        <f t="shared" si="122"/>
        <v>0</v>
      </c>
      <c r="AP233" s="152">
        <f t="shared" si="123"/>
        <v>10.547364825984564</v>
      </c>
      <c r="AS233" s="107"/>
      <c r="AT233" s="156">
        <v>1877</v>
      </c>
      <c r="AU233" s="107"/>
    </row>
    <row r="234" spans="1:56" x14ac:dyDescent="0.2">
      <c r="A234" s="156">
        <v>1878</v>
      </c>
      <c r="B234" s="56">
        <v>1.9637113852206227</v>
      </c>
      <c r="C234" s="68">
        <v>1.8881402931183568</v>
      </c>
      <c r="D234" s="56">
        <v>6.2454480833333337</v>
      </c>
      <c r="E234" s="68">
        <v>20.417811041666667</v>
      </c>
      <c r="F234" s="57">
        <f t="shared" si="127"/>
        <v>3.2902788398266458</v>
      </c>
      <c r="G234" s="113">
        <v>1.6970327517782469</v>
      </c>
      <c r="H234" s="109">
        <v>7.5761838199874001</v>
      </c>
      <c r="I234" s="99">
        <v>0.54393464968688621</v>
      </c>
      <c r="J234" s="109">
        <v>3.391</v>
      </c>
      <c r="K234" s="8"/>
      <c r="L234" s="14">
        <f t="shared" si="105"/>
        <v>351.50433795449146</v>
      </c>
      <c r="M234" s="14">
        <f t="shared" si="106"/>
        <v>37.762805862367138</v>
      </c>
      <c r="N234" s="14">
        <f t="shared" si="107"/>
        <v>31.227240416666667</v>
      </c>
      <c r="O234" s="14">
        <f t="shared" si="108"/>
        <v>61.253433125000001</v>
      </c>
      <c r="P234" s="14">
        <f t="shared" si="109"/>
        <v>4.2773624917746398</v>
      </c>
      <c r="Q234" s="14">
        <f t="shared" si="110"/>
        <v>5.0910982553347406</v>
      </c>
      <c r="R234" s="14">
        <f t="shared" si="111"/>
        <v>9.8490389659836204</v>
      </c>
      <c r="S234" s="14">
        <f t="shared" si="112"/>
        <v>0.70711504459295205</v>
      </c>
      <c r="T234" s="14">
        <f t="shared" si="113"/>
        <v>10.173</v>
      </c>
      <c r="V234" s="14">
        <f t="shared" si="114"/>
        <v>511.84543211621121</v>
      </c>
      <c r="W234" s="14">
        <f t="shared" si="115"/>
        <v>501.67243211621121</v>
      </c>
      <c r="X234" s="163"/>
      <c r="Y234" s="4">
        <v>1.4574580518669797</v>
      </c>
      <c r="Z234" s="4">
        <v>1.2419283997764494</v>
      </c>
      <c r="AA234" s="4">
        <v>9.7239481252197297</v>
      </c>
      <c r="AB234" s="4">
        <v>16.442801643615386</v>
      </c>
      <c r="AC234" s="4">
        <v>4.2798271843360869</v>
      </c>
      <c r="AD234" s="4" t="s">
        <v>1044</v>
      </c>
      <c r="AE234" s="5"/>
      <c r="AF234" s="4">
        <v>6.1695323100710988</v>
      </c>
      <c r="AG234" s="5"/>
      <c r="AH234" s="5"/>
      <c r="AI234" s="152">
        <f t="shared" si="116"/>
        <v>282.01813303626056</v>
      </c>
      <c r="AJ234" s="152">
        <f t="shared" si="117"/>
        <v>24.83856799552899</v>
      </c>
      <c r="AK234" s="152">
        <f t="shared" si="118"/>
        <v>48.619740626098647</v>
      </c>
      <c r="AL234" s="152">
        <f t="shared" si="119"/>
        <v>49.328404930846162</v>
      </c>
      <c r="AM234" s="152">
        <f t="shared" si="120"/>
        <v>5.563775339636913</v>
      </c>
      <c r="AN234" s="152"/>
      <c r="AO234" s="152">
        <f t="shared" si="122"/>
        <v>0</v>
      </c>
      <c r="AP234" s="152">
        <f t="shared" si="123"/>
        <v>8.0203920030924287</v>
      </c>
      <c r="AS234" s="107"/>
      <c r="AT234" s="156">
        <v>1878</v>
      </c>
      <c r="AU234" s="107"/>
    </row>
    <row r="235" spans="1:56" x14ac:dyDescent="0.2">
      <c r="A235" s="156">
        <v>1879</v>
      </c>
      <c r="B235" s="56">
        <v>1.7667004787118079</v>
      </c>
      <c r="C235" s="68">
        <v>1.7534286960078971</v>
      </c>
      <c r="D235" s="56">
        <v>6.0052385416666674</v>
      </c>
      <c r="E235" s="68">
        <v>17.295087000000002</v>
      </c>
      <c r="F235" s="57">
        <f t="shared" si="127"/>
        <v>2.9797128837221987</v>
      </c>
      <c r="G235" s="113">
        <v>1.6230859547781127</v>
      </c>
      <c r="H235" s="109">
        <v>6.7475762489410664</v>
      </c>
      <c r="I235" s="99">
        <v>0.47068574040639033</v>
      </c>
      <c r="J235" s="109">
        <v>3.7742</v>
      </c>
      <c r="K235" s="8"/>
      <c r="L235" s="14">
        <f t="shared" si="105"/>
        <v>316.23938568941361</v>
      </c>
      <c r="M235" s="14">
        <f t="shared" si="106"/>
        <v>35.068573920157945</v>
      </c>
      <c r="N235" s="14">
        <f t="shared" si="107"/>
        <v>30.026192708333337</v>
      </c>
      <c r="O235" s="14">
        <f t="shared" si="108"/>
        <v>51.885261000000007</v>
      </c>
      <c r="P235" s="14">
        <f t="shared" si="109"/>
        <v>3.8736267488388583</v>
      </c>
      <c r="Q235" s="14">
        <f t="shared" si="110"/>
        <v>4.8692578643343385</v>
      </c>
      <c r="R235" s="14">
        <f t="shared" si="111"/>
        <v>8.7718491236233866</v>
      </c>
      <c r="S235" s="14">
        <f t="shared" si="112"/>
        <v>0.61189146252830739</v>
      </c>
      <c r="T235" s="14">
        <f t="shared" si="113"/>
        <v>11.3226</v>
      </c>
      <c r="V235" s="14">
        <f t="shared" si="114"/>
        <v>462.66863851722974</v>
      </c>
      <c r="W235" s="14">
        <f t="shared" si="115"/>
        <v>451.34603851722972</v>
      </c>
      <c r="X235" s="163"/>
      <c r="Y235" s="4">
        <v>1.4100310918379597</v>
      </c>
      <c r="Z235" s="4">
        <v>1.2325192307604296</v>
      </c>
      <c r="AA235" s="4">
        <v>8.7674942112636902</v>
      </c>
      <c r="AB235" s="4">
        <v>14.855255205453027</v>
      </c>
      <c r="AC235" s="4">
        <v>3.9952419349846102</v>
      </c>
      <c r="AD235" s="4" t="s">
        <v>1045</v>
      </c>
      <c r="AE235" s="5"/>
      <c r="AF235" s="4">
        <v>4.9863343327971892</v>
      </c>
      <c r="AG235" s="5"/>
      <c r="AH235" s="5"/>
      <c r="AI235" s="152">
        <f t="shared" si="116"/>
        <v>272.84101627064518</v>
      </c>
      <c r="AJ235" s="152">
        <f t="shared" si="117"/>
        <v>24.650384615208591</v>
      </c>
      <c r="AK235" s="152">
        <f t="shared" si="118"/>
        <v>43.837471056318449</v>
      </c>
      <c r="AL235" s="152">
        <f t="shared" si="119"/>
        <v>44.56576561635908</v>
      </c>
      <c r="AM235" s="152">
        <f t="shared" si="120"/>
        <v>5.1938145154799935</v>
      </c>
      <c r="AN235" s="152"/>
      <c r="AO235" s="152">
        <f t="shared" si="122"/>
        <v>0</v>
      </c>
      <c r="AP235" s="152">
        <f t="shared" si="123"/>
        <v>6.482234632636346</v>
      </c>
      <c r="AS235" s="107"/>
      <c r="AT235" s="156">
        <v>1879</v>
      </c>
      <c r="AU235" s="107"/>
    </row>
    <row r="236" spans="1:56" x14ac:dyDescent="0.2">
      <c r="A236" s="156">
        <v>1880</v>
      </c>
      <c r="B236" s="56">
        <v>1.8323707808814127</v>
      </c>
      <c r="C236" s="68">
        <v>1.7983325617113839</v>
      </c>
      <c r="D236" s="56">
        <v>6.2454480833333337</v>
      </c>
      <c r="E236" s="68">
        <v>19.216763333333336</v>
      </c>
      <c r="F236" s="57">
        <f t="shared" si="127"/>
        <v>2.6691469276177515</v>
      </c>
      <c r="G236" s="113">
        <v>1.6615491848310839</v>
      </c>
      <c r="H236" s="109">
        <v>6.6779065266624364</v>
      </c>
      <c r="I236" s="99">
        <v>0.46452693695695935</v>
      </c>
      <c r="J236" s="109">
        <v>4.1458000000000004</v>
      </c>
      <c r="K236" s="8"/>
      <c r="L236" s="14">
        <f t="shared" si="105"/>
        <v>327.99436977777287</v>
      </c>
      <c r="M236" s="14">
        <f t="shared" si="106"/>
        <v>35.966651234227676</v>
      </c>
      <c r="N236" s="14">
        <f t="shared" si="107"/>
        <v>31.227240416666667</v>
      </c>
      <c r="O236" s="14">
        <f t="shared" si="108"/>
        <v>57.650290000000012</v>
      </c>
      <c r="P236" s="14">
        <f t="shared" si="109"/>
        <v>3.4698910059030772</v>
      </c>
      <c r="Q236" s="14">
        <f t="shared" si="110"/>
        <v>4.984647554493252</v>
      </c>
      <c r="R236" s="14">
        <f t="shared" si="111"/>
        <v>8.681278484661167</v>
      </c>
      <c r="S236" s="14">
        <f t="shared" si="112"/>
        <v>0.60388501804404715</v>
      </c>
      <c r="T236" s="14">
        <f t="shared" si="113"/>
        <v>12.4374</v>
      </c>
      <c r="V236" s="14">
        <f t="shared" si="114"/>
        <v>483.01565349176889</v>
      </c>
      <c r="W236" s="14">
        <f t="shared" si="115"/>
        <v>470.57825349176886</v>
      </c>
      <c r="X236" s="163"/>
      <c r="Y236" s="4">
        <v>1.4010565345296497</v>
      </c>
      <c r="Z236" s="4">
        <v>1.2743306932309535</v>
      </c>
      <c r="AA236" s="4">
        <v>9.24572116824171</v>
      </c>
      <c r="AB236" s="4">
        <v>14.733982388497447</v>
      </c>
      <c r="AC236" s="4">
        <v>3.9833474859467066</v>
      </c>
      <c r="AD236" s="145">
        <v>1.4998360698998199</v>
      </c>
      <c r="AE236" s="5"/>
      <c r="AF236" s="4">
        <v>5.07084847403104</v>
      </c>
      <c r="AG236" s="5"/>
      <c r="AH236" s="5"/>
      <c r="AI236" s="152">
        <f t="shared" si="116"/>
        <v>271.10443943148721</v>
      </c>
      <c r="AJ236" s="152">
        <f t="shared" si="117"/>
        <v>25.48661386461907</v>
      </c>
      <c r="AK236" s="152">
        <f t="shared" si="118"/>
        <v>46.228605841208548</v>
      </c>
      <c r="AL236" s="152">
        <f t="shared" si="119"/>
        <v>44.201947165492342</v>
      </c>
      <c r="AM236" s="152">
        <f t="shared" si="120"/>
        <v>5.1783517317307188</v>
      </c>
      <c r="AN236" s="152">
        <f t="shared" si="121"/>
        <v>4.4995082096994601</v>
      </c>
      <c r="AO236" s="152">
        <f t="shared" si="122"/>
        <v>0</v>
      </c>
      <c r="AP236" s="152">
        <f t="shared" si="123"/>
        <v>6.592103016240352</v>
      </c>
      <c r="AS236" s="152">
        <f t="shared" si="124"/>
        <v>403.29156926047773</v>
      </c>
      <c r="AT236" s="156">
        <v>1880</v>
      </c>
      <c r="AU236" s="109">
        <f t="shared" si="125"/>
        <v>1.1668437660491535</v>
      </c>
    </row>
    <row r="237" spans="1:56" x14ac:dyDescent="0.2">
      <c r="A237" s="156">
        <v>1881</v>
      </c>
      <c r="B237" s="56">
        <v>1.9637113852206227</v>
      </c>
      <c r="C237" s="68">
        <v>1.8881402931183568</v>
      </c>
      <c r="D237" s="56">
        <v>6.7258671666666672</v>
      </c>
      <c r="E237" s="68">
        <v>20.177601499999998</v>
      </c>
      <c r="F237" s="57">
        <f t="shared" si="127"/>
        <v>2.3585809715133044</v>
      </c>
      <c r="G237" s="113">
        <v>1.6104609005301891</v>
      </c>
      <c r="H237" s="109">
        <v>6.1287401626287448</v>
      </c>
      <c r="I237" s="99">
        <v>0.415980630376381</v>
      </c>
      <c r="J237" s="109">
        <v>4.0133000000000001</v>
      </c>
      <c r="K237" s="8"/>
      <c r="L237" s="14">
        <f t="shared" si="105"/>
        <v>351.50433795449146</v>
      </c>
      <c r="M237" s="14">
        <f t="shared" si="106"/>
        <v>37.762805862367138</v>
      </c>
      <c r="N237" s="14">
        <f t="shared" si="107"/>
        <v>33.629335833333336</v>
      </c>
      <c r="O237" s="14">
        <f t="shared" si="108"/>
        <v>60.532804499999997</v>
      </c>
      <c r="P237" s="14">
        <f t="shared" si="109"/>
        <v>3.0661552629672957</v>
      </c>
      <c r="Q237" s="14">
        <f t="shared" si="110"/>
        <v>4.8313827015905675</v>
      </c>
      <c r="R237" s="14">
        <f t="shared" si="111"/>
        <v>7.9673622114173686</v>
      </c>
      <c r="S237" s="14">
        <f t="shared" si="112"/>
        <v>0.54077481948929529</v>
      </c>
      <c r="T237" s="14">
        <f t="shared" si="113"/>
        <v>12.039899999999999</v>
      </c>
      <c r="V237" s="14">
        <f t="shared" si="114"/>
        <v>511.87485914565644</v>
      </c>
      <c r="W237" s="14">
        <f t="shared" si="115"/>
        <v>499.83495914565646</v>
      </c>
      <c r="X237" s="163"/>
      <c r="Y237" s="4">
        <v>1.4476011730411416</v>
      </c>
      <c r="Z237" s="4">
        <v>1.2500571844282604</v>
      </c>
      <c r="AA237" s="4">
        <v>8.9269031969230301</v>
      </c>
      <c r="AB237" s="4">
        <v>17.219522280462638</v>
      </c>
      <c r="AC237" s="4">
        <v>3.9844811354004919</v>
      </c>
      <c r="AD237" s="145">
        <v>1.428269808512636</v>
      </c>
      <c r="AE237" s="5"/>
      <c r="AF237" s="4">
        <v>4.9018201915633393</v>
      </c>
      <c r="AG237" s="5"/>
      <c r="AH237" s="5"/>
      <c r="AI237" s="152">
        <f t="shared" si="116"/>
        <v>280.11082698346087</v>
      </c>
      <c r="AJ237" s="152">
        <f t="shared" si="117"/>
        <v>25.001143688565207</v>
      </c>
      <c r="AK237" s="152">
        <f t="shared" si="118"/>
        <v>44.634515984615149</v>
      </c>
      <c r="AL237" s="152">
        <f t="shared" si="119"/>
        <v>51.658566841387909</v>
      </c>
      <c r="AM237" s="152">
        <f t="shared" si="120"/>
        <v>5.1798254760206399</v>
      </c>
      <c r="AN237" s="152">
        <f t="shared" si="121"/>
        <v>4.2848094255379081</v>
      </c>
      <c r="AO237" s="152">
        <f t="shared" si="122"/>
        <v>0</v>
      </c>
      <c r="AP237" s="152">
        <f t="shared" si="123"/>
        <v>6.3723662490323409</v>
      </c>
      <c r="AS237" s="152">
        <f t="shared" si="124"/>
        <v>417.24205464862001</v>
      </c>
      <c r="AT237" s="156">
        <v>1881</v>
      </c>
      <c r="AU237" s="109">
        <f t="shared" si="125"/>
        <v>1.1979496160006977</v>
      </c>
    </row>
    <row r="238" spans="1:56" x14ac:dyDescent="0.2">
      <c r="A238" s="156">
        <v>1882</v>
      </c>
      <c r="B238" s="56">
        <v>1.9637113852206227</v>
      </c>
      <c r="C238" s="68">
        <v>1.8881402931183568</v>
      </c>
      <c r="D238" s="56">
        <v>6.7258671666666672</v>
      </c>
      <c r="E238" s="68">
        <v>21.138439666666667</v>
      </c>
      <c r="F238" s="56">
        <v>2.0480150154088554</v>
      </c>
      <c r="G238" s="113">
        <v>1.5859834159405617</v>
      </c>
      <c r="H238" s="109">
        <v>6.2031579110216422</v>
      </c>
      <c r="I238" s="99">
        <v>0.42255915933431321</v>
      </c>
      <c r="J238" s="109">
        <v>3.6105999999999998</v>
      </c>
      <c r="K238" s="8"/>
      <c r="L238" s="14">
        <f t="shared" si="105"/>
        <v>351.50433795449146</v>
      </c>
      <c r="M238" s="14">
        <f t="shared" si="106"/>
        <v>37.762805862367138</v>
      </c>
      <c r="N238" s="14">
        <f t="shared" si="107"/>
        <v>33.629335833333336</v>
      </c>
      <c r="O238" s="14">
        <f t="shared" si="108"/>
        <v>63.415318999999997</v>
      </c>
      <c r="P238" s="14">
        <f t="shared" si="109"/>
        <v>2.6624195200315124</v>
      </c>
      <c r="Q238" s="14">
        <f t="shared" si="110"/>
        <v>4.7579502478216851</v>
      </c>
      <c r="R238" s="14">
        <f t="shared" si="111"/>
        <v>8.0641052843281358</v>
      </c>
      <c r="S238" s="14">
        <f t="shared" si="112"/>
        <v>0.54932690713460719</v>
      </c>
      <c r="T238" s="14">
        <f t="shared" si="113"/>
        <v>10.831799999999999</v>
      </c>
      <c r="V238" s="14">
        <f t="shared" si="114"/>
        <v>513.17740060950791</v>
      </c>
      <c r="W238" s="14">
        <f t="shared" si="115"/>
        <v>502.34560060950793</v>
      </c>
      <c r="X238" s="163"/>
      <c r="Y238" s="4">
        <v>1.4417138096132536</v>
      </c>
      <c r="Z238" s="4">
        <v>1.2296739171871103</v>
      </c>
      <c r="AA238" s="4">
        <v>9.5645391395603898</v>
      </c>
      <c r="AB238" s="4">
        <v>16.759822175265519</v>
      </c>
      <c r="AC238" s="4">
        <v>3.9693288791951056</v>
      </c>
      <c r="AD238" s="145">
        <v>1.3996517076107617</v>
      </c>
      <c r="AE238" s="5"/>
      <c r="AF238" s="4">
        <v>4.0566787792248329</v>
      </c>
      <c r="AG238" s="5"/>
      <c r="AH238" s="5"/>
      <c r="AI238" s="152">
        <f t="shared" si="116"/>
        <v>278.97162216016454</v>
      </c>
      <c r="AJ238" s="152">
        <f t="shared" si="117"/>
        <v>24.593478343742206</v>
      </c>
      <c r="AK238" s="152">
        <f t="shared" si="118"/>
        <v>47.822695697801947</v>
      </c>
      <c r="AL238" s="152">
        <f t="shared" si="119"/>
        <v>50.279466525796558</v>
      </c>
      <c r="AM238" s="152">
        <f t="shared" si="120"/>
        <v>5.1601275429536377</v>
      </c>
      <c r="AN238" s="152">
        <f t="shared" si="121"/>
        <v>4.1989551228322854</v>
      </c>
      <c r="AO238" s="152">
        <f t="shared" si="122"/>
        <v>0</v>
      </c>
      <c r="AP238" s="152">
        <f t="shared" si="123"/>
        <v>5.273682412992283</v>
      </c>
      <c r="AS238" s="152">
        <f t="shared" si="124"/>
        <v>416.30002780628354</v>
      </c>
      <c r="AT238" s="156">
        <v>1882</v>
      </c>
      <c r="AU238" s="109">
        <f t="shared" si="125"/>
        <v>1.2066912492335069</v>
      </c>
      <c r="AV238" s="109">
        <f>AVERAGE(AU236:AU240)</f>
        <v>1.2082701905459565</v>
      </c>
    </row>
    <row r="239" spans="1:56" x14ac:dyDescent="0.2">
      <c r="A239" s="156">
        <v>1883</v>
      </c>
      <c r="B239" s="56">
        <v>1.8980410830510177</v>
      </c>
      <c r="C239" s="68">
        <v>1.8432364274148703</v>
      </c>
      <c r="D239" s="56">
        <v>6.0052385416666674</v>
      </c>
      <c r="E239" s="68">
        <v>21.138439666666667</v>
      </c>
      <c r="F239" s="56">
        <v>2.1655318140404751</v>
      </c>
      <c r="G239" s="113">
        <v>1.5540820256544372</v>
      </c>
      <c r="H239" s="109">
        <v>6.6249063821528393</v>
      </c>
      <c r="I239" s="99">
        <v>0.45984172418231106</v>
      </c>
      <c r="J239" s="109">
        <v>4.2614000000000001</v>
      </c>
      <c r="K239" s="8"/>
      <c r="L239" s="14">
        <f t="shared" si="105"/>
        <v>339.7493538661322</v>
      </c>
      <c r="M239" s="14">
        <f t="shared" si="106"/>
        <v>36.864728548297407</v>
      </c>
      <c r="N239" s="14">
        <f t="shared" si="107"/>
        <v>30.026192708333337</v>
      </c>
      <c r="O239" s="14">
        <f t="shared" si="108"/>
        <v>63.415318999999997</v>
      </c>
      <c r="P239" s="14">
        <f t="shared" si="109"/>
        <v>2.8151913582526178</v>
      </c>
      <c r="Q239" s="14">
        <f t="shared" si="110"/>
        <v>4.6622460769633118</v>
      </c>
      <c r="R239" s="14">
        <f t="shared" si="111"/>
        <v>8.6123782967986919</v>
      </c>
      <c r="S239" s="14">
        <f t="shared" si="112"/>
        <v>0.59779424143700444</v>
      </c>
      <c r="T239" s="14">
        <f t="shared" si="113"/>
        <v>12.7842</v>
      </c>
      <c r="V239" s="14">
        <f t="shared" si="114"/>
        <v>499.52740409621452</v>
      </c>
      <c r="W239" s="14">
        <f t="shared" si="115"/>
        <v>486.74320409621453</v>
      </c>
      <c r="X239" s="163"/>
      <c r="Y239" s="4">
        <v>1.3561194382633153</v>
      </c>
      <c r="Z239" s="4">
        <v>1.2263076471530587</v>
      </c>
      <c r="AA239" s="4">
        <v>9.7239481252197297</v>
      </c>
      <c r="AB239" s="4">
        <v>16.862904348368261</v>
      </c>
      <c r="AC239" s="4">
        <v>4.0696663001029059</v>
      </c>
      <c r="AD239" s="145">
        <v>1.4129234085690683</v>
      </c>
      <c r="AE239" s="5"/>
      <c r="AF239" s="4">
        <v>4.3947353441602361</v>
      </c>
      <c r="AG239" s="5"/>
      <c r="AH239" s="5"/>
      <c r="AI239" s="152">
        <f t="shared" si="116"/>
        <v>262.40911130395148</v>
      </c>
      <c r="AJ239" s="152">
        <f t="shared" si="117"/>
        <v>24.526152943061174</v>
      </c>
      <c r="AK239" s="152">
        <f t="shared" si="118"/>
        <v>48.619740626098647</v>
      </c>
      <c r="AL239" s="152">
        <f t="shared" si="119"/>
        <v>50.588713045104782</v>
      </c>
      <c r="AM239" s="152">
        <f t="shared" si="120"/>
        <v>5.2905661901337782</v>
      </c>
      <c r="AN239" s="152">
        <f t="shared" si="121"/>
        <v>4.2387702257072046</v>
      </c>
      <c r="AO239" s="152">
        <f t="shared" si="122"/>
        <v>0</v>
      </c>
      <c r="AP239" s="152">
        <f t="shared" si="123"/>
        <v>5.7131559474083069</v>
      </c>
      <c r="AS239" s="152">
        <f t="shared" si="124"/>
        <v>401.38621028146537</v>
      </c>
      <c r="AT239" s="156">
        <v>1883</v>
      </c>
      <c r="AU239" s="109">
        <f t="shared" si="125"/>
        <v>1.2126555213615684</v>
      </c>
      <c r="AV239" s="109">
        <f t="shared" ref="AV239:AV267" si="128">AVERAGE(AU237:AU241)</f>
        <v>1.2290456642736762</v>
      </c>
    </row>
    <row r="240" spans="1:56" x14ac:dyDescent="0.2">
      <c r="A240" s="156">
        <v>1884</v>
      </c>
      <c r="B240" s="56">
        <v>1.7667004787118079</v>
      </c>
      <c r="C240" s="68">
        <v>1.7534286960078971</v>
      </c>
      <c r="D240" s="56">
        <v>5.524819458333333</v>
      </c>
      <c r="E240" s="68">
        <v>17.775506083333333</v>
      </c>
      <c r="F240" s="56">
        <v>2.0738073037467206</v>
      </c>
      <c r="G240" s="113">
        <v>1.4014029550199427</v>
      </c>
      <c r="H240" s="109">
        <v>6.9750976813881467</v>
      </c>
      <c r="I240" s="99">
        <v>0.49079863503471222</v>
      </c>
      <c r="J240" s="109">
        <v>4.2389999999999999</v>
      </c>
      <c r="K240" s="8"/>
      <c r="L240" s="14">
        <f t="shared" si="105"/>
        <v>316.23938568941361</v>
      </c>
      <c r="M240" s="14">
        <f t="shared" si="106"/>
        <v>35.068573920157945</v>
      </c>
      <c r="N240" s="14">
        <f t="shared" si="107"/>
        <v>27.624097291666665</v>
      </c>
      <c r="O240" s="14">
        <f t="shared" si="108"/>
        <v>53.326518249999999</v>
      </c>
      <c r="P240" s="14">
        <f t="shared" si="109"/>
        <v>2.695949494870737</v>
      </c>
      <c r="Q240" s="14">
        <f t="shared" si="110"/>
        <v>4.2042088650598277</v>
      </c>
      <c r="R240" s="14">
        <f t="shared" si="111"/>
        <v>9.0676269858045906</v>
      </c>
      <c r="S240" s="14">
        <f t="shared" si="112"/>
        <v>0.6380382255451259</v>
      </c>
      <c r="T240" s="14">
        <f t="shared" si="113"/>
        <v>12.716999999999999</v>
      </c>
      <c r="V240" s="14">
        <f t="shared" si="114"/>
        <v>461.58139872251843</v>
      </c>
      <c r="W240" s="14">
        <f t="shared" si="115"/>
        <v>448.86439872251844</v>
      </c>
      <c r="X240" s="163"/>
      <c r="Y240" s="4">
        <v>1.1612854060464941</v>
      </c>
      <c r="Z240" s="4">
        <v>1.0542693576873123</v>
      </c>
      <c r="AA240" s="4">
        <v>9.24572116824171</v>
      </c>
      <c r="AB240" s="4">
        <v>16.655049333403383</v>
      </c>
      <c r="AC240" s="4">
        <v>4.074309093353393</v>
      </c>
      <c r="AD240" s="145">
        <v>1.3447684818536976</v>
      </c>
      <c r="AE240" s="5"/>
      <c r="AF240" s="4">
        <v>4.3947353441602361</v>
      </c>
      <c r="AG240" s="5"/>
      <c r="AH240" s="5"/>
      <c r="AI240" s="152">
        <f t="shared" si="116"/>
        <v>224.7087260699966</v>
      </c>
      <c r="AJ240" s="152">
        <f t="shared" si="117"/>
        <v>21.085387153746247</v>
      </c>
      <c r="AK240" s="152">
        <f t="shared" si="118"/>
        <v>46.228605841208548</v>
      </c>
      <c r="AL240" s="152">
        <f t="shared" si="119"/>
        <v>49.965148000210149</v>
      </c>
      <c r="AM240" s="152">
        <f t="shared" si="120"/>
        <v>5.2966018213594115</v>
      </c>
      <c r="AN240" s="152">
        <f t="shared" si="121"/>
        <v>4.0343054455610927</v>
      </c>
      <c r="AO240" s="152">
        <f t="shared" si="122"/>
        <v>0</v>
      </c>
      <c r="AP240" s="152">
        <f t="shared" si="123"/>
        <v>5.7131559474083069</v>
      </c>
      <c r="AS240" s="152">
        <f t="shared" si="124"/>
        <v>357.03193027949033</v>
      </c>
      <c r="AT240" s="156">
        <v>1884</v>
      </c>
      <c r="AU240" s="109">
        <f t="shared" si="125"/>
        <v>1.2572108000848556</v>
      </c>
      <c r="AV240" s="109">
        <f t="shared" si="128"/>
        <v>1.2111719762581559</v>
      </c>
    </row>
    <row r="241" spans="1:48" x14ac:dyDescent="0.2">
      <c r="A241" s="156">
        <v>1885</v>
      </c>
      <c r="B241" s="56">
        <v>1.7010301765422027</v>
      </c>
      <c r="C241" s="68">
        <v>1.7085248303044109</v>
      </c>
      <c r="D241" s="56">
        <v>5.2846099166666667</v>
      </c>
      <c r="E241" s="68">
        <v>17.295087000000002</v>
      </c>
      <c r="F241" s="56">
        <v>1.8655272666008766</v>
      </c>
      <c r="G241" s="113">
        <v>1.4074906289482294</v>
      </c>
      <c r="H241" s="109">
        <v>6.526028078515731</v>
      </c>
      <c r="I241" s="99">
        <v>0.45110088214079058</v>
      </c>
      <c r="J241" s="109">
        <v>4.1380999999999997</v>
      </c>
      <c r="K241" s="8"/>
      <c r="L241" s="14">
        <f t="shared" si="105"/>
        <v>304.48440160105429</v>
      </c>
      <c r="M241" s="14">
        <f t="shared" si="106"/>
        <v>34.170496606088221</v>
      </c>
      <c r="N241" s="14">
        <f t="shared" si="107"/>
        <v>26.423049583333334</v>
      </c>
      <c r="O241" s="14">
        <f t="shared" si="108"/>
        <v>51.885261000000007</v>
      </c>
      <c r="P241" s="14">
        <f t="shared" si="109"/>
        <v>2.4251854465811395</v>
      </c>
      <c r="Q241" s="14">
        <f t="shared" si="110"/>
        <v>4.222471886844688</v>
      </c>
      <c r="R241" s="14">
        <f t="shared" si="111"/>
        <v>8.4838365020704511</v>
      </c>
      <c r="S241" s="14">
        <f t="shared" si="112"/>
        <v>0.58643114678302777</v>
      </c>
      <c r="T241" s="14">
        <f t="shared" si="113"/>
        <v>12.414299999999999</v>
      </c>
      <c r="V241" s="14">
        <f t="shared" si="114"/>
        <v>445.09543377275526</v>
      </c>
      <c r="W241" s="14">
        <f t="shared" si="115"/>
        <v>432.68113377275523</v>
      </c>
      <c r="X241" s="163"/>
      <c r="Y241" s="4">
        <v>1.1137191452612103</v>
      </c>
      <c r="Z241" s="4">
        <v>1.0336936656358828</v>
      </c>
      <c r="AA241" s="4">
        <v>8.2892672542856722</v>
      </c>
      <c r="AB241" s="4">
        <v>15.850070200847853</v>
      </c>
      <c r="AC241" s="4">
        <v>4.1647065435353072</v>
      </c>
      <c r="AD241" s="145">
        <v>1.2895026222548174</v>
      </c>
      <c r="AE241" s="5"/>
      <c r="AF241" s="4">
        <v>4.6482777678617877</v>
      </c>
      <c r="AG241" s="5"/>
      <c r="AH241" s="5"/>
      <c r="AI241" s="152">
        <f t="shared" si="116"/>
        <v>215.50465460804421</v>
      </c>
      <c r="AJ241" s="152">
        <f t="shared" si="117"/>
        <v>20.673873312717657</v>
      </c>
      <c r="AK241" s="152">
        <f t="shared" si="118"/>
        <v>41.446336271428365</v>
      </c>
      <c r="AL241" s="152">
        <f t="shared" si="119"/>
        <v>47.550210602543558</v>
      </c>
      <c r="AM241" s="152">
        <f t="shared" si="120"/>
        <v>5.4141185065958997</v>
      </c>
      <c r="AN241" s="152">
        <f t="shared" si="121"/>
        <v>3.8685078667644524</v>
      </c>
      <c r="AO241" s="152">
        <f t="shared" si="122"/>
        <v>0</v>
      </c>
      <c r="AP241" s="152">
        <f t="shared" si="123"/>
        <v>6.0427610982203239</v>
      </c>
      <c r="AS241" s="152">
        <f t="shared" si="124"/>
        <v>340.5004622663144</v>
      </c>
      <c r="AT241" s="156">
        <v>1885</v>
      </c>
      <c r="AU241" s="109">
        <f t="shared" si="125"/>
        <v>1.2707211346877523</v>
      </c>
      <c r="AV241" s="109">
        <f t="shared" si="128"/>
        <v>1.1606853504510386</v>
      </c>
    </row>
    <row r="242" spans="1:48" x14ac:dyDescent="0.2">
      <c r="A242" s="156">
        <v>1886</v>
      </c>
      <c r="B242" s="56">
        <v>1.5696895722029929</v>
      </c>
      <c r="C242" s="68">
        <v>1.6187170988974382</v>
      </c>
      <c r="D242" s="56">
        <v>3.6031431249999999</v>
      </c>
      <c r="E242" s="68">
        <v>12.010477083333335</v>
      </c>
      <c r="F242" s="56">
        <v>1.7003306876793325</v>
      </c>
      <c r="G242" s="113">
        <v>1.3700365984067249</v>
      </c>
      <c r="H242" s="109">
        <v>5.3815990239999731</v>
      </c>
      <c r="I242" s="99">
        <v>0.34993335372159762</v>
      </c>
      <c r="J242" s="109">
        <v>3.8450000000000002</v>
      </c>
      <c r="K242" s="8"/>
      <c r="L242" s="14">
        <f t="shared" si="105"/>
        <v>280.9744334243357</v>
      </c>
      <c r="M242" s="14">
        <f t="shared" si="106"/>
        <v>32.374341977948767</v>
      </c>
      <c r="N242" s="14">
        <f t="shared" si="107"/>
        <v>18.015715624999999</v>
      </c>
      <c r="O242" s="14">
        <f t="shared" si="108"/>
        <v>36.031431250000004</v>
      </c>
      <c r="P242" s="14">
        <f t="shared" si="109"/>
        <v>2.2104298939831324</v>
      </c>
      <c r="Q242" s="14">
        <f t="shared" si="110"/>
        <v>4.1101097952201746</v>
      </c>
      <c r="R242" s="14">
        <f t="shared" si="111"/>
        <v>6.9960787311999653</v>
      </c>
      <c r="S242" s="14">
        <f t="shared" si="112"/>
        <v>0.4549133598380769</v>
      </c>
      <c r="T242" s="14">
        <f t="shared" si="113"/>
        <v>11.535</v>
      </c>
      <c r="V242" s="14">
        <f t="shared" si="114"/>
        <v>392.70245405752587</v>
      </c>
      <c r="W242" s="14">
        <f t="shared" si="115"/>
        <v>381.16745405752584</v>
      </c>
      <c r="X242" s="163"/>
      <c r="Y242" s="4">
        <v>1.1272709374891623</v>
      </c>
      <c r="Z242" s="4">
        <v>1.121872413154215</v>
      </c>
      <c r="AA242" s="4">
        <v>7.8110402973076516</v>
      </c>
      <c r="AB242" s="4">
        <v>16.860903601611795</v>
      </c>
      <c r="AC242" s="4">
        <v>3.7092155109657843</v>
      </c>
      <c r="AD242" s="145">
        <v>1.2151721817973378</v>
      </c>
      <c r="AE242" s="5"/>
      <c r="AF242" s="4">
        <v>3.9721646379909821</v>
      </c>
      <c r="AG242" s="5"/>
      <c r="AH242" s="5"/>
      <c r="AI242" s="152">
        <f t="shared" si="116"/>
        <v>218.1269264041529</v>
      </c>
      <c r="AJ242" s="152">
        <f t="shared" si="117"/>
        <v>22.437448263084299</v>
      </c>
      <c r="AK242" s="152">
        <f t="shared" si="118"/>
        <v>39.055201486538259</v>
      </c>
      <c r="AL242" s="152">
        <f t="shared" si="119"/>
        <v>50.582710804835386</v>
      </c>
      <c r="AM242" s="152">
        <f t="shared" si="120"/>
        <v>4.8219801642555193</v>
      </c>
      <c r="AN242" s="152">
        <f t="shared" si="121"/>
        <v>3.6455165453920131</v>
      </c>
      <c r="AO242" s="152">
        <f t="shared" si="122"/>
        <v>0</v>
      </c>
      <c r="AP242" s="152">
        <f t="shared" si="123"/>
        <v>5.163814029388277</v>
      </c>
      <c r="AS242" s="152">
        <f t="shared" si="124"/>
        <v>343.83359769764661</v>
      </c>
      <c r="AT242" s="156">
        <v>1886</v>
      </c>
      <c r="AU242" s="109">
        <f t="shared" si="125"/>
        <v>1.1085811759230961</v>
      </c>
      <c r="AV242" s="109">
        <f t="shared" si="128"/>
        <v>1.0982441949428328</v>
      </c>
    </row>
    <row r="243" spans="1:48" x14ac:dyDescent="0.2">
      <c r="A243" s="156">
        <v>1887</v>
      </c>
      <c r="B243" s="56">
        <v>1.3726786656941781</v>
      </c>
      <c r="C243" s="68">
        <v>1.4840055017869784</v>
      </c>
      <c r="D243" s="56">
        <v>3.3629335833333336</v>
      </c>
      <c r="E243" s="68">
        <v>11.770267541666668</v>
      </c>
      <c r="F243" s="56">
        <v>1.6555416213587444</v>
      </c>
      <c r="G243" s="113">
        <v>1.3618703357454891</v>
      </c>
      <c r="H243" s="109">
        <v>4.5869839400677108</v>
      </c>
      <c r="I243" s="99">
        <v>0.27968938030198565</v>
      </c>
      <c r="J243" s="109">
        <v>3.577</v>
      </c>
      <c r="K243" s="8"/>
      <c r="L243" s="14">
        <f t="shared" si="105"/>
        <v>245.70948115925788</v>
      </c>
      <c r="M243" s="14">
        <f t="shared" si="106"/>
        <v>29.680110035739567</v>
      </c>
      <c r="N243" s="14">
        <f t="shared" si="107"/>
        <v>16.814667916666668</v>
      </c>
      <c r="O243" s="14">
        <f t="shared" si="108"/>
        <v>35.310802625000001</v>
      </c>
      <c r="P243" s="14">
        <f t="shared" si="109"/>
        <v>2.1522041077663676</v>
      </c>
      <c r="Q243" s="14">
        <f t="shared" si="110"/>
        <v>4.0856110072364675</v>
      </c>
      <c r="R243" s="14">
        <f t="shared" si="111"/>
        <v>5.9630791220880246</v>
      </c>
      <c r="S243" s="14">
        <f t="shared" si="112"/>
        <v>0.36359619439258134</v>
      </c>
      <c r="T243" s="14">
        <f t="shared" si="113"/>
        <v>10.731</v>
      </c>
      <c r="V243" s="14">
        <f t="shared" si="114"/>
        <v>350.81055216814752</v>
      </c>
      <c r="W243" s="14">
        <f t="shared" si="115"/>
        <v>340.07955216814753</v>
      </c>
      <c r="X243" s="163"/>
      <c r="Y243" s="4">
        <v>1.2015695891017477</v>
      </c>
      <c r="Z243" s="4">
        <v>1.1631306055675981</v>
      </c>
      <c r="AA243" s="4">
        <v>6.854586383351613</v>
      </c>
      <c r="AB243" s="4">
        <v>17.697999781094893</v>
      </c>
      <c r="AC243" s="4">
        <v>3.5407887125792037</v>
      </c>
      <c r="AD243" s="145">
        <v>1.2335772835236316</v>
      </c>
      <c r="AE243" s="5"/>
      <c r="AF243" s="4">
        <v>3.8031363555232809</v>
      </c>
      <c r="AG243" s="5"/>
      <c r="AH243" s="5"/>
      <c r="AI243" s="152">
        <f t="shared" si="116"/>
        <v>232.50371549118819</v>
      </c>
      <c r="AJ243" s="152">
        <f t="shared" si="117"/>
        <v>23.262612111351963</v>
      </c>
      <c r="AK243" s="152">
        <f t="shared" si="118"/>
        <v>34.272931916758068</v>
      </c>
      <c r="AL243" s="152">
        <f t="shared" si="119"/>
        <v>53.093999343284679</v>
      </c>
      <c r="AM243" s="152">
        <f t="shared" si="120"/>
        <v>4.6030253263529648</v>
      </c>
      <c r="AN243" s="152">
        <f t="shared" si="121"/>
        <v>3.7007318505708948</v>
      </c>
      <c r="AO243" s="152">
        <f t="shared" si="122"/>
        <v>0</v>
      </c>
      <c r="AP243" s="152">
        <f t="shared" si="123"/>
        <v>4.9440772621802651</v>
      </c>
      <c r="AS243" s="152">
        <f t="shared" si="124"/>
        <v>356.38109330168697</v>
      </c>
      <c r="AT243" s="156">
        <v>1887</v>
      </c>
      <c r="AU243" s="109">
        <f t="shared" si="125"/>
        <v>0.95425812019792056</v>
      </c>
      <c r="AV243" s="109">
        <f t="shared" si="128"/>
        <v>1.0697971645553626</v>
      </c>
    </row>
    <row r="244" spans="1:48" x14ac:dyDescent="0.2">
      <c r="A244" s="156">
        <v>1888</v>
      </c>
      <c r="B244" s="56">
        <v>1.3464105448263359</v>
      </c>
      <c r="C244" s="68">
        <v>1.4660439555055835</v>
      </c>
      <c r="D244" s="56">
        <v>3.3629335833333336</v>
      </c>
      <c r="E244" s="68">
        <v>10.809429374999999</v>
      </c>
      <c r="F244" s="56">
        <v>1.6325153642925425</v>
      </c>
      <c r="G244" s="109">
        <v>1.3121736744731702</v>
      </c>
      <c r="H244" s="109">
        <v>4.3299904076885163</v>
      </c>
      <c r="I244" s="99">
        <v>0.25697115203966492</v>
      </c>
      <c r="J244" s="109">
        <v>3.234</v>
      </c>
      <c r="K244" s="8"/>
      <c r="L244" s="14">
        <f t="shared" si="105"/>
        <v>241.00748752391414</v>
      </c>
      <c r="M244" s="14">
        <f t="shared" si="106"/>
        <v>29.320879110111669</v>
      </c>
      <c r="N244" s="14">
        <f t="shared" si="107"/>
        <v>16.814667916666668</v>
      </c>
      <c r="O244" s="14">
        <f t="shared" si="108"/>
        <v>32.428288124999995</v>
      </c>
      <c r="P244" s="14">
        <f t="shared" si="109"/>
        <v>2.1222699735803054</v>
      </c>
      <c r="Q244" s="14">
        <f t="shared" si="110"/>
        <v>3.9365210234195107</v>
      </c>
      <c r="R244" s="14">
        <f t="shared" si="111"/>
        <v>5.6289875299950713</v>
      </c>
      <c r="S244" s="14">
        <f t="shared" si="112"/>
        <v>0.33406249765156443</v>
      </c>
      <c r="T244" s="14">
        <f t="shared" si="113"/>
        <v>9.702</v>
      </c>
      <c r="V244" s="14">
        <f t="shared" si="114"/>
        <v>341.295163700339</v>
      </c>
      <c r="W244" s="14">
        <f t="shared" si="115"/>
        <v>331.59316370033901</v>
      </c>
      <c r="X244" s="163"/>
      <c r="Y244" s="4">
        <v>1.2252867758359487</v>
      </c>
      <c r="Z244" s="4">
        <v>1.1649852128334917</v>
      </c>
      <c r="AA244" s="4">
        <v>7.6516313116483126</v>
      </c>
      <c r="AB244" s="4">
        <v>18.682212215845666</v>
      </c>
      <c r="AC244" s="4">
        <v>3.4208787402484782</v>
      </c>
      <c r="AD244" s="145">
        <v>1.1316800223050771</v>
      </c>
      <c r="AE244" s="5"/>
      <c r="AF244" s="4">
        <v>4.3947353441602361</v>
      </c>
      <c r="AG244" s="5"/>
      <c r="AH244" s="5"/>
      <c r="AI244" s="152">
        <f t="shared" si="116"/>
        <v>237.09299112425606</v>
      </c>
      <c r="AJ244" s="152">
        <f t="shared" si="117"/>
        <v>23.299704256669834</v>
      </c>
      <c r="AK244" s="152">
        <f t="shared" si="118"/>
        <v>38.258156558241566</v>
      </c>
      <c r="AL244" s="152">
        <f t="shared" si="119"/>
        <v>56.046636647536999</v>
      </c>
      <c r="AM244" s="152">
        <f t="shared" si="120"/>
        <v>4.4471423623230217</v>
      </c>
      <c r="AN244" s="152">
        <f t="shared" si="121"/>
        <v>3.3950400669152314</v>
      </c>
      <c r="AO244" s="152">
        <f t="shared" si="122"/>
        <v>0</v>
      </c>
      <c r="AP244" s="152">
        <f t="shared" si="123"/>
        <v>5.7131559474083069</v>
      </c>
      <c r="AS244" s="152">
        <f t="shared" si="124"/>
        <v>368.25282696335103</v>
      </c>
      <c r="AT244" s="156">
        <v>1888</v>
      </c>
      <c r="AU244" s="109">
        <f t="shared" si="125"/>
        <v>0.90044974382053977</v>
      </c>
      <c r="AV244" s="109">
        <f t="shared" si="128"/>
        <v>1.0525831521237343</v>
      </c>
    </row>
    <row r="245" spans="1:48" x14ac:dyDescent="0.2">
      <c r="A245" s="156">
        <v>1889</v>
      </c>
      <c r="B245" s="56">
        <v>1.5696895722029929</v>
      </c>
      <c r="C245" s="68">
        <v>1.6187170988974382</v>
      </c>
      <c r="D245" s="56">
        <v>4.3237717499999997</v>
      </c>
      <c r="E245" s="68">
        <v>15.373410666666667</v>
      </c>
      <c r="F245" s="56">
        <v>1.6750437195491807</v>
      </c>
      <c r="G245" s="109">
        <v>1.6466392200135427</v>
      </c>
      <c r="H245" s="109">
        <v>4.2547006298774201</v>
      </c>
      <c r="I245" s="99">
        <v>0.25031553568116394</v>
      </c>
      <c r="J245" s="109">
        <v>3.6112000000000002</v>
      </c>
      <c r="K245" s="8"/>
      <c r="L245" s="14">
        <f t="shared" si="105"/>
        <v>280.9744334243357</v>
      </c>
      <c r="M245" s="14">
        <f t="shared" si="106"/>
        <v>32.374341977948767</v>
      </c>
      <c r="N245" s="14">
        <f t="shared" si="107"/>
        <v>21.618858749999998</v>
      </c>
      <c r="O245" s="14">
        <f t="shared" si="108"/>
        <v>46.120232000000001</v>
      </c>
      <c r="P245" s="14">
        <f t="shared" si="109"/>
        <v>2.177556835413935</v>
      </c>
      <c r="Q245" s="14">
        <f t="shared" si="110"/>
        <v>4.9399176600406278</v>
      </c>
      <c r="R245" s="14">
        <f t="shared" si="111"/>
        <v>5.5311108188406468</v>
      </c>
      <c r="S245" s="14">
        <f t="shared" si="112"/>
        <v>0.32541019638551311</v>
      </c>
      <c r="T245" s="14">
        <f t="shared" si="113"/>
        <v>10.833600000000001</v>
      </c>
      <c r="V245" s="14">
        <f t="shared" si="114"/>
        <v>404.8954616629652</v>
      </c>
      <c r="W245" s="14">
        <f t="shared" si="115"/>
        <v>394.06186166296521</v>
      </c>
      <c r="X245" s="163"/>
      <c r="Y245" s="4">
        <v>1.1504382918256408</v>
      </c>
      <c r="Z245" s="4">
        <v>1.1963239354105304</v>
      </c>
      <c r="AA245" s="4">
        <v>7.4922223259889726</v>
      </c>
      <c r="AB245" s="4">
        <v>18.759943400298194</v>
      </c>
      <c r="AC245" s="4">
        <v>3.6171273358948848</v>
      </c>
      <c r="AD245" s="145">
        <v>1.1309959117037287</v>
      </c>
      <c r="AE245" s="5"/>
      <c r="AF245" s="4">
        <v>3.8876504967571317</v>
      </c>
      <c r="AG245" s="5"/>
      <c r="AH245" s="5"/>
      <c r="AI245" s="152">
        <f t="shared" si="116"/>
        <v>222.60980946826149</v>
      </c>
      <c r="AJ245" s="152">
        <f t="shared" si="117"/>
        <v>23.92647870821061</v>
      </c>
      <c r="AK245" s="152">
        <f t="shared" si="118"/>
        <v>37.461111629944867</v>
      </c>
      <c r="AL245" s="152">
        <f t="shared" si="119"/>
        <v>56.27983020089458</v>
      </c>
      <c r="AM245" s="152">
        <f t="shared" si="120"/>
        <v>4.7022655366633508</v>
      </c>
      <c r="AN245" s="152">
        <f t="shared" si="121"/>
        <v>3.3929877351111859</v>
      </c>
      <c r="AO245" s="152">
        <f t="shared" si="122"/>
        <v>0</v>
      </c>
      <c r="AP245" s="152">
        <f t="shared" si="123"/>
        <v>5.0539456457842711</v>
      </c>
      <c r="AS245" s="152">
        <f t="shared" si="124"/>
        <v>353.42642892487038</v>
      </c>
      <c r="AT245" s="156">
        <v>1889</v>
      </c>
      <c r="AU245" s="109">
        <f t="shared" si="125"/>
        <v>1.1149756481475044</v>
      </c>
      <c r="AV245" s="109">
        <f t="shared" si="128"/>
        <v>1.0314588927043893</v>
      </c>
    </row>
    <row r="246" spans="1:48" x14ac:dyDescent="0.2">
      <c r="A246" s="156">
        <v>1890</v>
      </c>
      <c r="B246" s="56">
        <v>1.5696895722029929</v>
      </c>
      <c r="C246" s="68">
        <v>1.6187170988974382</v>
      </c>
      <c r="D246" s="56">
        <v>4.3237717499999997</v>
      </c>
      <c r="E246" s="68">
        <v>15.373410666666667</v>
      </c>
      <c r="F246" s="56">
        <v>1.7321902499352624</v>
      </c>
      <c r="G246" s="109">
        <v>1.8676193870038651</v>
      </c>
      <c r="H246" s="109">
        <v>4.4151774062238838</v>
      </c>
      <c r="I246" s="99">
        <v>0.26450168271019137</v>
      </c>
      <c r="J246" s="109">
        <v>3.2458</v>
      </c>
      <c r="K246" s="8"/>
      <c r="L246" s="14">
        <f t="shared" si="105"/>
        <v>280.9744334243357</v>
      </c>
      <c r="M246" s="14">
        <f t="shared" si="106"/>
        <v>32.374341977948767</v>
      </c>
      <c r="N246" s="14">
        <f t="shared" si="107"/>
        <v>21.618858749999998</v>
      </c>
      <c r="O246" s="14">
        <f t="shared" si="108"/>
        <v>46.120232000000001</v>
      </c>
      <c r="P246" s="14">
        <f t="shared" si="109"/>
        <v>2.2518473249158411</v>
      </c>
      <c r="Q246" s="14">
        <f t="shared" si="110"/>
        <v>5.6028581610115955</v>
      </c>
      <c r="R246" s="14">
        <f t="shared" si="111"/>
        <v>5.7397306280910492</v>
      </c>
      <c r="S246" s="14">
        <f t="shared" si="112"/>
        <v>0.34385218752324881</v>
      </c>
      <c r="T246" s="14">
        <f t="shared" si="113"/>
        <v>9.7374000000000009</v>
      </c>
      <c r="V246" s="14">
        <f t="shared" si="114"/>
        <v>404.76355445382609</v>
      </c>
      <c r="W246" s="14">
        <f t="shared" si="115"/>
        <v>395.02615445382611</v>
      </c>
      <c r="X246" s="163"/>
      <c r="Y246" s="4">
        <v>1.1097778471462894</v>
      </c>
      <c r="Z246" s="4">
        <v>1.021480792998416</v>
      </c>
      <c r="AA246" s="4">
        <v>7.4922223259889726</v>
      </c>
      <c r="AB246" s="4">
        <v>15.905608629606737</v>
      </c>
      <c r="AC246" s="4">
        <v>3.8184384377669307</v>
      </c>
      <c r="AD246" s="145">
        <v>1.1019485168994774</v>
      </c>
      <c r="AE246" s="5"/>
      <c r="AF246" s="4">
        <v>3.7186222142894301</v>
      </c>
      <c r="AG246" s="5"/>
      <c r="AH246" s="5"/>
      <c r="AI246" s="152">
        <f t="shared" si="116"/>
        <v>214.74201342280699</v>
      </c>
      <c r="AJ246" s="152">
        <f t="shared" si="117"/>
        <v>20.429615859968319</v>
      </c>
      <c r="AK246" s="152">
        <f t="shared" si="118"/>
        <v>37.461111629944867</v>
      </c>
      <c r="AL246" s="152">
        <f t="shared" si="119"/>
        <v>47.71682588882021</v>
      </c>
      <c r="AM246" s="152">
        <f t="shared" si="120"/>
        <v>4.9639699690970103</v>
      </c>
      <c r="AN246" s="152">
        <f t="shared" si="121"/>
        <v>3.3058455506984323</v>
      </c>
      <c r="AO246" s="152">
        <f t="shared" si="122"/>
        <v>0</v>
      </c>
      <c r="AP246" s="152">
        <f t="shared" si="123"/>
        <v>4.8342088785762591</v>
      </c>
      <c r="AS246" s="152">
        <f t="shared" si="124"/>
        <v>333.45359119991213</v>
      </c>
      <c r="AT246" s="156">
        <v>1890</v>
      </c>
      <c r="AU246" s="109">
        <f t="shared" si="125"/>
        <v>1.1846510725296102</v>
      </c>
      <c r="AV246" s="109">
        <f t="shared" si="128"/>
        <v>1.0402573639556261</v>
      </c>
    </row>
    <row r="247" spans="1:48" x14ac:dyDescent="0.2">
      <c r="A247" s="156">
        <v>1891</v>
      </c>
      <c r="B247" s="56">
        <v>1.5696895722029929</v>
      </c>
      <c r="C247" s="68">
        <v>1.6187170988974382</v>
      </c>
      <c r="D247" s="56">
        <v>4.3237717499999997</v>
      </c>
      <c r="E247" s="68">
        <v>13.932153416666667</v>
      </c>
      <c r="F247" s="56">
        <v>1.7856145703140589</v>
      </c>
      <c r="G247" s="109">
        <v>1.6527476685157418</v>
      </c>
      <c r="H247" s="109">
        <v>4.8362228901268196</v>
      </c>
      <c r="I247" s="99">
        <v>0.30172210348721085</v>
      </c>
      <c r="J247" s="109">
        <v>3.6225999999999998</v>
      </c>
      <c r="K247" s="8"/>
      <c r="L247" s="14">
        <f t="shared" si="105"/>
        <v>280.9744334243357</v>
      </c>
      <c r="M247" s="14">
        <f t="shared" si="106"/>
        <v>32.374341977948767</v>
      </c>
      <c r="N247" s="14">
        <f t="shared" si="107"/>
        <v>21.618858749999998</v>
      </c>
      <c r="O247" s="14">
        <f t="shared" si="108"/>
        <v>41.796460250000003</v>
      </c>
      <c r="P247" s="14">
        <f t="shared" si="109"/>
        <v>2.3212989414082768</v>
      </c>
      <c r="Q247" s="14">
        <f t="shared" si="110"/>
        <v>4.9582430055472253</v>
      </c>
      <c r="R247" s="14">
        <f t="shared" si="111"/>
        <v>6.2870897571648658</v>
      </c>
      <c r="S247" s="14">
        <f t="shared" si="112"/>
        <v>0.3922387345333741</v>
      </c>
      <c r="T247" s="14">
        <f t="shared" si="113"/>
        <v>10.867799999999999</v>
      </c>
      <c r="V247" s="14">
        <f t="shared" si="114"/>
        <v>401.59076484093816</v>
      </c>
      <c r="W247" s="14">
        <f t="shared" si="115"/>
        <v>390.72296484093818</v>
      </c>
      <c r="X247" s="163"/>
      <c r="Y247" s="4">
        <v>1.3554479918640712</v>
      </c>
      <c r="Z247" s="4">
        <v>1.1911896287085595</v>
      </c>
      <c r="AA247" s="4">
        <v>7.4922223259889726</v>
      </c>
      <c r="AB247" s="4">
        <v>17.578172867947359</v>
      </c>
      <c r="AC247" s="4">
        <v>3.8623372626613288</v>
      </c>
      <c r="AD247" s="145">
        <v>1.1020534163623976</v>
      </c>
      <c r="AE247" s="5"/>
      <c r="AF247" s="4">
        <v>3.8031363555232809</v>
      </c>
      <c r="AG247" s="5"/>
      <c r="AH247" s="5"/>
      <c r="AI247" s="152">
        <f t="shared" si="116"/>
        <v>262.27918642569779</v>
      </c>
      <c r="AJ247" s="152">
        <f t="shared" si="117"/>
        <v>23.82379257417119</v>
      </c>
      <c r="AK247" s="152">
        <f t="shared" si="118"/>
        <v>37.461111629944867</v>
      </c>
      <c r="AL247" s="152">
        <f t="shared" si="119"/>
        <v>52.734518603842076</v>
      </c>
      <c r="AM247" s="152">
        <f t="shared" si="120"/>
        <v>5.0210384414597273</v>
      </c>
      <c r="AN247" s="152">
        <f t="shared" si="121"/>
        <v>3.3061602490871929</v>
      </c>
      <c r="AO247" s="152">
        <f t="shared" si="122"/>
        <v>0</v>
      </c>
      <c r="AP247" s="152">
        <f t="shared" si="123"/>
        <v>4.9440772621802651</v>
      </c>
      <c r="AS247" s="152">
        <f t="shared" si="124"/>
        <v>389.56988518638315</v>
      </c>
      <c r="AT247" s="156">
        <v>1891</v>
      </c>
      <c r="AU247" s="109">
        <f t="shared" si="125"/>
        <v>1.0029598788263712</v>
      </c>
      <c r="AV247" s="109">
        <f t="shared" si="128"/>
        <v>1.0699946033038272</v>
      </c>
    </row>
    <row r="248" spans="1:48" x14ac:dyDescent="0.2">
      <c r="A248" s="156">
        <v>1892</v>
      </c>
      <c r="B248" s="56">
        <v>1.5040192700333879</v>
      </c>
      <c r="C248" s="68">
        <v>1.5738132331939514</v>
      </c>
      <c r="D248" s="56">
        <v>4.3237717499999997</v>
      </c>
      <c r="E248" s="68">
        <v>13.932153416666667</v>
      </c>
      <c r="F248" s="56">
        <v>1.7294887805773562</v>
      </c>
      <c r="G248" s="109">
        <v>1.7327152267303101</v>
      </c>
      <c r="H248" s="109">
        <v>4.4078218208259861</v>
      </c>
      <c r="I248" s="99">
        <v>0.2638514489610172</v>
      </c>
      <c r="J248" s="109">
        <v>3.9005000000000001</v>
      </c>
      <c r="K248" s="8"/>
      <c r="L248" s="14">
        <f t="shared" si="105"/>
        <v>269.21944933597644</v>
      </c>
      <c r="M248" s="14">
        <f t="shared" si="106"/>
        <v>31.476264663879029</v>
      </c>
      <c r="N248" s="14">
        <f t="shared" si="107"/>
        <v>21.618858749999998</v>
      </c>
      <c r="O248" s="14">
        <f t="shared" si="108"/>
        <v>41.796460250000003</v>
      </c>
      <c r="P248" s="14">
        <f t="shared" si="109"/>
        <v>2.2483354147505632</v>
      </c>
      <c r="Q248" s="14">
        <f t="shared" si="110"/>
        <v>5.1981456801909305</v>
      </c>
      <c r="R248" s="14">
        <f t="shared" si="111"/>
        <v>5.730168367073782</v>
      </c>
      <c r="S248" s="14">
        <f t="shared" si="112"/>
        <v>0.34300688364932236</v>
      </c>
      <c r="T248" s="14">
        <f t="shared" si="113"/>
        <v>11.701499999999999</v>
      </c>
      <c r="V248" s="14">
        <f t="shared" si="114"/>
        <v>389.33218934552002</v>
      </c>
      <c r="W248" s="14">
        <f t="shared" si="115"/>
        <v>377.63068934552001</v>
      </c>
      <c r="X248" s="163"/>
      <c r="Y248" s="4">
        <v>1.2541566950293912</v>
      </c>
      <c r="Z248" s="4">
        <v>1.2623648984799873</v>
      </c>
      <c r="AA248" s="4">
        <v>7.4922223259889726</v>
      </c>
      <c r="AB248" s="4">
        <v>20.095669096390797</v>
      </c>
      <c r="AC248" s="4">
        <v>3.841848559474895</v>
      </c>
      <c r="AD248" s="145">
        <v>1.0762150566319897</v>
      </c>
      <c r="AE248" s="5"/>
      <c r="AF248" s="4">
        <v>3.3805656493540273</v>
      </c>
      <c r="AG248" s="5"/>
      <c r="AH248" s="5"/>
      <c r="AI248" s="152">
        <f t="shared" si="116"/>
        <v>242.67932048818719</v>
      </c>
      <c r="AJ248" s="152">
        <f t="shared" si="117"/>
        <v>25.247297969599746</v>
      </c>
      <c r="AK248" s="152">
        <f t="shared" si="118"/>
        <v>37.461111629944867</v>
      </c>
      <c r="AL248" s="152">
        <f t="shared" si="119"/>
        <v>60.287007289172394</v>
      </c>
      <c r="AM248" s="152">
        <f t="shared" si="120"/>
        <v>4.9944031273173639</v>
      </c>
      <c r="AN248" s="152">
        <f t="shared" si="121"/>
        <v>3.2286451698959691</v>
      </c>
      <c r="AO248" s="152">
        <f t="shared" si="122"/>
        <v>0</v>
      </c>
      <c r="AP248" s="152">
        <f t="shared" si="123"/>
        <v>4.3947353441602353</v>
      </c>
      <c r="AS248" s="152">
        <f t="shared" si="124"/>
        <v>378.29252101827774</v>
      </c>
      <c r="AT248" s="156">
        <v>1892</v>
      </c>
      <c r="AU248" s="109">
        <f t="shared" si="125"/>
        <v>0.99825047645410425</v>
      </c>
      <c r="AV248" s="109">
        <f t="shared" si="128"/>
        <v>1.0349748977663307</v>
      </c>
    </row>
    <row r="249" spans="1:48" x14ac:dyDescent="0.2">
      <c r="A249" s="156">
        <v>1893</v>
      </c>
      <c r="B249" s="56">
        <v>1.5696895722029929</v>
      </c>
      <c r="C249" s="68">
        <v>1.6187170988974382</v>
      </c>
      <c r="D249" s="56">
        <v>4.563981291666666</v>
      </c>
      <c r="E249" s="68">
        <v>14.4125725</v>
      </c>
      <c r="F249" s="56">
        <v>1.7945972399511745</v>
      </c>
      <c r="G249" s="109">
        <v>1.8746984039134325</v>
      </c>
      <c r="H249" s="109">
        <v>4.1832262575459858</v>
      </c>
      <c r="I249" s="99">
        <v>0.24399720116706516</v>
      </c>
      <c r="J249" s="109">
        <v>2.9287999999999998</v>
      </c>
      <c r="K249" s="8"/>
      <c r="L249" s="14">
        <f t="shared" si="105"/>
        <v>280.9744334243357</v>
      </c>
      <c r="M249" s="14">
        <f t="shared" si="106"/>
        <v>32.374341977948767</v>
      </c>
      <c r="N249" s="14">
        <f t="shared" si="107"/>
        <v>22.819906458333328</v>
      </c>
      <c r="O249" s="14">
        <f t="shared" si="108"/>
        <v>43.237717500000002</v>
      </c>
      <c r="P249" s="14">
        <f t="shared" si="109"/>
        <v>2.3329764119365271</v>
      </c>
      <c r="Q249" s="14">
        <f t="shared" si="110"/>
        <v>5.6240952117402969</v>
      </c>
      <c r="R249" s="14">
        <f t="shared" si="111"/>
        <v>5.4381941348097813</v>
      </c>
      <c r="S249" s="14">
        <f t="shared" si="112"/>
        <v>0.31719636151718472</v>
      </c>
      <c r="T249" s="14">
        <f t="shared" si="113"/>
        <v>8.7864000000000004</v>
      </c>
      <c r="V249" s="14">
        <f t="shared" si="114"/>
        <v>401.90526148062162</v>
      </c>
      <c r="W249" s="14">
        <f t="shared" si="115"/>
        <v>393.1188614806216</v>
      </c>
      <c r="X249" s="163"/>
      <c r="Y249" s="4">
        <v>1.2186775032298183</v>
      </c>
      <c r="Z249" s="4">
        <v>1.3058442047277306</v>
      </c>
      <c r="AA249" s="4">
        <v>7.6516313116483126</v>
      </c>
      <c r="AB249" s="4">
        <v>20.940795421592622</v>
      </c>
      <c r="AC249" s="4">
        <v>3.7742629977361033</v>
      </c>
      <c r="AD249" s="145">
        <v>1.0911378312859776</v>
      </c>
      <c r="AE249" s="5"/>
      <c r="AF249" s="4">
        <v>2.7044525194832221</v>
      </c>
      <c r="AG249" s="5"/>
      <c r="AH249" s="5"/>
      <c r="AI249" s="152">
        <f t="shared" si="116"/>
        <v>235.81409687496983</v>
      </c>
      <c r="AJ249" s="152">
        <f t="shared" si="117"/>
        <v>26.11688409455461</v>
      </c>
      <c r="AK249" s="152">
        <f t="shared" si="118"/>
        <v>38.258156558241566</v>
      </c>
      <c r="AL249" s="152">
        <f t="shared" si="119"/>
        <v>62.822386264777862</v>
      </c>
      <c r="AM249" s="152">
        <f t="shared" si="120"/>
        <v>4.9065418970569343</v>
      </c>
      <c r="AN249" s="152">
        <f t="shared" si="121"/>
        <v>3.2734134938579329</v>
      </c>
      <c r="AO249" s="152">
        <f t="shared" si="122"/>
        <v>0</v>
      </c>
      <c r="AP249" s="152">
        <f t="shared" si="123"/>
        <v>3.5157882753281888</v>
      </c>
      <c r="AS249" s="152">
        <f t="shared" si="124"/>
        <v>374.70726745878699</v>
      </c>
      <c r="AT249" s="156">
        <v>1893</v>
      </c>
      <c r="AU249" s="109">
        <f t="shared" si="125"/>
        <v>1.0491359405615468</v>
      </c>
      <c r="AV249" s="109">
        <f t="shared" si="128"/>
        <v>0.9907111296520984</v>
      </c>
    </row>
    <row r="250" spans="1:48" x14ac:dyDescent="0.2">
      <c r="A250" s="156">
        <v>1894</v>
      </c>
      <c r="B250" s="56">
        <v>1.5040192700333879</v>
      </c>
      <c r="C250" s="68">
        <v>1.5738132331939514</v>
      </c>
      <c r="D250" s="56">
        <v>4.3237717499999997</v>
      </c>
      <c r="E250" s="68">
        <v>14.4125725</v>
      </c>
      <c r="F250" s="56">
        <v>1.8240852306407425</v>
      </c>
      <c r="G250" s="109">
        <v>1.4180029617753445</v>
      </c>
      <c r="H250" s="109">
        <v>3.9327219893182268</v>
      </c>
      <c r="I250" s="99">
        <v>0.22185262385573126</v>
      </c>
      <c r="J250" s="109">
        <v>2.9851000000000001</v>
      </c>
      <c r="K250" s="8"/>
      <c r="L250" s="14">
        <f t="shared" si="105"/>
        <v>269.21944933597644</v>
      </c>
      <c r="M250" s="14">
        <f t="shared" si="106"/>
        <v>31.476264663879029</v>
      </c>
      <c r="N250" s="14">
        <f t="shared" si="107"/>
        <v>21.618858749999998</v>
      </c>
      <c r="O250" s="14">
        <f t="shared" si="108"/>
        <v>43.237717500000002</v>
      </c>
      <c r="P250" s="14">
        <f t="shared" si="109"/>
        <v>2.3713107998329654</v>
      </c>
      <c r="Q250" s="14">
        <f t="shared" si="110"/>
        <v>4.2540088853260336</v>
      </c>
      <c r="R250" s="14">
        <f t="shared" si="111"/>
        <v>5.1125385861136952</v>
      </c>
      <c r="S250" s="14">
        <f t="shared" si="112"/>
        <v>0.28840841101245063</v>
      </c>
      <c r="T250" s="14">
        <f t="shared" si="113"/>
        <v>8.9553000000000011</v>
      </c>
      <c r="V250" s="14">
        <f t="shared" si="114"/>
        <v>386.53385693214057</v>
      </c>
      <c r="W250" s="14">
        <f t="shared" si="115"/>
        <v>377.57855693214054</v>
      </c>
      <c r="X250" s="163"/>
      <c r="Y250" s="4">
        <v>1.3021598429209105</v>
      </c>
      <c r="Z250" s="4">
        <v>1.4433557411033338</v>
      </c>
      <c r="AA250" s="4">
        <v>7.4922223259889726</v>
      </c>
      <c r="AB250" s="4">
        <v>23.976645128422245</v>
      </c>
      <c r="AC250" s="4">
        <v>3.8199281498446545</v>
      </c>
      <c r="AD250" s="145">
        <v>1.0446378374207019</v>
      </c>
      <c r="AE250" s="5"/>
      <c r="AF250" s="4">
        <v>2.6199383782493713</v>
      </c>
      <c r="AG250" s="5"/>
      <c r="AH250" s="5"/>
      <c r="AI250" s="152">
        <f t="shared" si="116"/>
        <v>251.96792960519619</v>
      </c>
      <c r="AJ250" s="152">
        <f t="shared" si="117"/>
        <v>28.867114822066675</v>
      </c>
      <c r="AK250" s="152">
        <f t="shared" si="118"/>
        <v>37.461111629944867</v>
      </c>
      <c r="AL250" s="152">
        <f t="shared" si="119"/>
        <v>71.929935385266731</v>
      </c>
      <c r="AM250" s="152">
        <f t="shared" si="120"/>
        <v>4.9659065947980512</v>
      </c>
      <c r="AN250" s="152">
        <f t="shared" si="121"/>
        <v>3.1339135122621058</v>
      </c>
      <c r="AO250" s="152">
        <f t="shared" si="122"/>
        <v>0</v>
      </c>
      <c r="AP250" s="152">
        <f t="shared" si="123"/>
        <v>3.4059198917241829</v>
      </c>
      <c r="AS250" s="152">
        <f t="shared" si="124"/>
        <v>401.73183144125881</v>
      </c>
      <c r="AT250" s="156">
        <v>1894</v>
      </c>
      <c r="AU250" s="109">
        <f t="shared" si="125"/>
        <v>0.93987712046002025</v>
      </c>
      <c r="AV250" s="109">
        <f t="shared" si="128"/>
        <v>0.97539671660703142</v>
      </c>
    </row>
    <row r="251" spans="1:48" x14ac:dyDescent="0.2">
      <c r="A251" s="156">
        <v>1895</v>
      </c>
      <c r="B251" s="56">
        <v>1.5040192700333879</v>
      </c>
      <c r="C251" s="68">
        <v>1.5738132331939514</v>
      </c>
      <c r="D251" s="56">
        <v>4.3237717499999997</v>
      </c>
      <c r="E251" s="68">
        <v>14.4125725</v>
      </c>
      <c r="F251" s="56">
        <v>1.8516867771247578</v>
      </c>
      <c r="G251" s="55">
        <f>G250+($G$252-$G$250)/2</f>
        <v>1.5414724115505798</v>
      </c>
      <c r="H251" s="109">
        <v>3.8116616989968191</v>
      </c>
      <c r="I251" s="99">
        <v>0.21115089419131886</v>
      </c>
      <c r="J251" s="109">
        <v>2.9312</v>
      </c>
      <c r="K251" s="8"/>
      <c r="L251" s="14">
        <f t="shared" si="105"/>
        <v>269.21944933597644</v>
      </c>
      <c r="M251" s="14">
        <f t="shared" si="106"/>
        <v>31.476264663879029</v>
      </c>
      <c r="N251" s="14">
        <f t="shared" si="107"/>
        <v>21.618858749999998</v>
      </c>
      <c r="O251" s="14">
        <f t="shared" si="108"/>
        <v>43.237717500000002</v>
      </c>
      <c r="P251" s="14">
        <f t="shared" si="109"/>
        <v>2.4071928102621851</v>
      </c>
      <c r="Q251" s="14">
        <f t="shared" si="110"/>
        <v>4.6244172346517392</v>
      </c>
      <c r="R251" s="14">
        <f t="shared" si="111"/>
        <v>4.9551602086958653</v>
      </c>
      <c r="S251" s="14">
        <f t="shared" si="112"/>
        <v>0.2744961624487145</v>
      </c>
      <c r="T251" s="14">
        <f t="shared" si="113"/>
        <v>8.7935999999999996</v>
      </c>
      <c r="V251" s="14">
        <f t="shared" si="114"/>
        <v>386.60715666591398</v>
      </c>
      <c r="W251" s="14">
        <f t="shared" si="115"/>
        <v>377.81355666591395</v>
      </c>
      <c r="X251" s="163"/>
      <c r="Y251" s="4">
        <v>1.275030209250853</v>
      </c>
      <c r="Z251" s="4">
        <v>1.4309110604667634</v>
      </c>
      <c r="AA251" s="4">
        <v>7.4922223259889726</v>
      </c>
      <c r="AB251" s="4">
        <v>22.160818681305035</v>
      </c>
      <c r="AC251" s="4">
        <v>3.6825097185962812</v>
      </c>
      <c r="AD251" s="145">
        <v>0.95112414442149484</v>
      </c>
      <c r="AE251" s="5"/>
      <c r="AF251" s="4">
        <v>4.0566787792248329</v>
      </c>
      <c r="AG251" s="5"/>
      <c r="AH251" s="5"/>
      <c r="AI251" s="152">
        <f t="shared" si="116"/>
        <v>246.71834549004006</v>
      </c>
      <c r="AJ251" s="152">
        <f t="shared" si="117"/>
        <v>28.618221209335267</v>
      </c>
      <c r="AK251" s="152">
        <f t="shared" si="118"/>
        <v>37.461111629944867</v>
      </c>
      <c r="AL251" s="152">
        <f t="shared" si="119"/>
        <v>66.482456043915107</v>
      </c>
      <c r="AM251" s="152">
        <f t="shared" si="120"/>
        <v>4.7872626341751658</v>
      </c>
      <c r="AN251" s="152">
        <f t="shared" si="121"/>
        <v>2.8533724332644845</v>
      </c>
      <c r="AO251" s="152">
        <f t="shared" si="122"/>
        <v>0</v>
      </c>
      <c r="AP251" s="152">
        <f t="shared" si="123"/>
        <v>5.273682412992283</v>
      </c>
      <c r="AS251" s="152">
        <f t="shared" si="124"/>
        <v>392.19445185366732</v>
      </c>
      <c r="AT251" s="156">
        <v>1895</v>
      </c>
      <c r="AU251" s="109">
        <f t="shared" si="125"/>
        <v>0.96333223195844941</v>
      </c>
      <c r="AV251" s="109">
        <f t="shared" si="128"/>
        <v>0.93523411016901137</v>
      </c>
    </row>
    <row r="252" spans="1:48" x14ac:dyDescent="0.2">
      <c r="A252" s="156">
        <v>1896</v>
      </c>
      <c r="B252" s="56">
        <v>1.5040192700333879</v>
      </c>
      <c r="C252" s="68">
        <v>1.5738132331939514</v>
      </c>
      <c r="D252" s="56">
        <v>5.0444003749999995</v>
      </c>
      <c r="E252" s="68">
        <v>15.853829750000001</v>
      </c>
      <c r="F252" s="56">
        <v>1.5716597335028202</v>
      </c>
      <c r="G252" s="109">
        <v>1.6649418613258151</v>
      </c>
      <c r="H252" s="109">
        <v>3.5305422051686994</v>
      </c>
      <c r="I252" s="99">
        <v>0.18629993093691308</v>
      </c>
      <c r="J252" s="109">
        <v>2.8491</v>
      </c>
      <c r="K252" s="8"/>
      <c r="L252" s="14">
        <f t="shared" si="105"/>
        <v>269.21944933597644</v>
      </c>
      <c r="M252" s="14">
        <f t="shared" si="106"/>
        <v>31.476264663879029</v>
      </c>
      <c r="N252" s="14">
        <f t="shared" si="107"/>
        <v>25.222001874999997</v>
      </c>
      <c r="O252" s="14">
        <f t="shared" si="108"/>
        <v>47.561489250000001</v>
      </c>
      <c r="P252" s="14">
        <f t="shared" si="109"/>
        <v>2.0431576535536662</v>
      </c>
      <c r="Q252" s="14">
        <f t="shared" si="110"/>
        <v>4.9948255839774456</v>
      </c>
      <c r="R252" s="14">
        <f t="shared" si="111"/>
        <v>4.589704866719309</v>
      </c>
      <c r="S252" s="14">
        <f t="shared" si="112"/>
        <v>0.242189910217987</v>
      </c>
      <c r="T252" s="14">
        <f t="shared" si="113"/>
        <v>8.5472999999999999</v>
      </c>
      <c r="V252" s="14">
        <f t="shared" si="114"/>
        <v>393.89638313932392</v>
      </c>
      <c r="W252" s="14">
        <f t="shared" si="115"/>
        <v>385.34908313932391</v>
      </c>
      <c r="X252" s="163"/>
      <c r="Y252" s="4">
        <v>1.4029503034515576</v>
      </c>
      <c r="Z252" s="4">
        <v>1.4331615150570551</v>
      </c>
      <c r="AA252" s="4">
        <v>7.1734043546702928</v>
      </c>
      <c r="AB252" s="4">
        <v>21.743009689727312</v>
      </c>
      <c r="AC252" s="4">
        <v>3.673772235365</v>
      </c>
      <c r="AD252" s="145">
        <v>1.5050587904180179</v>
      </c>
      <c r="AE252" s="5"/>
      <c r="AF252" s="4">
        <v>4.1909715135023244</v>
      </c>
      <c r="AG252" s="5"/>
      <c r="AH252" s="5"/>
      <c r="AI252" s="152">
        <f t="shared" si="116"/>
        <v>271.4708837178764</v>
      </c>
      <c r="AJ252" s="152">
        <f t="shared" si="117"/>
        <v>28.663230301141102</v>
      </c>
      <c r="AK252" s="152">
        <f t="shared" si="118"/>
        <v>35.867021773351468</v>
      </c>
      <c r="AL252" s="152">
        <f t="shared" si="119"/>
        <v>65.229029069181934</v>
      </c>
      <c r="AM252" s="152">
        <f t="shared" si="120"/>
        <v>4.7759039059745003</v>
      </c>
      <c r="AN252" s="152">
        <f t="shared" si="121"/>
        <v>4.5151763712540536</v>
      </c>
      <c r="AO252" s="152">
        <f t="shared" si="122"/>
        <v>0</v>
      </c>
      <c r="AP252" s="152">
        <f t="shared" si="123"/>
        <v>5.4482629675530223</v>
      </c>
      <c r="AS252" s="152">
        <f t="shared" si="124"/>
        <v>415.9695081063324</v>
      </c>
      <c r="AT252" s="156">
        <v>1896</v>
      </c>
      <c r="AU252" s="109">
        <f t="shared" si="125"/>
        <v>0.9263878136010365</v>
      </c>
      <c r="AV252" s="109">
        <f t="shared" si="128"/>
        <v>0.85692237509836566</v>
      </c>
    </row>
    <row r="253" spans="1:48" x14ac:dyDescent="0.2">
      <c r="A253" s="156">
        <v>1897</v>
      </c>
      <c r="B253" s="56">
        <v>1.4055138167789802</v>
      </c>
      <c r="C253" s="43">
        <v>1.5064574346387216</v>
      </c>
      <c r="D253" s="56">
        <v>8.6475434999999994</v>
      </c>
      <c r="E253" s="68">
        <v>19.216763333333336</v>
      </c>
      <c r="F253" s="56">
        <v>1.5428437469572489</v>
      </c>
      <c r="G253" s="109">
        <v>1.9995246555819475</v>
      </c>
      <c r="H253" s="109">
        <v>8.6475434999999994</v>
      </c>
      <c r="I253" s="99">
        <v>0.63864284539999994</v>
      </c>
      <c r="J253" s="109">
        <v>3.0074000000000001</v>
      </c>
      <c r="K253" s="8"/>
      <c r="L253" s="14">
        <f t="shared" si="105"/>
        <v>251.58697320343745</v>
      </c>
      <c r="M253" s="14">
        <f t="shared" si="106"/>
        <v>30.129148692774432</v>
      </c>
      <c r="N253" s="14">
        <f t="shared" si="107"/>
        <v>43.237717499999995</v>
      </c>
      <c r="O253" s="14">
        <f t="shared" si="108"/>
        <v>57.650290000000012</v>
      </c>
      <c r="P253" s="14">
        <f t="shared" si="109"/>
        <v>2.0056968710444236</v>
      </c>
      <c r="Q253" s="14">
        <f t="shared" si="110"/>
        <v>5.9985739667458429</v>
      </c>
      <c r="R253" s="14">
        <f t="shared" si="111"/>
        <v>11.24180655</v>
      </c>
      <c r="S253" s="14">
        <f t="shared" si="112"/>
        <v>0.83023569901999994</v>
      </c>
      <c r="T253" s="14">
        <f t="shared" si="113"/>
        <v>9.0221999999999998</v>
      </c>
      <c r="V253" s="14">
        <f t="shared" si="114"/>
        <v>411.70264248302215</v>
      </c>
      <c r="W253" s="14">
        <f t="shared" si="115"/>
        <v>402.68044248302215</v>
      </c>
      <c r="X253" s="163"/>
      <c r="Y253" s="4">
        <v>1.8074700478553178</v>
      </c>
      <c r="Z253" s="4">
        <v>1.5932764855079322</v>
      </c>
      <c r="AA253" s="4">
        <v>7.4922223259889726</v>
      </c>
      <c r="AB253" s="4">
        <v>24.014313233686373</v>
      </c>
      <c r="AC253" s="4">
        <v>3.4207724974498581</v>
      </c>
      <c r="AD253" s="145">
        <v>1.4748480293662567</v>
      </c>
      <c r="AE253" s="5"/>
      <c r="AF253" s="4">
        <v>3.831908061014881</v>
      </c>
      <c r="AG253" s="5"/>
      <c r="AH253" s="5"/>
      <c r="AI253" s="152">
        <f t="shared" si="116"/>
        <v>349.74545426000401</v>
      </c>
      <c r="AJ253" s="152">
        <f t="shared" si="117"/>
        <v>31.865529710158643</v>
      </c>
      <c r="AK253" s="152">
        <f t="shared" si="118"/>
        <v>37.461111629944867</v>
      </c>
      <c r="AL253" s="152">
        <f t="shared" si="119"/>
        <v>72.042939701059112</v>
      </c>
      <c r="AM253" s="152">
        <f t="shared" si="120"/>
        <v>4.4470042466848154</v>
      </c>
      <c r="AN253" s="152">
        <f t="shared" si="121"/>
        <v>4.4245440880987701</v>
      </c>
      <c r="AO253" s="152">
        <f t="shared" si="122"/>
        <v>0</v>
      </c>
      <c r="AP253" s="152">
        <f t="shared" si="123"/>
        <v>4.9814804793193455</v>
      </c>
      <c r="AS253" s="152">
        <f t="shared" si="124"/>
        <v>504.96806411526956</v>
      </c>
      <c r="AT253" s="156">
        <v>1897</v>
      </c>
      <c r="AU253" s="109">
        <f t="shared" si="125"/>
        <v>0.79743744426400376</v>
      </c>
      <c r="AV253" s="109">
        <f t="shared" si="128"/>
        <v>0.83347479624093024</v>
      </c>
    </row>
    <row r="254" spans="1:48" x14ac:dyDescent="0.2">
      <c r="A254" s="156">
        <v>1898</v>
      </c>
      <c r="B254" s="56">
        <v>1.3070083635245731</v>
      </c>
      <c r="C254" s="68">
        <v>1.4391016360834916</v>
      </c>
      <c r="D254" s="56">
        <v>7.6867053333333333</v>
      </c>
      <c r="E254" s="68">
        <v>17.295087000000002</v>
      </c>
      <c r="F254" s="56">
        <v>1.5687914839534334</v>
      </c>
      <c r="G254" s="109">
        <v>1.3970899193395934</v>
      </c>
      <c r="H254" s="109">
        <v>6.7258671666666672</v>
      </c>
      <c r="I254" s="99">
        <v>0.46876665753333335</v>
      </c>
      <c r="J254" s="109">
        <v>3.0596000000000001</v>
      </c>
      <c r="K254" s="8"/>
      <c r="L254" s="14">
        <f t="shared" si="105"/>
        <v>233.95449707089858</v>
      </c>
      <c r="M254" s="14">
        <f t="shared" si="106"/>
        <v>28.782032721669832</v>
      </c>
      <c r="N254" s="14">
        <f t="shared" si="107"/>
        <v>38.433526666666666</v>
      </c>
      <c r="O254" s="14">
        <f t="shared" si="108"/>
        <v>51.885261000000007</v>
      </c>
      <c r="P254" s="14">
        <f t="shared" si="109"/>
        <v>2.0394289291394636</v>
      </c>
      <c r="Q254" s="14">
        <f t="shared" si="110"/>
        <v>4.1912697580187803</v>
      </c>
      <c r="R254" s="14">
        <f t="shared" si="111"/>
        <v>8.743627316666668</v>
      </c>
      <c r="S254" s="14">
        <f t="shared" si="112"/>
        <v>0.60939665479333338</v>
      </c>
      <c r="T254" s="14">
        <f t="shared" si="113"/>
        <v>9.1788000000000007</v>
      </c>
      <c r="V254" s="14">
        <f t="shared" si="114"/>
        <v>377.81784011785339</v>
      </c>
      <c r="W254" s="14">
        <f t="shared" si="115"/>
        <v>368.63904011785337</v>
      </c>
      <c r="X254" s="163"/>
      <c r="Y254" s="4">
        <v>2.081786865084049</v>
      </c>
      <c r="Z254" s="4">
        <v>1.7695814849459148</v>
      </c>
      <c r="AA254" s="4">
        <v>7.3328133403296327</v>
      </c>
      <c r="AB254" s="4">
        <v>23.90573834211613</v>
      </c>
      <c r="AC254" s="4">
        <v>3.6517656225260602</v>
      </c>
      <c r="AD254" s="145">
        <v>1.4893713875744379</v>
      </c>
      <c r="AE254" s="5"/>
      <c r="AF254" s="4">
        <v>3.6829107495330837</v>
      </c>
      <c r="AG254" s="5"/>
      <c r="AH254" s="5"/>
      <c r="AI254" s="152">
        <f t="shared" si="116"/>
        <v>402.82575839376346</v>
      </c>
      <c r="AJ254" s="152">
        <f t="shared" si="117"/>
        <v>35.391629698918294</v>
      </c>
      <c r="AK254" s="152">
        <f t="shared" si="118"/>
        <v>36.664066701648167</v>
      </c>
      <c r="AL254" s="152">
        <f t="shared" si="119"/>
        <v>71.717215026348384</v>
      </c>
      <c r="AM254" s="152">
        <f t="shared" si="120"/>
        <v>4.7472953092838788</v>
      </c>
      <c r="AN254" s="152">
        <f t="shared" si="121"/>
        <v>4.4681141627233139</v>
      </c>
      <c r="AO254" s="152">
        <f t="shared" si="122"/>
        <v>0</v>
      </c>
      <c r="AP254" s="152">
        <f t="shared" si="123"/>
        <v>4.7877839743930091</v>
      </c>
      <c r="AS254" s="152">
        <f t="shared" si="124"/>
        <v>560.60186326707856</v>
      </c>
      <c r="AT254" s="156">
        <v>1898</v>
      </c>
      <c r="AU254" s="109">
        <f t="shared" si="125"/>
        <v>0.65757726520831872</v>
      </c>
      <c r="AV254" s="109">
        <f t="shared" si="128"/>
        <v>0.79810433483095033</v>
      </c>
    </row>
    <row r="255" spans="1:48" x14ac:dyDescent="0.2">
      <c r="A255" s="156">
        <v>1899</v>
      </c>
      <c r="B255" s="56">
        <v>1.3070083635245731</v>
      </c>
      <c r="C255" s="68">
        <v>1.4391016360834916</v>
      </c>
      <c r="D255" s="56">
        <v>7.6867053333333333</v>
      </c>
      <c r="E255" s="68">
        <v>20.177601499999998</v>
      </c>
      <c r="F255" s="56">
        <v>1.6368382787703244</v>
      </c>
      <c r="G255" s="109">
        <v>1.6425452110110501</v>
      </c>
      <c r="H255" s="109">
        <v>7.6867053333333333</v>
      </c>
      <c r="I255" s="99">
        <v>0.55370475146666664</v>
      </c>
      <c r="J255" s="109">
        <v>3.9759000000000002</v>
      </c>
      <c r="K255" s="8"/>
      <c r="L255" s="14">
        <f t="shared" si="105"/>
        <v>233.95449707089858</v>
      </c>
      <c r="M255" s="14">
        <f t="shared" si="106"/>
        <v>28.782032721669832</v>
      </c>
      <c r="N255" s="14">
        <f t="shared" si="107"/>
        <v>38.433526666666666</v>
      </c>
      <c r="O255" s="14">
        <f t="shared" si="108"/>
        <v>60.532804499999997</v>
      </c>
      <c r="P255" s="14">
        <f t="shared" si="109"/>
        <v>2.1278897624014217</v>
      </c>
      <c r="Q255" s="14">
        <f t="shared" si="110"/>
        <v>4.9276356330331499</v>
      </c>
      <c r="R255" s="14">
        <f t="shared" si="111"/>
        <v>9.9927169333333339</v>
      </c>
      <c r="S255" s="14">
        <f t="shared" si="112"/>
        <v>0.71981617690666666</v>
      </c>
      <c r="T255" s="14">
        <f t="shared" si="113"/>
        <v>11.927700000000002</v>
      </c>
      <c r="V255" s="14">
        <f t="shared" si="114"/>
        <v>391.39861946490964</v>
      </c>
      <c r="W255" s="14">
        <f t="shared" si="115"/>
        <v>379.47091946490963</v>
      </c>
      <c r="X255" s="163"/>
      <c r="Y255" s="4">
        <v>1.5425748750238408</v>
      </c>
      <c r="Z255" s="4">
        <v>1.8203530972183861</v>
      </c>
      <c r="AA255" s="4">
        <v>7.8110402973076516</v>
      </c>
      <c r="AB255" s="4">
        <v>24.788180588748943</v>
      </c>
      <c r="AC255" s="4">
        <v>3.5784879472799207</v>
      </c>
      <c r="AD255" s="145">
        <v>1.152682401010771</v>
      </c>
      <c r="AE255" s="5"/>
      <c r="AF255" s="4">
        <v>3.7381633890259978</v>
      </c>
      <c r="AG255" s="5"/>
      <c r="AH255" s="5"/>
      <c r="AI255" s="152">
        <f t="shared" si="116"/>
        <v>298.4882383171132</v>
      </c>
      <c r="AJ255" s="152">
        <f t="shared" si="117"/>
        <v>36.407061944367726</v>
      </c>
      <c r="AK255" s="152">
        <f t="shared" si="118"/>
        <v>39.055201486538259</v>
      </c>
      <c r="AL255" s="152">
        <f t="shared" si="119"/>
        <v>74.36454176624683</v>
      </c>
      <c r="AM255" s="152">
        <f t="shared" si="120"/>
        <v>4.6520343314638968</v>
      </c>
      <c r="AN255" s="152">
        <f t="shared" si="121"/>
        <v>3.4580472030323133</v>
      </c>
      <c r="AO255" s="152">
        <f t="shared" si="122"/>
        <v>0</v>
      </c>
      <c r="AP255" s="152">
        <f t="shared" si="123"/>
        <v>4.859612405733797</v>
      </c>
      <c r="AS255" s="152">
        <f t="shared" si="124"/>
        <v>461.284737454496</v>
      </c>
      <c r="AT255" s="156">
        <v>1899</v>
      </c>
      <c r="AU255" s="109">
        <f t="shared" si="125"/>
        <v>0.82263922617284302</v>
      </c>
      <c r="AV255" s="109">
        <f t="shared" si="128"/>
        <v>0.78597511990096414</v>
      </c>
    </row>
    <row r="256" spans="1:48" x14ac:dyDescent="0.2">
      <c r="A256" s="156">
        <v>1900</v>
      </c>
      <c r="B256" s="56">
        <v>1.3070083635245731</v>
      </c>
      <c r="C256" s="68">
        <v>1.4391016360834916</v>
      </c>
      <c r="D256" s="56">
        <v>7.6867053333333333</v>
      </c>
      <c r="E256" s="68">
        <v>17.295087000000002</v>
      </c>
      <c r="F256" s="56">
        <v>1.860691065327347</v>
      </c>
      <c r="G256" s="109">
        <v>1.0964380804259219</v>
      </c>
      <c r="H256" s="109">
        <v>7.6867053333333333</v>
      </c>
      <c r="I256" s="99">
        <v>0.55370475146666664</v>
      </c>
      <c r="J256" s="109">
        <v>4.1097000000000001</v>
      </c>
      <c r="K256" s="8"/>
      <c r="L256" s="14">
        <f t="shared" si="105"/>
        <v>233.95449707089858</v>
      </c>
      <c r="M256" s="14">
        <f t="shared" si="106"/>
        <v>28.782032721669832</v>
      </c>
      <c r="N256" s="14">
        <f t="shared" si="107"/>
        <v>38.433526666666666</v>
      </c>
      <c r="O256" s="14">
        <f t="shared" si="108"/>
        <v>51.885261000000007</v>
      </c>
      <c r="P256" s="14">
        <f t="shared" si="109"/>
        <v>2.418898384925551</v>
      </c>
      <c r="Q256" s="14">
        <f t="shared" si="110"/>
        <v>3.2893142412777658</v>
      </c>
      <c r="R256" s="14">
        <f t="shared" si="111"/>
        <v>9.9927169333333339</v>
      </c>
      <c r="S256" s="14">
        <f t="shared" si="112"/>
        <v>0.71981617690666666</v>
      </c>
      <c r="T256" s="14">
        <f t="shared" si="113"/>
        <v>12.3291</v>
      </c>
      <c r="V256" s="14">
        <f t="shared" si="114"/>
        <v>381.8051631956784</v>
      </c>
      <c r="W256" s="14">
        <f t="shared" si="115"/>
        <v>369.47606319567842</v>
      </c>
      <c r="X256" s="163"/>
      <c r="Y256" s="4">
        <v>1.5702652804062933</v>
      </c>
      <c r="Z256" s="4">
        <v>1.8024305295451322</v>
      </c>
      <c r="AA256" s="4">
        <v>8.1298582686263323</v>
      </c>
      <c r="AB256" s="4">
        <v>24.952487258228775</v>
      </c>
      <c r="AC256" s="4">
        <v>3.8095200748686779</v>
      </c>
      <c r="AD256" s="145">
        <v>1.2688319061531292</v>
      </c>
      <c r="AE256" s="5"/>
      <c r="AF256" s="4">
        <v>4.3260873332810448</v>
      </c>
      <c r="AG256" s="5"/>
      <c r="AH256" s="5"/>
      <c r="AI256" s="152">
        <f t="shared" si="116"/>
        <v>303.84633175861774</v>
      </c>
      <c r="AJ256" s="152">
        <f t="shared" si="117"/>
        <v>36.048610590902641</v>
      </c>
      <c r="AK256" s="152">
        <f t="shared" si="118"/>
        <v>40.649291343131665</v>
      </c>
      <c r="AL256" s="152">
        <f t="shared" si="119"/>
        <v>74.857461774686328</v>
      </c>
      <c r="AM256" s="152">
        <f t="shared" si="120"/>
        <v>4.9523760973292816</v>
      </c>
      <c r="AN256" s="152">
        <f t="shared" si="121"/>
        <v>3.8064957184593879</v>
      </c>
      <c r="AO256" s="152">
        <f t="shared" si="122"/>
        <v>0</v>
      </c>
      <c r="AP256" s="152">
        <f t="shared" si="123"/>
        <v>5.623913533265358</v>
      </c>
      <c r="AS256" s="152">
        <f t="shared" si="124"/>
        <v>469.78448081639243</v>
      </c>
      <c r="AT256" s="156">
        <v>1900</v>
      </c>
      <c r="AU256" s="109">
        <f t="shared" si="125"/>
        <v>0.7864799249085499</v>
      </c>
      <c r="AV256" s="109">
        <f t="shared" si="128"/>
        <v>0.77823466052818713</v>
      </c>
    </row>
    <row r="257" spans="1:48" x14ac:dyDescent="0.2">
      <c r="A257" s="156">
        <v>1901</v>
      </c>
      <c r="B257" s="56">
        <v>1.4383489678637829</v>
      </c>
      <c r="C257" s="68">
        <v>1.5289093674904648</v>
      </c>
      <c r="D257" s="56">
        <v>8.6475434999999994</v>
      </c>
      <c r="E257" s="68">
        <v>23.060116000000004</v>
      </c>
      <c r="F257" s="56">
        <v>1.9776645273805062</v>
      </c>
      <c r="G257" s="109">
        <v>1.3989886326632288</v>
      </c>
      <c r="H257" s="109">
        <v>8.6475434999999994</v>
      </c>
      <c r="I257" s="99">
        <v>0.63864284539999994</v>
      </c>
      <c r="J257" s="109">
        <v>4.6928000000000001</v>
      </c>
      <c r="K257" s="8"/>
      <c r="L257" s="14">
        <f t="shared" si="105"/>
        <v>257.46446524761711</v>
      </c>
      <c r="M257" s="14">
        <f t="shared" si="106"/>
        <v>30.578187349809298</v>
      </c>
      <c r="N257" s="14">
        <f t="shared" si="107"/>
        <v>43.237717499999995</v>
      </c>
      <c r="O257" s="14">
        <f t="shared" si="108"/>
        <v>69.180348000000009</v>
      </c>
      <c r="P257" s="14">
        <f t="shared" si="109"/>
        <v>2.5709638855946584</v>
      </c>
      <c r="Q257" s="14">
        <f t="shared" si="110"/>
        <v>4.1969658979896867</v>
      </c>
      <c r="R257" s="14">
        <f t="shared" si="111"/>
        <v>11.24180655</v>
      </c>
      <c r="S257" s="14">
        <f t="shared" si="112"/>
        <v>0.83023569901999994</v>
      </c>
      <c r="T257" s="14">
        <f t="shared" si="113"/>
        <v>14.0784</v>
      </c>
      <c r="V257" s="14">
        <f t="shared" si="114"/>
        <v>433.3790901300307</v>
      </c>
      <c r="W257" s="14">
        <f t="shared" si="115"/>
        <v>419.30069013003072</v>
      </c>
      <c r="X257" s="163"/>
      <c r="Y257" s="4">
        <v>1.6212385914369434</v>
      </c>
      <c r="Z257" s="4">
        <v>2.0224626337440141</v>
      </c>
      <c r="AA257" s="4">
        <v>7.8110402973076516</v>
      </c>
      <c r="AB257" s="4">
        <v>25.924134094938267</v>
      </c>
      <c r="AC257" s="4">
        <v>3.7394480142115563</v>
      </c>
      <c r="AD257" s="145">
        <v>1.1498748912252275</v>
      </c>
      <c r="AE257" s="5"/>
      <c r="AF257" s="4">
        <v>3.8676472542153335</v>
      </c>
      <c r="AG257" s="5"/>
      <c r="AH257" s="5"/>
      <c r="AI257" s="152">
        <f t="shared" si="116"/>
        <v>313.70966744304855</v>
      </c>
      <c r="AJ257" s="152">
        <f t="shared" si="117"/>
        <v>40.449252674880285</v>
      </c>
      <c r="AK257" s="152">
        <f t="shared" si="118"/>
        <v>39.055201486538259</v>
      </c>
      <c r="AL257" s="152">
        <f t="shared" si="119"/>
        <v>77.772402284814802</v>
      </c>
      <c r="AM257" s="152">
        <f t="shared" si="120"/>
        <v>4.8612824184750236</v>
      </c>
      <c r="AN257" s="152">
        <f t="shared" si="121"/>
        <v>3.4496246736756824</v>
      </c>
      <c r="AO257" s="152">
        <f t="shared" si="122"/>
        <v>0</v>
      </c>
      <c r="AP257" s="152">
        <f t="shared" si="123"/>
        <v>5.0279414304799337</v>
      </c>
      <c r="AS257" s="152">
        <f t="shared" si="124"/>
        <v>484.32537241191244</v>
      </c>
      <c r="AT257" s="156">
        <v>1901</v>
      </c>
      <c r="AU257" s="109">
        <f t="shared" si="125"/>
        <v>0.86574173895110518</v>
      </c>
      <c r="AV257" s="109">
        <f t="shared" si="128"/>
        <v>0.77711113771242613</v>
      </c>
    </row>
    <row r="258" spans="1:48" x14ac:dyDescent="0.2">
      <c r="A258" s="156">
        <v>1902</v>
      </c>
      <c r="B258" s="56">
        <v>1.4383489678637829</v>
      </c>
      <c r="C258" s="68">
        <v>1.5289093674904648</v>
      </c>
      <c r="D258" s="56">
        <v>12.490896166666667</v>
      </c>
      <c r="E258" s="68">
        <v>19.216763333333336</v>
      </c>
      <c r="F258" s="56">
        <v>2.055090838970095</v>
      </c>
      <c r="G258" s="109">
        <v>1.2736155747844788</v>
      </c>
      <c r="H258" s="109">
        <v>8.6475434999999994</v>
      </c>
      <c r="I258" s="99">
        <v>0.63864284539999994</v>
      </c>
      <c r="J258" s="109">
        <v>4.0667999999999997</v>
      </c>
      <c r="K258" s="8"/>
      <c r="L258" s="14">
        <f t="shared" si="105"/>
        <v>257.46446524761711</v>
      </c>
      <c r="M258" s="14">
        <f t="shared" si="106"/>
        <v>30.578187349809298</v>
      </c>
      <c r="N258" s="14">
        <f t="shared" si="107"/>
        <v>62.454480833333335</v>
      </c>
      <c r="O258" s="14">
        <f t="shared" si="108"/>
        <v>57.650290000000012</v>
      </c>
      <c r="P258" s="14">
        <f t="shared" si="109"/>
        <v>2.6716180906611235</v>
      </c>
      <c r="Q258" s="14">
        <f t="shared" si="110"/>
        <v>3.8208467243534363</v>
      </c>
      <c r="R258" s="14">
        <f t="shared" si="111"/>
        <v>11.24180655</v>
      </c>
      <c r="S258" s="14">
        <f t="shared" si="112"/>
        <v>0.83023569901999994</v>
      </c>
      <c r="T258" s="14">
        <f t="shared" si="113"/>
        <v>12.200399999999998</v>
      </c>
      <c r="V258" s="14">
        <f t="shared" si="114"/>
        <v>438.91233049479433</v>
      </c>
      <c r="W258" s="14">
        <f t="shared" si="115"/>
        <v>426.71193049479433</v>
      </c>
      <c r="X258" s="163"/>
      <c r="Y258" s="4">
        <v>1.9274596507952007</v>
      </c>
      <c r="Z258" s="4">
        <v>2.3049347489464775</v>
      </c>
      <c r="AA258" s="4">
        <v>8.6080852256043503</v>
      </c>
      <c r="AB258" s="4">
        <v>29.109041379185395</v>
      </c>
      <c r="AC258" s="4">
        <v>3.8061084908197818</v>
      </c>
      <c r="AD258" s="145">
        <v>1.158969917990317</v>
      </c>
      <c r="AE258" s="5"/>
      <c r="AF258" s="4">
        <v>3.49578255968532</v>
      </c>
      <c r="AG258" s="5"/>
      <c r="AH258" s="5"/>
      <c r="AI258" s="152">
        <f t="shared" si="116"/>
        <v>372.9634424288713</v>
      </c>
      <c r="AJ258" s="152">
        <f t="shared" si="117"/>
        <v>46.098694978929551</v>
      </c>
      <c r="AK258" s="152">
        <f t="shared" si="118"/>
        <v>43.04042612802175</v>
      </c>
      <c r="AL258" s="152">
        <f t="shared" si="119"/>
        <v>87.327124137556183</v>
      </c>
      <c r="AM258" s="152">
        <f t="shared" si="120"/>
        <v>4.9479410380657161</v>
      </c>
      <c r="AN258" s="152">
        <f t="shared" si="121"/>
        <v>3.476909753970951</v>
      </c>
      <c r="AO258" s="152">
        <f t="shared" si="122"/>
        <v>0</v>
      </c>
      <c r="AP258" s="152">
        <f t="shared" si="123"/>
        <v>4.5445173275909161</v>
      </c>
      <c r="AS258" s="152">
        <f t="shared" si="124"/>
        <v>562.39905579300637</v>
      </c>
      <c r="AT258" s="156">
        <v>1902</v>
      </c>
      <c r="AU258" s="109">
        <f t="shared" si="125"/>
        <v>0.75873514740011883</v>
      </c>
      <c r="AV258" s="109">
        <f t="shared" si="128"/>
        <v>0.73709740208301144</v>
      </c>
    </row>
    <row r="259" spans="1:48" x14ac:dyDescent="0.2">
      <c r="A259" s="156">
        <v>1903</v>
      </c>
      <c r="B259" s="56">
        <v>1.1756677591853633</v>
      </c>
      <c r="C259" s="68">
        <v>1.3492939046765189</v>
      </c>
      <c r="D259" s="56">
        <v>9.6083816666666646</v>
      </c>
      <c r="E259" s="68">
        <v>15.373410666666667</v>
      </c>
      <c r="F259" s="57">
        <f>F258+($F$261-$F$258)/3</f>
        <v>2.0116802373820346</v>
      </c>
      <c r="G259" s="40">
        <v>1.2736155747844788</v>
      </c>
      <c r="H259" s="109">
        <v>8.6475434999999994</v>
      </c>
      <c r="I259" s="99">
        <v>0.63864284539999994</v>
      </c>
      <c r="J259" s="55">
        <f>J258+($J$261-$J$258)/3</f>
        <v>3.4659999999999997</v>
      </c>
      <c r="K259" s="8"/>
      <c r="L259" s="14">
        <f t="shared" si="105"/>
        <v>210.44452889418002</v>
      </c>
      <c r="M259" s="14">
        <f t="shared" si="106"/>
        <v>26.985878093530378</v>
      </c>
      <c r="N259" s="14">
        <f t="shared" si="107"/>
        <v>48.041908333333325</v>
      </c>
      <c r="O259" s="14">
        <f t="shared" si="108"/>
        <v>46.120232000000001</v>
      </c>
      <c r="P259" s="14">
        <f t="shared" si="109"/>
        <v>2.6151843085966453</v>
      </c>
      <c r="Q259" s="14">
        <f t="shared" si="110"/>
        <v>3.8208467243534363</v>
      </c>
      <c r="R259" s="14">
        <f t="shared" si="111"/>
        <v>11.24180655</v>
      </c>
      <c r="S259" s="14">
        <f t="shared" si="112"/>
        <v>0.83023569901999994</v>
      </c>
      <c r="T259" s="14">
        <f t="shared" si="113"/>
        <v>10.398</v>
      </c>
      <c r="V259" s="14">
        <f t="shared" si="114"/>
        <v>360.49862060301382</v>
      </c>
      <c r="W259" s="14">
        <f t="shared" si="115"/>
        <v>350.10062060301379</v>
      </c>
      <c r="X259" s="163"/>
      <c r="Y259" s="4">
        <v>1.781632710085409</v>
      </c>
      <c r="Z259" s="4">
        <v>2.222551080535371</v>
      </c>
      <c r="AA259" s="4">
        <v>7.6516313116483126</v>
      </c>
      <c r="AB259" s="4">
        <v>32.011881481421298</v>
      </c>
      <c r="AC259" s="4">
        <v>3.8386565258976812</v>
      </c>
      <c r="AD259" s="145">
        <v>1.2382725139016988</v>
      </c>
      <c r="AE259" s="5"/>
      <c r="AF259" s="4">
        <v>3.6935007295371785</v>
      </c>
      <c r="AG259" s="5"/>
      <c r="AH259" s="5"/>
      <c r="AI259" s="152">
        <f t="shared" si="116"/>
        <v>344.74592940152667</v>
      </c>
      <c r="AJ259" s="152">
        <f t="shared" si="117"/>
        <v>44.451021610707421</v>
      </c>
      <c r="AK259" s="152">
        <f t="shared" si="118"/>
        <v>38.258156558241566</v>
      </c>
      <c r="AL259" s="152">
        <f t="shared" si="119"/>
        <v>96.035644444263895</v>
      </c>
      <c r="AM259" s="152">
        <f t="shared" si="120"/>
        <v>4.9902534836669856</v>
      </c>
      <c r="AN259" s="152">
        <f t="shared" si="121"/>
        <v>3.7148175417050964</v>
      </c>
      <c r="AO259" s="152">
        <f t="shared" si="122"/>
        <v>0</v>
      </c>
      <c r="AP259" s="152">
        <f t="shared" si="123"/>
        <v>4.8015509483983321</v>
      </c>
      <c r="AS259" s="152">
        <f t="shared" si="124"/>
        <v>536.99737398850993</v>
      </c>
      <c r="AT259" s="156">
        <v>1903</v>
      </c>
      <c r="AU259" s="109">
        <f t="shared" si="125"/>
        <v>0.65195965112951348</v>
      </c>
      <c r="AV259" s="109">
        <f t="shared" si="128"/>
        <v>0.70655443064155432</v>
      </c>
    </row>
    <row r="260" spans="1:48" x14ac:dyDescent="0.2">
      <c r="A260" s="156">
        <v>1904</v>
      </c>
      <c r="B260" s="56">
        <v>1.1756677591853633</v>
      </c>
      <c r="C260" s="68">
        <v>1.3492939046765189</v>
      </c>
      <c r="D260" s="56">
        <v>7.6867053333333333</v>
      </c>
      <c r="E260" s="43">
        <v>13.451734333333334</v>
      </c>
      <c r="F260" s="57">
        <f>F259+($F$261-$F$258)/3</f>
        <v>1.9682696357939742</v>
      </c>
      <c r="G260" s="40">
        <v>1.2736155747844788</v>
      </c>
      <c r="H260" s="109">
        <v>5.2846099166666667</v>
      </c>
      <c r="I260" s="99">
        <v>0.34135951663333342</v>
      </c>
      <c r="J260" s="55">
        <f>J259+($J$261-$J$258)/3</f>
        <v>2.8651999999999997</v>
      </c>
      <c r="K260" s="8"/>
      <c r="L260" s="14">
        <f t="shared" si="105"/>
        <v>210.44452889418002</v>
      </c>
      <c r="M260" s="14">
        <f t="shared" si="106"/>
        <v>26.985878093530378</v>
      </c>
      <c r="N260" s="14">
        <f t="shared" si="107"/>
        <v>38.433526666666666</v>
      </c>
      <c r="O260" s="14">
        <f t="shared" si="108"/>
        <v>40.355203000000003</v>
      </c>
      <c r="P260" s="14">
        <f t="shared" si="109"/>
        <v>2.5587505265321666</v>
      </c>
      <c r="Q260" s="14">
        <f t="shared" si="110"/>
        <v>3.8208467243534363</v>
      </c>
      <c r="R260" s="14">
        <f t="shared" si="111"/>
        <v>6.8699928916666666</v>
      </c>
      <c r="S260" s="14">
        <f t="shared" si="112"/>
        <v>0.44376737162333346</v>
      </c>
      <c r="T260" s="14">
        <f t="shared" si="113"/>
        <v>8.5955999999999992</v>
      </c>
      <c r="V260" s="14">
        <f t="shared" si="114"/>
        <v>338.50809416855265</v>
      </c>
      <c r="W260" s="14">
        <f t="shared" si="115"/>
        <v>329.91249416855266</v>
      </c>
      <c r="X260" s="163"/>
      <c r="Y260" s="4">
        <v>1.774567491286559</v>
      </c>
      <c r="Z260" s="4">
        <v>1.9179812509931575</v>
      </c>
      <c r="AA260" s="4">
        <v>7.6516313116483126</v>
      </c>
      <c r="AB260" s="4">
        <v>31.989721874795165</v>
      </c>
      <c r="AC260" s="4">
        <v>3.8663529206408662</v>
      </c>
      <c r="AD260" s="145">
        <v>1.2532294092390026</v>
      </c>
      <c r="AE260" s="5"/>
      <c r="AF260" s="4">
        <v>3.9755004746580389</v>
      </c>
      <c r="AG260" s="5"/>
      <c r="AH260" s="5"/>
      <c r="AI260" s="152">
        <f t="shared" si="116"/>
        <v>343.37880956394918</v>
      </c>
      <c r="AJ260" s="152">
        <f t="shared" si="117"/>
        <v>38.359625019863152</v>
      </c>
      <c r="AK260" s="152">
        <f t="shared" si="118"/>
        <v>38.258156558241566</v>
      </c>
      <c r="AL260" s="152">
        <f t="shared" si="119"/>
        <v>95.969165624385496</v>
      </c>
      <c r="AM260" s="152">
        <f t="shared" si="120"/>
        <v>5.026258796833126</v>
      </c>
      <c r="AN260" s="152">
        <f t="shared" si="121"/>
        <v>3.7596882277170076</v>
      </c>
      <c r="AO260" s="152">
        <f t="shared" si="122"/>
        <v>0</v>
      </c>
      <c r="AP260" s="152">
        <f t="shared" si="123"/>
        <v>5.168150617055451</v>
      </c>
      <c r="AS260" s="152">
        <f t="shared" si="124"/>
        <v>529.9198544080449</v>
      </c>
      <c r="AT260" s="156">
        <v>1904</v>
      </c>
      <c r="AU260" s="109">
        <f t="shared" si="125"/>
        <v>0.62257054802576983</v>
      </c>
      <c r="AV260" s="109">
        <f t="shared" si="128"/>
        <v>0.71551441531495974</v>
      </c>
    </row>
    <row r="261" spans="1:48" x14ac:dyDescent="0.2">
      <c r="A261" s="156">
        <v>1905</v>
      </c>
      <c r="B261" s="56">
        <v>1.1756677591853633</v>
      </c>
      <c r="C261" s="43">
        <v>1.3492939046765189</v>
      </c>
      <c r="D261" s="57">
        <v>8.1671244166666668</v>
      </c>
      <c r="E261" s="68">
        <v>11.530058000000002</v>
      </c>
      <c r="F261" s="56">
        <v>1.9248590342059138</v>
      </c>
      <c r="G261" s="40">
        <v>1.2736155747844788</v>
      </c>
      <c r="H261" s="109">
        <v>6.7258671666666672</v>
      </c>
      <c r="I261" s="99">
        <v>0.46876665753333335</v>
      </c>
      <c r="J261" s="109">
        <v>2.2644000000000002</v>
      </c>
      <c r="K261" s="8"/>
      <c r="L261" s="14">
        <f t="shared" si="105"/>
        <v>210.44452889418002</v>
      </c>
      <c r="M261" s="14">
        <f t="shared" si="106"/>
        <v>26.985878093530378</v>
      </c>
      <c r="N261" s="14">
        <f t="shared" si="107"/>
        <v>40.835622083333334</v>
      </c>
      <c r="O261" s="14">
        <f t="shared" si="108"/>
        <v>34.590174000000005</v>
      </c>
      <c r="P261" s="14">
        <f t="shared" si="109"/>
        <v>2.5023167444676879</v>
      </c>
      <c r="Q261" s="14">
        <f t="shared" si="110"/>
        <v>3.8208467243534363</v>
      </c>
      <c r="R261" s="14">
        <f t="shared" si="111"/>
        <v>8.743627316666668</v>
      </c>
      <c r="S261" s="14">
        <f t="shared" si="112"/>
        <v>0.60939665479333338</v>
      </c>
      <c r="T261" s="14">
        <f t="shared" si="113"/>
        <v>6.7932000000000006</v>
      </c>
      <c r="V261" s="14">
        <f t="shared" si="114"/>
        <v>335.32559051132483</v>
      </c>
      <c r="W261" s="14">
        <f t="shared" si="115"/>
        <v>328.53239051132482</v>
      </c>
      <c r="X261" s="163"/>
      <c r="Y261" s="4">
        <v>1.7609665552378941</v>
      </c>
      <c r="Z261" s="4">
        <v>1.9829592748518636</v>
      </c>
      <c r="AA261" s="4">
        <v>7.4922223259889726</v>
      </c>
      <c r="AB261" s="4">
        <v>29.095536305783696</v>
      </c>
      <c r="AC261" s="4">
        <v>3.7009122781888091</v>
      </c>
      <c r="AD261" s="145">
        <v>1.2432454465363811</v>
      </c>
      <c r="AE261" s="5"/>
      <c r="AF261" s="4">
        <v>3.6054792287378241</v>
      </c>
      <c r="AG261" s="5"/>
      <c r="AH261" s="5"/>
      <c r="AI261" s="152">
        <f t="shared" si="116"/>
        <v>340.74702843853254</v>
      </c>
      <c r="AJ261" s="152">
        <f t="shared" si="117"/>
        <v>39.659185497037271</v>
      </c>
      <c r="AK261" s="152">
        <f t="shared" si="118"/>
        <v>37.461111629944867</v>
      </c>
      <c r="AL261" s="152">
        <f t="shared" si="119"/>
        <v>87.286608917351089</v>
      </c>
      <c r="AM261" s="152">
        <f t="shared" si="120"/>
        <v>4.8111859616454522</v>
      </c>
      <c r="AN261" s="152">
        <f t="shared" si="121"/>
        <v>3.7297363396091434</v>
      </c>
      <c r="AO261" s="152">
        <f t="shared" si="122"/>
        <v>0</v>
      </c>
      <c r="AP261" s="152">
        <f t="shared" si="123"/>
        <v>4.6871229973591717</v>
      </c>
      <c r="AS261" s="152">
        <f t="shared" si="124"/>
        <v>518.38197978147957</v>
      </c>
      <c r="AT261" s="156">
        <v>1905</v>
      </c>
      <c r="AU261" s="109">
        <f t="shared" si="125"/>
        <v>0.63376506770126428</v>
      </c>
      <c r="AV261" s="109">
        <f t="shared" si="128"/>
        <v>0.7358023518347161</v>
      </c>
    </row>
    <row r="262" spans="1:48" x14ac:dyDescent="0.2">
      <c r="A262" s="156">
        <v>1906</v>
      </c>
      <c r="B262" s="56">
        <v>1.1756677591853633</v>
      </c>
      <c r="C262" s="68">
        <v>1.3492939046765189</v>
      </c>
      <c r="D262" s="56">
        <v>8.6475434999999994</v>
      </c>
      <c r="E262" s="68">
        <v>17.295087000000002</v>
      </c>
      <c r="F262" s="57">
        <f>F261+($F$266-$F$261)/5</f>
        <v>1.9729792194565587</v>
      </c>
      <c r="G262" s="40">
        <v>1.2736155747844788</v>
      </c>
      <c r="H262" s="109">
        <v>6.7258671666666672</v>
      </c>
      <c r="I262" s="99">
        <v>0.46876665753333335</v>
      </c>
      <c r="J262" s="55">
        <f>J261+($J$264-$J$261)/3</f>
        <v>2.3653666666666666</v>
      </c>
      <c r="K262" s="8"/>
      <c r="L262" s="14">
        <f t="shared" si="105"/>
        <v>210.44452889418002</v>
      </c>
      <c r="M262" s="14">
        <f t="shared" si="106"/>
        <v>26.985878093530378</v>
      </c>
      <c r="N262" s="14">
        <f t="shared" si="107"/>
        <v>43.237717499999995</v>
      </c>
      <c r="O262" s="14">
        <f t="shared" si="108"/>
        <v>51.885261000000007</v>
      </c>
      <c r="P262" s="14">
        <f t="shared" si="109"/>
        <v>2.5648729852935266</v>
      </c>
      <c r="Q262" s="14">
        <f t="shared" si="110"/>
        <v>3.8208467243534363</v>
      </c>
      <c r="R262" s="14">
        <f t="shared" si="111"/>
        <v>8.743627316666668</v>
      </c>
      <c r="S262" s="14">
        <f t="shared" si="112"/>
        <v>0.60939665479333338</v>
      </c>
      <c r="T262" s="14">
        <f t="shared" si="113"/>
        <v>7.0960999999999999</v>
      </c>
      <c r="V262" s="14">
        <f t="shared" si="114"/>
        <v>355.3882291688173</v>
      </c>
      <c r="W262" s="14">
        <f t="shared" si="115"/>
        <v>348.29212916881733</v>
      </c>
      <c r="X262" s="163"/>
      <c r="Y262" s="4">
        <v>1.5121156697081779</v>
      </c>
      <c r="Z262" s="4">
        <v>1.9298904713859673</v>
      </c>
      <c r="AA262" s="4">
        <v>7.4922223259889726</v>
      </c>
      <c r="AB262" s="4"/>
      <c r="AC262" s="4">
        <v>3.8386072339784731</v>
      </c>
      <c r="AD262" s="145">
        <v>1.3267018818971652</v>
      </c>
      <c r="AE262" s="5"/>
      <c r="AF262" s="4">
        <v>3.7594784941972015</v>
      </c>
      <c r="AG262" s="5"/>
      <c r="AH262" s="5"/>
      <c r="AI262" s="152">
        <f t="shared" si="116"/>
        <v>292.59438208853243</v>
      </c>
      <c r="AJ262" s="152">
        <f t="shared" si="117"/>
        <v>38.597809427719348</v>
      </c>
      <c r="AK262" s="152">
        <f t="shared" si="118"/>
        <v>37.461111629944867</v>
      </c>
      <c r="AL262" s="152">
        <f t="shared" si="119"/>
        <v>0</v>
      </c>
      <c r="AM262" s="152">
        <f t="shared" si="120"/>
        <v>4.990189404172015</v>
      </c>
      <c r="AN262" s="152">
        <f t="shared" si="121"/>
        <v>3.9801056456914958</v>
      </c>
      <c r="AO262" s="152">
        <f t="shared" si="122"/>
        <v>0</v>
      </c>
      <c r="AP262" s="152">
        <f t="shared" si="123"/>
        <v>4.8873220424563621</v>
      </c>
      <c r="AS262" s="152">
        <f t="shared" si="124"/>
        <v>382.51092023851658</v>
      </c>
      <c r="AT262" s="156">
        <v>1906</v>
      </c>
      <c r="AU262" s="109">
        <f t="shared" si="125"/>
        <v>0.91054166231813216</v>
      </c>
      <c r="AV262" s="109">
        <f t="shared" si="128"/>
        <v>0.72713699937128795</v>
      </c>
    </row>
    <row r="263" spans="1:48" x14ac:dyDescent="0.2">
      <c r="A263" s="156">
        <v>1907</v>
      </c>
      <c r="B263" s="56">
        <v>1.1756677591853633</v>
      </c>
      <c r="C263" s="68">
        <v>1.3492939046765189</v>
      </c>
      <c r="D263" s="56">
        <v>8.6475434999999994</v>
      </c>
      <c r="E263" s="68">
        <v>17.295087000000002</v>
      </c>
      <c r="F263" s="57">
        <f>F262+($F$266-$F$261)/5</f>
        <v>2.0210994047072037</v>
      </c>
      <c r="G263" s="40">
        <v>1.2736155747844788</v>
      </c>
      <c r="H263" s="109">
        <v>6.7258671666666672</v>
      </c>
      <c r="I263" s="99">
        <v>0.46876665753333335</v>
      </c>
      <c r="J263" s="55">
        <f>J262+($J$264-$J$261)/3</f>
        <v>2.466333333333333</v>
      </c>
      <c r="K263" s="8"/>
      <c r="L263" s="14">
        <f t="shared" si="105"/>
        <v>210.44452889418002</v>
      </c>
      <c r="M263" s="14">
        <f t="shared" si="106"/>
        <v>26.985878093530378</v>
      </c>
      <c r="N263" s="14">
        <f t="shared" si="107"/>
        <v>43.237717499999995</v>
      </c>
      <c r="O263" s="14">
        <f t="shared" si="108"/>
        <v>51.885261000000007</v>
      </c>
      <c r="P263" s="14">
        <f t="shared" si="109"/>
        <v>2.6274292261193648</v>
      </c>
      <c r="Q263" s="14">
        <f t="shared" si="110"/>
        <v>3.8208467243534363</v>
      </c>
      <c r="R263" s="14">
        <f t="shared" si="111"/>
        <v>8.743627316666668</v>
      </c>
      <c r="S263" s="14">
        <f t="shared" si="112"/>
        <v>0.60939665479333338</v>
      </c>
      <c r="T263" s="14">
        <f t="shared" si="113"/>
        <v>7.3989999999999991</v>
      </c>
      <c r="V263" s="14">
        <f t="shared" si="114"/>
        <v>355.7536854096432</v>
      </c>
      <c r="W263" s="14">
        <f t="shared" si="115"/>
        <v>348.3546854096432</v>
      </c>
      <c r="X263" s="163"/>
      <c r="Y263" s="4">
        <v>1.6706297425823231</v>
      </c>
      <c r="Z263" s="4">
        <v>1.4149994203980303</v>
      </c>
      <c r="AA263" s="4">
        <v>7.8110402973076516</v>
      </c>
      <c r="AB263" s="4"/>
      <c r="AC263" s="4">
        <v>4.1619117100043175</v>
      </c>
      <c r="AD263" s="145">
        <v>1.4169096943949486</v>
      </c>
      <c r="AE263" s="5"/>
      <c r="AF263" s="4">
        <v>3.6138456716471943</v>
      </c>
      <c r="AG263" s="5"/>
      <c r="AH263" s="5"/>
      <c r="AI263" s="152">
        <f t="shared" si="116"/>
        <v>323.26685518967952</v>
      </c>
      <c r="AJ263" s="152">
        <f t="shared" si="117"/>
        <v>28.299988407960605</v>
      </c>
      <c r="AK263" s="152">
        <f t="shared" si="118"/>
        <v>39.055201486538259</v>
      </c>
      <c r="AL263" s="152">
        <f t="shared" si="119"/>
        <v>0</v>
      </c>
      <c r="AM263" s="152">
        <f t="shared" si="120"/>
        <v>5.4104852230056126</v>
      </c>
      <c r="AN263" s="152">
        <f t="shared" si="121"/>
        <v>4.2507290831848454</v>
      </c>
      <c r="AO263" s="152">
        <f t="shared" si="122"/>
        <v>0</v>
      </c>
      <c r="AP263" s="152">
        <f t="shared" si="123"/>
        <v>4.6979993731413527</v>
      </c>
      <c r="AS263" s="152">
        <f t="shared" si="124"/>
        <v>404.98125876351014</v>
      </c>
      <c r="AT263" s="156">
        <v>1907</v>
      </c>
      <c r="AU263" s="109">
        <f t="shared" si="125"/>
        <v>0.86017482999890083</v>
      </c>
      <c r="AV263" s="109">
        <f t="shared" si="128"/>
        <v>0.71337683166985555</v>
      </c>
    </row>
    <row r="264" spans="1:48" x14ac:dyDescent="0.2">
      <c r="A264" s="156">
        <v>1908</v>
      </c>
      <c r="B264" s="56">
        <v>1.3726786656941781</v>
      </c>
      <c r="C264" s="68">
        <v>1.4840055017869784</v>
      </c>
      <c r="D264" s="56">
        <v>7.6867053333333333</v>
      </c>
      <c r="E264" s="68">
        <v>17.775506083333333</v>
      </c>
      <c r="F264" s="57">
        <f>F263+($F$266-$F$261)/5</f>
        <v>2.0692195899578487</v>
      </c>
      <c r="G264" s="40">
        <v>1.2736155747844788</v>
      </c>
      <c r="H264" s="109">
        <v>7.2062862499999998</v>
      </c>
      <c r="I264" s="99">
        <v>0.5112357045</v>
      </c>
      <c r="J264" s="109">
        <v>2.5672999999999999</v>
      </c>
      <c r="K264" s="8"/>
      <c r="L264" s="14">
        <f t="shared" si="105"/>
        <v>245.70948115925788</v>
      </c>
      <c r="M264" s="14">
        <f t="shared" si="106"/>
        <v>29.680110035739567</v>
      </c>
      <c r="N264" s="14">
        <f t="shared" si="107"/>
        <v>38.433526666666666</v>
      </c>
      <c r="O264" s="14">
        <f t="shared" si="108"/>
        <v>53.326518249999999</v>
      </c>
      <c r="P264" s="14">
        <f t="shared" si="109"/>
        <v>2.6899854669452035</v>
      </c>
      <c r="Q264" s="14">
        <f t="shared" si="110"/>
        <v>3.8208467243534363</v>
      </c>
      <c r="R264" s="14">
        <f t="shared" si="111"/>
        <v>9.3681721249999992</v>
      </c>
      <c r="S264" s="14">
        <f t="shared" si="112"/>
        <v>0.66460641585000002</v>
      </c>
      <c r="T264" s="14">
        <f t="shared" si="113"/>
        <v>7.7019000000000002</v>
      </c>
      <c r="V264" s="14">
        <f t="shared" si="114"/>
        <v>391.39514684381271</v>
      </c>
      <c r="W264" s="14">
        <f t="shared" si="115"/>
        <v>383.69324684381269</v>
      </c>
      <c r="X264" s="163"/>
      <c r="Y264" s="4">
        <v>2.165059952203833</v>
      </c>
      <c r="Z264" s="4">
        <v>2.3959061915722293</v>
      </c>
      <c r="AA264" s="4">
        <v>8.2892672542856722</v>
      </c>
      <c r="AB264" s="4">
        <v>36.015413012229423</v>
      </c>
      <c r="AC264" s="4">
        <v>4.1107402068323262</v>
      </c>
      <c r="AD264" s="145">
        <v>1.3189276547436404</v>
      </c>
      <c r="AE264" s="5"/>
      <c r="AF264" s="4">
        <v>3.6674225531014457</v>
      </c>
      <c r="AG264" s="5"/>
      <c r="AH264" s="5"/>
      <c r="AI264" s="152">
        <f t="shared" si="116"/>
        <v>418.93910075144169</v>
      </c>
      <c r="AJ264" s="152">
        <f t="shared" si="117"/>
        <v>47.918123831444589</v>
      </c>
      <c r="AK264" s="152">
        <f t="shared" si="118"/>
        <v>41.446336271428365</v>
      </c>
      <c r="AL264" s="152">
        <f t="shared" si="119"/>
        <v>108.04623903668826</v>
      </c>
      <c r="AM264" s="152">
        <f t="shared" si="120"/>
        <v>5.3439622688820245</v>
      </c>
      <c r="AN264" s="152">
        <f t="shared" si="121"/>
        <v>3.9567829642309214</v>
      </c>
      <c r="AO264" s="152">
        <f t="shared" si="122"/>
        <v>0</v>
      </c>
      <c r="AP264" s="152">
        <f t="shared" si="123"/>
        <v>4.7676493190318796</v>
      </c>
      <c r="AS264" s="152">
        <f t="shared" si="124"/>
        <v>630.41819444314774</v>
      </c>
      <c r="AT264" s="156">
        <v>1908</v>
      </c>
      <c r="AU264" s="109">
        <f t="shared" si="125"/>
        <v>0.6086328888123721</v>
      </c>
      <c r="AV264" s="109">
        <f t="shared" si="128"/>
        <v>0.70712222310370099</v>
      </c>
    </row>
    <row r="265" spans="1:48" x14ac:dyDescent="0.2">
      <c r="A265" s="156">
        <v>1909</v>
      </c>
      <c r="B265" s="56">
        <v>1.3726786656941781</v>
      </c>
      <c r="C265" s="68">
        <v>1.4840055017869784</v>
      </c>
      <c r="D265" s="56">
        <v>7.6867053333333333</v>
      </c>
      <c r="E265" s="68">
        <v>20.658020583333332</v>
      </c>
      <c r="F265" s="57">
        <f>F264+($F$266-$F$261)/5</f>
        <v>2.1173397752084937</v>
      </c>
      <c r="G265" s="40">
        <v>1.2736155747844788</v>
      </c>
      <c r="H265" s="109">
        <v>7.6867053333333333</v>
      </c>
      <c r="I265" s="99">
        <v>0.55370475146666664</v>
      </c>
      <c r="J265" s="109">
        <v>2.2269999999999999</v>
      </c>
      <c r="K265" s="8"/>
      <c r="L265" s="14">
        <f t="shared" si="105"/>
        <v>245.70948115925788</v>
      </c>
      <c r="M265" s="14">
        <f t="shared" si="106"/>
        <v>29.680110035739567</v>
      </c>
      <c r="N265" s="14">
        <f t="shared" si="107"/>
        <v>38.433526666666666</v>
      </c>
      <c r="O265" s="14">
        <f t="shared" si="108"/>
        <v>61.974061749999997</v>
      </c>
      <c r="P265" s="14">
        <f t="shared" si="109"/>
        <v>2.7525417077710421</v>
      </c>
      <c r="Q265" s="14">
        <f t="shared" si="110"/>
        <v>3.8208467243534363</v>
      </c>
      <c r="R265" s="14">
        <f t="shared" si="111"/>
        <v>9.9927169333333339</v>
      </c>
      <c r="S265" s="14">
        <f t="shared" si="112"/>
        <v>0.71981617690666666</v>
      </c>
      <c r="T265" s="14">
        <f t="shared" si="113"/>
        <v>6.6809999999999992</v>
      </c>
      <c r="V265" s="14">
        <f t="shared" si="114"/>
        <v>399.76410115402848</v>
      </c>
      <c r="W265" s="14">
        <f t="shared" si="115"/>
        <v>393.0831011540285</v>
      </c>
      <c r="X265" s="163"/>
      <c r="Y265" s="4">
        <v>2.5733142031325884</v>
      </c>
      <c r="Z265" s="4">
        <v>2.4043007578183766</v>
      </c>
      <c r="AA265" s="4">
        <v>8.2892672542856722</v>
      </c>
      <c r="AB265" s="4">
        <v>36.346705777301615</v>
      </c>
      <c r="AC265" s="4">
        <v>4.1193379143592317</v>
      </c>
      <c r="AD265" s="145">
        <v>1.2111532802153688</v>
      </c>
      <c r="AE265" s="5"/>
      <c r="AF265" s="4">
        <v>3.3338346091032567</v>
      </c>
      <c r="AG265" s="5"/>
      <c r="AH265" s="5"/>
      <c r="AI265" s="152">
        <f t="shared" si="116"/>
        <v>497.93629830615583</v>
      </c>
      <c r="AJ265" s="152">
        <f t="shared" si="117"/>
        <v>48.08601515636753</v>
      </c>
      <c r="AK265" s="152">
        <f t="shared" si="118"/>
        <v>41.446336271428365</v>
      </c>
      <c r="AL265" s="152">
        <f t="shared" si="119"/>
        <v>109.04011733190484</v>
      </c>
      <c r="AM265" s="152">
        <f t="shared" si="120"/>
        <v>5.3551392886670017</v>
      </c>
      <c r="AN265" s="152">
        <f t="shared" si="121"/>
        <v>3.6334598406461067</v>
      </c>
      <c r="AO265" s="152">
        <f t="shared" si="122"/>
        <v>0</v>
      </c>
      <c r="AP265" s="152">
        <f t="shared" si="123"/>
        <v>4.3339849918342335</v>
      </c>
      <c r="AS265" s="152">
        <f t="shared" si="124"/>
        <v>709.83135118700386</v>
      </c>
      <c r="AT265" s="156">
        <v>1909</v>
      </c>
      <c r="AU265" s="109">
        <f t="shared" si="125"/>
        <v>0.55376970951860849</v>
      </c>
      <c r="AV265" s="109">
        <f t="shared" si="128"/>
        <v>0.64631949837344294</v>
      </c>
    </row>
    <row r="266" spans="1:48" x14ac:dyDescent="0.2">
      <c r="A266" s="156">
        <v>1910</v>
      </c>
      <c r="B266" s="56">
        <v>1.3726786656941781</v>
      </c>
      <c r="C266" s="68">
        <v>1.4840055017869784</v>
      </c>
      <c r="D266" s="56">
        <v>5.0444003749999995</v>
      </c>
      <c r="E266" s="68">
        <v>19.216763333333336</v>
      </c>
      <c r="F266" s="56">
        <v>2.1654599604591382</v>
      </c>
      <c r="G266" s="40">
        <v>1.2736155747844788</v>
      </c>
      <c r="H266" s="109">
        <v>6.2454480833333337</v>
      </c>
      <c r="I266" s="99">
        <v>0.42629761056666671</v>
      </c>
      <c r="J266" s="109">
        <v>2.552</v>
      </c>
      <c r="K266" s="8"/>
      <c r="L266" s="14">
        <f t="shared" si="105"/>
        <v>245.70948115925788</v>
      </c>
      <c r="M266" s="14">
        <f t="shared" si="106"/>
        <v>29.680110035739567</v>
      </c>
      <c r="N266" s="14">
        <f t="shared" si="107"/>
        <v>25.222001874999997</v>
      </c>
      <c r="O266" s="14">
        <f t="shared" si="108"/>
        <v>57.650290000000012</v>
      </c>
      <c r="P266" s="14">
        <f t="shared" si="109"/>
        <v>2.8150979485968799</v>
      </c>
      <c r="Q266" s="14">
        <f t="shared" si="110"/>
        <v>3.8208467243534363</v>
      </c>
      <c r="R266" s="14">
        <f t="shared" si="111"/>
        <v>8.1190825083333333</v>
      </c>
      <c r="S266" s="14">
        <f t="shared" si="112"/>
        <v>0.55418689373666674</v>
      </c>
      <c r="T266" s="14">
        <f t="shared" si="113"/>
        <v>7.6560000000000006</v>
      </c>
      <c r="V266" s="14">
        <f t="shared" ref="V266:V268" si="129">SUM(L266:T266)</f>
        <v>381.22709714501775</v>
      </c>
      <c r="W266" s="14">
        <f t="shared" ref="W266:W269" si="130">V266-T266</f>
        <v>373.57109714501775</v>
      </c>
      <c r="X266" s="163"/>
      <c r="Y266" s="4">
        <v>2.1177267692865742</v>
      </c>
      <c r="Z266" s="4">
        <v>2.4274679288788339</v>
      </c>
      <c r="AA266" s="4">
        <v>8.6080852256043503</v>
      </c>
      <c r="AB266" s="4">
        <v>34.897080352331422</v>
      </c>
      <c r="AC266" s="4">
        <v>4.2695272664683346</v>
      </c>
      <c r="AD266" s="145">
        <v>1.4508791961960603</v>
      </c>
      <c r="AE266" s="5"/>
      <c r="AF266" s="4">
        <v>3.137726690920712</v>
      </c>
      <c r="AG266" s="5"/>
      <c r="AH266" s="5"/>
      <c r="AI266" s="152">
        <f t="shared" ref="AI266:AI269" si="131">Y266*AI$8</f>
        <v>409.7801298569521</v>
      </c>
      <c r="AJ266" s="152">
        <f t="shared" ref="AJ266:AJ269" si="132">Z266*AJ$8</f>
        <v>48.549358577576676</v>
      </c>
      <c r="AK266" s="152">
        <f t="shared" ref="AK266:AK269" si="133">AA266*AK$8</f>
        <v>43.04042612802175</v>
      </c>
      <c r="AL266" s="152">
        <f t="shared" ref="AL266:AL269" si="134">AB266*AL$8</f>
        <v>104.69124105699427</v>
      </c>
      <c r="AM266" s="152">
        <f t="shared" ref="AM266:AM269" si="135">AC266*AM$8</f>
        <v>5.5503854464088356</v>
      </c>
      <c r="AN266" s="152">
        <f t="shared" ref="AN266:AN269" si="136">AD266*AN$8</f>
        <v>4.3526375885881805</v>
      </c>
      <c r="AO266" s="152">
        <f t="shared" ref="AO266:AO269" si="137">AE266*AO$8</f>
        <v>0</v>
      </c>
      <c r="AP266" s="152">
        <f t="shared" ref="AP266:AP269" si="138">AF266*AP$8</f>
        <v>4.0790446981969257</v>
      </c>
      <c r="AS266" s="152">
        <f t="shared" ref="AS266:AS269" si="139">SUM(AI266:AP266)</f>
        <v>620.04322335273889</v>
      </c>
      <c r="AT266" s="156">
        <v>1910</v>
      </c>
      <c r="AU266" s="109">
        <f t="shared" ref="AU266:AU269" si="140">W266/AS266</f>
        <v>0.60249202487049092</v>
      </c>
      <c r="AV266" s="109">
        <f t="shared" si="128"/>
        <v>0.60276578822409932</v>
      </c>
    </row>
    <row r="267" spans="1:48" x14ac:dyDescent="0.2">
      <c r="A267" s="156">
        <v>1911</v>
      </c>
      <c r="B267" s="56">
        <v>1.3726786656941781</v>
      </c>
      <c r="C267" s="68">
        <v>1.4840055017869784</v>
      </c>
      <c r="D267" s="56">
        <v>5.0444003749999995</v>
      </c>
      <c r="E267" s="68">
        <v>19.216763333333336</v>
      </c>
      <c r="F267" s="56">
        <v>2.0655449502923675</v>
      </c>
      <c r="G267" s="40">
        <v>1.2736155747844788</v>
      </c>
      <c r="H267" s="109">
        <v>6.2454480833333337</v>
      </c>
      <c r="I267" s="113">
        <v>0.18997331853965235</v>
      </c>
      <c r="J267" s="40">
        <v>2.552</v>
      </c>
      <c r="K267" s="8"/>
      <c r="L267" s="14">
        <f t="shared" si="105"/>
        <v>245.70948115925788</v>
      </c>
      <c r="M267" s="14">
        <f t="shared" si="106"/>
        <v>29.680110035739567</v>
      </c>
      <c r="N267" s="14">
        <f t="shared" si="107"/>
        <v>25.222001874999997</v>
      </c>
      <c r="O267" s="14">
        <f t="shared" si="108"/>
        <v>57.650290000000012</v>
      </c>
      <c r="P267" s="14">
        <f t="shared" si="109"/>
        <v>2.685208435380078</v>
      </c>
      <c r="Q267" s="14">
        <f t="shared" si="110"/>
        <v>3.8208467243534363</v>
      </c>
      <c r="R267" s="14">
        <f t="shared" si="111"/>
        <v>8.1190825083333333</v>
      </c>
      <c r="S267" s="14">
        <f t="shared" si="112"/>
        <v>0.24696531410154807</v>
      </c>
      <c r="T267" s="14">
        <f t="shared" si="113"/>
        <v>7.6560000000000006</v>
      </c>
      <c r="V267" s="14">
        <f t="shared" si="129"/>
        <v>380.78998605216589</v>
      </c>
      <c r="W267" s="14">
        <f t="shared" si="130"/>
        <v>373.13398605216588</v>
      </c>
      <c r="X267" s="163"/>
      <c r="Y267" s="4">
        <v>2.1280773400064499</v>
      </c>
      <c r="Z267" s="4">
        <v>2.4260402211166707</v>
      </c>
      <c r="AA267" s="4">
        <v>8.1298582686263323</v>
      </c>
      <c r="AB267" s="4">
        <v>33.664936920225571</v>
      </c>
      <c r="AC267" s="4">
        <v>4.2587118258853733</v>
      </c>
      <c r="AD267" s="145">
        <v>1.3527522400133276</v>
      </c>
      <c r="AE267" s="5"/>
      <c r="AF267" s="4">
        <v>2.8108801606164717</v>
      </c>
      <c r="AG267" s="5"/>
      <c r="AH267" s="5"/>
      <c r="AI267" s="152">
        <f t="shared" si="131"/>
        <v>411.78296529124805</v>
      </c>
      <c r="AJ267" s="152">
        <f t="shared" si="132"/>
        <v>48.520804422333413</v>
      </c>
      <c r="AK267" s="152">
        <f t="shared" si="133"/>
        <v>40.649291343131665</v>
      </c>
      <c r="AL267" s="152">
        <f t="shared" si="134"/>
        <v>100.99481076067671</v>
      </c>
      <c r="AM267" s="152">
        <f t="shared" si="135"/>
        <v>5.5363253736509854</v>
      </c>
      <c r="AN267" s="152">
        <f t="shared" si="136"/>
        <v>4.0582567200399833</v>
      </c>
      <c r="AO267" s="152">
        <f t="shared" si="137"/>
        <v>0</v>
      </c>
      <c r="AP267" s="152">
        <f t="shared" si="138"/>
        <v>3.6541442088014136</v>
      </c>
      <c r="AS267" s="152">
        <f t="shared" si="139"/>
        <v>615.1965981198822</v>
      </c>
      <c r="AT267" s="156">
        <v>1911</v>
      </c>
      <c r="AU267" s="109">
        <f t="shared" si="140"/>
        <v>0.60652803866684246</v>
      </c>
      <c r="AV267" s="109">
        <f t="shared" si="128"/>
        <v>0.61911899532657144</v>
      </c>
    </row>
    <row r="268" spans="1:48" x14ac:dyDescent="0.2">
      <c r="A268" s="156">
        <v>1912</v>
      </c>
      <c r="B268" s="83">
        <f>B267+($B$269-$B$267)/2</f>
        <v>1.3726786656941781</v>
      </c>
      <c r="C268" s="43">
        <v>1.4840055017869784</v>
      </c>
      <c r="D268" s="57">
        <v>6.8459719374999999</v>
      </c>
      <c r="E268" s="43">
        <v>19.697182416666667</v>
      </c>
      <c r="F268" s="56">
        <v>2.0019255961957882</v>
      </c>
      <c r="G268" s="40">
        <v>1.2736155747844788</v>
      </c>
      <c r="H268" s="55">
        <f>H267+($H$269-$H$267)/2</f>
        <v>6.2454480833333337</v>
      </c>
      <c r="I268" s="113">
        <v>0.16694624962575511</v>
      </c>
      <c r="J268" s="40">
        <v>2.552</v>
      </c>
      <c r="K268" s="8"/>
      <c r="L268" s="14">
        <f t="shared" si="105"/>
        <v>245.70948115925788</v>
      </c>
      <c r="M268" s="14">
        <f t="shared" si="106"/>
        <v>29.680110035739567</v>
      </c>
      <c r="N268" s="14">
        <f t="shared" si="107"/>
        <v>34.229859687499996</v>
      </c>
      <c r="O268" s="14">
        <f t="shared" si="108"/>
        <v>59.091547250000005</v>
      </c>
      <c r="P268" s="14">
        <f t="shared" si="109"/>
        <v>2.6025032750545249</v>
      </c>
      <c r="Q268" s="14">
        <f t="shared" si="110"/>
        <v>3.8208467243534363</v>
      </c>
      <c r="R268" s="14">
        <f t="shared" si="111"/>
        <v>8.1190825083333333</v>
      </c>
      <c r="S268" s="14">
        <f t="shared" si="112"/>
        <v>0.21703012451348164</v>
      </c>
      <c r="T268" s="14">
        <f t="shared" si="113"/>
        <v>7.6560000000000006</v>
      </c>
      <c r="V268" s="14">
        <f t="shared" si="129"/>
        <v>391.12646076475221</v>
      </c>
      <c r="W268" s="14">
        <f t="shared" si="130"/>
        <v>383.4704607647522</v>
      </c>
      <c r="X268" s="163"/>
      <c r="Y268" s="4">
        <v>2.0434846602146699</v>
      </c>
      <c r="Z268" s="4">
        <v>2.1830762198386089</v>
      </c>
      <c r="AA268" s="4">
        <v>8.9269031969230301</v>
      </c>
      <c r="AB268" s="4">
        <v>32.557066791152451</v>
      </c>
      <c r="AC268" s="4">
        <v>4.1926417503167563</v>
      </c>
      <c r="AD268" s="145">
        <v>1.4958713590427093</v>
      </c>
      <c r="AE268" s="5"/>
      <c r="AF268" s="4">
        <v>4.3143742000159806</v>
      </c>
      <c r="AG268" s="5"/>
      <c r="AH268" s="5"/>
      <c r="AI268" s="152">
        <f t="shared" si="131"/>
        <v>395.41428175153862</v>
      </c>
      <c r="AJ268" s="152">
        <f t="shared" si="132"/>
        <v>43.66152439677218</v>
      </c>
      <c r="AK268" s="152">
        <f t="shared" si="133"/>
        <v>44.634515984615149</v>
      </c>
      <c r="AL268" s="152">
        <f t="shared" si="134"/>
        <v>97.671200373457353</v>
      </c>
      <c r="AM268" s="152">
        <f t="shared" si="135"/>
        <v>5.4504342754117836</v>
      </c>
      <c r="AN268" s="152">
        <f t="shared" si="136"/>
        <v>4.4876140771281277</v>
      </c>
      <c r="AO268" s="152">
        <f t="shared" si="137"/>
        <v>0</v>
      </c>
      <c r="AP268" s="152">
        <f t="shared" si="138"/>
        <v>5.6086864600207749</v>
      </c>
      <c r="AS268" s="152">
        <f t="shared" si="139"/>
        <v>596.92825731894402</v>
      </c>
      <c r="AT268" s="156">
        <v>1912</v>
      </c>
      <c r="AU268" s="109">
        <f t="shared" si="140"/>
        <v>0.64240627925218252</v>
      </c>
    </row>
    <row r="269" spans="1:48" x14ac:dyDescent="0.2">
      <c r="A269" s="156">
        <v>1913</v>
      </c>
      <c r="B269" s="56">
        <v>1.3726786656941781</v>
      </c>
      <c r="C269" s="68">
        <v>1.4840055017869784</v>
      </c>
      <c r="D269" s="56">
        <v>8.6475434999999994</v>
      </c>
      <c r="E269" s="68">
        <v>20.177601499999998</v>
      </c>
      <c r="F269" s="80">
        <v>2.0019255961957882</v>
      </c>
      <c r="G269" s="40">
        <v>1.2736155747844788</v>
      </c>
      <c r="H269" s="109">
        <v>6.2454480833333337</v>
      </c>
      <c r="I269" s="113">
        <v>0.18997331853965235</v>
      </c>
      <c r="J269" s="40">
        <v>2.552</v>
      </c>
      <c r="K269" s="7"/>
      <c r="L269" s="14">
        <f t="shared" si="105"/>
        <v>245.70948115925788</v>
      </c>
      <c r="M269" s="14">
        <f t="shared" si="106"/>
        <v>29.680110035739567</v>
      </c>
      <c r="N269" s="14">
        <f t="shared" si="107"/>
        <v>43.237717499999995</v>
      </c>
      <c r="O269" s="14">
        <f t="shared" si="108"/>
        <v>60.532804499999997</v>
      </c>
      <c r="P269" s="14">
        <f t="shared" si="109"/>
        <v>2.6025032750545249</v>
      </c>
      <c r="Q269" s="14">
        <f t="shared" si="110"/>
        <v>3.8208467243534363</v>
      </c>
      <c r="R269" s="14">
        <f t="shared" si="111"/>
        <v>8.1190825083333333</v>
      </c>
      <c r="S269" s="14">
        <f t="shared" si="112"/>
        <v>0.24696531410154807</v>
      </c>
      <c r="T269" s="14">
        <f t="shared" si="113"/>
        <v>7.6560000000000006</v>
      </c>
      <c r="V269" s="14">
        <f>SUM(L269:T269)</f>
        <v>401.60551101684024</v>
      </c>
      <c r="W269" s="14">
        <f t="shared" si="130"/>
        <v>393.94951101684023</v>
      </c>
      <c r="X269" s="163"/>
      <c r="Y269" s="4">
        <v>1.8963616017653293</v>
      </c>
      <c r="Z269" s="4">
        <v>2.1855719988249533</v>
      </c>
      <c r="AA269" s="4">
        <v>8.6080852256043503</v>
      </c>
      <c r="AB269" s="4">
        <v>33.749244683439663</v>
      </c>
      <c r="AC269" s="4">
        <v>4.2452651077816856</v>
      </c>
      <c r="AD269" s="145">
        <v>1.4561197490202382</v>
      </c>
      <c r="AE269" s="5"/>
      <c r="AF269" s="4">
        <v>4.4451128121376771</v>
      </c>
      <c r="AG269" s="5"/>
      <c r="AH269" s="5"/>
      <c r="AI269" s="152">
        <f t="shared" si="131"/>
        <v>366.94596994159122</v>
      </c>
      <c r="AJ269" s="152">
        <f t="shared" si="132"/>
        <v>43.711439976499065</v>
      </c>
      <c r="AK269" s="152">
        <f t="shared" si="133"/>
        <v>43.04042612802175</v>
      </c>
      <c r="AL269" s="152">
        <f t="shared" si="134"/>
        <v>101.247734050319</v>
      </c>
      <c r="AM269" s="152">
        <f t="shared" si="135"/>
        <v>5.5188446401161917</v>
      </c>
      <c r="AN269" s="152">
        <f t="shared" si="136"/>
        <v>4.3683592470607149</v>
      </c>
      <c r="AO269" s="152">
        <f t="shared" si="137"/>
        <v>0</v>
      </c>
      <c r="AP269" s="152">
        <f t="shared" si="138"/>
        <v>5.7786466557789806</v>
      </c>
      <c r="AS269" s="152">
        <f t="shared" si="139"/>
        <v>570.61142063938689</v>
      </c>
      <c r="AT269" s="156">
        <v>1913</v>
      </c>
      <c r="AU269" s="109">
        <f t="shared" si="140"/>
        <v>0.6903989243247326</v>
      </c>
    </row>
    <row r="270" spans="1:48" x14ac:dyDescent="0.2">
      <c r="Y270" s="5"/>
      <c r="Z270" s="5"/>
      <c r="AA270" s="5"/>
      <c r="AB270" s="5"/>
      <c r="AC270" s="5"/>
      <c r="AD270" s="5"/>
      <c r="AE270" s="5"/>
      <c r="AF270" s="5"/>
      <c r="AG270" s="5"/>
      <c r="AH270" s="5"/>
    </row>
    <row r="271" spans="1:48" ht="16" x14ac:dyDescent="0.2">
      <c r="A271" s="177" t="s">
        <v>1080</v>
      </c>
      <c r="K271" s="169" t="s">
        <v>1080</v>
      </c>
      <c r="L271" s="171">
        <v>3370</v>
      </c>
      <c r="M271" s="171">
        <v>1125</v>
      </c>
      <c r="N271" s="171">
        <v>2500</v>
      </c>
      <c r="O271" s="171">
        <v>7286</v>
      </c>
      <c r="P271" s="171"/>
      <c r="Q271" s="171"/>
      <c r="R271" s="171"/>
      <c r="S271" s="171"/>
      <c r="T271" s="171"/>
      <c r="U271" s="171"/>
      <c r="V271" s="171"/>
      <c r="Y271" s="5"/>
      <c r="Z271" s="5"/>
      <c r="AA271" s="5"/>
      <c r="AB271" s="5"/>
      <c r="AC271" s="5"/>
      <c r="AD271" s="5"/>
      <c r="AE271" s="5"/>
      <c r="AF271" s="5"/>
      <c r="AG271" s="5"/>
      <c r="AH271" s="169" t="s">
        <v>1080</v>
      </c>
      <c r="AI271" s="171">
        <v>3370</v>
      </c>
      <c r="AJ271" s="171">
        <v>1125</v>
      </c>
      <c r="AK271" s="171">
        <v>2500</v>
      </c>
      <c r="AL271" s="171">
        <v>7286</v>
      </c>
    </row>
    <row r="272" spans="1:48" ht="16" x14ac:dyDescent="0.2">
      <c r="A272" s="177" t="s">
        <v>1081</v>
      </c>
      <c r="K272" s="169" t="s">
        <v>1081</v>
      </c>
      <c r="L272" s="171">
        <v>88</v>
      </c>
      <c r="M272" s="171">
        <v>71</v>
      </c>
      <c r="N272" s="171">
        <v>200</v>
      </c>
      <c r="O272" s="171">
        <v>7</v>
      </c>
      <c r="P272" s="171"/>
      <c r="Q272" s="171"/>
      <c r="R272" s="171"/>
      <c r="S272" s="171"/>
      <c r="T272" s="171"/>
      <c r="U272" s="171"/>
      <c r="V272" s="171"/>
      <c r="Y272" s="5"/>
      <c r="Z272" s="5"/>
      <c r="AA272" s="5"/>
      <c r="AB272" s="5"/>
      <c r="AC272" s="5"/>
      <c r="AD272" s="5"/>
      <c r="AE272" s="5"/>
      <c r="AF272" s="5"/>
      <c r="AG272" s="5"/>
      <c r="AH272" s="169" t="s">
        <v>1081</v>
      </c>
      <c r="AI272" s="171">
        <v>88</v>
      </c>
      <c r="AJ272" s="171">
        <v>71</v>
      </c>
      <c r="AK272" s="171">
        <v>200</v>
      </c>
      <c r="AL272" s="171">
        <v>7</v>
      </c>
    </row>
    <row r="273" spans="1:45" ht="16" x14ac:dyDescent="0.2">
      <c r="A273" s="178"/>
      <c r="K273" s="170"/>
      <c r="L273" s="171"/>
      <c r="M273" s="171"/>
      <c r="N273" s="171"/>
      <c r="O273" s="171"/>
      <c r="P273" s="171"/>
      <c r="Q273" s="171"/>
      <c r="R273" s="171"/>
      <c r="S273" s="171"/>
      <c r="T273" s="171"/>
      <c r="U273" s="171"/>
      <c r="V273" s="172" t="s">
        <v>1084</v>
      </c>
      <c r="AH273" s="170"/>
      <c r="AI273" s="171"/>
      <c r="AJ273" s="171"/>
      <c r="AK273" s="171"/>
      <c r="AL273" s="171"/>
      <c r="AS273" t="s">
        <v>1084</v>
      </c>
    </row>
    <row r="274" spans="1:45" ht="16" x14ac:dyDescent="0.2">
      <c r="A274" s="177" t="s">
        <v>1082</v>
      </c>
      <c r="K274" s="169" t="s">
        <v>1082</v>
      </c>
      <c r="L274" s="171">
        <f>L$8*L271/365</f>
        <v>1786.5616438356165</v>
      </c>
      <c r="M274" s="171">
        <f t="shared" ref="M274:O274" si="141">M$8*M271/365</f>
        <v>61.643835616438359</v>
      </c>
      <c r="N274" s="171">
        <f t="shared" si="141"/>
        <v>34.246575342465754</v>
      </c>
      <c r="O274" s="171">
        <f t="shared" si="141"/>
        <v>59.884931506849313</v>
      </c>
      <c r="P274" s="171"/>
      <c r="Q274" s="171"/>
      <c r="R274" s="171"/>
      <c r="S274" s="171"/>
      <c r="T274" s="171"/>
      <c r="U274" s="171"/>
      <c r="V274" s="171">
        <f>SUM(L274:O274)</f>
        <v>1942.33698630137</v>
      </c>
      <c r="AH274" s="169" t="s">
        <v>1082</v>
      </c>
      <c r="AI274" s="171">
        <f>AI$8*AI271/365</f>
        <v>1786.5616438356165</v>
      </c>
      <c r="AJ274" s="171">
        <f t="shared" ref="AJ274:AL274" si="142">AJ$8*AJ271/365</f>
        <v>61.643835616438359</v>
      </c>
      <c r="AK274" s="171">
        <f t="shared" si="142"/>
        <v>34.246575342465754</v>
      </c>
      <c r="AL274" s="171">
        <f t="shared" si="142"/>
        <v>59.884931506849313</v>
      </c>
      <c r="AS274" s="179">
        <f>SUM(AI274:AL274)</f>
        <v>1942.33698630137</v>
      </c>
    </row>
    <row r="275" spans="1:45" ht="16" x14ac:dyDescent="0.2">
      <c r="A275" s="177" t="s">
        <v>1083</v>
      </c>
      <c r="K275" s="169" t="s">
        <v>1083</v>
      </c>
      <c r="L275" s="171">
        <f>L$8*L272/365</f>
        <v>46.652054794520545</v>
      </c>
      <c r="M275" s="171">
        <f t="shared" ref="M275:O275" si="143">M$8*M272/365</f>
        <v>3.8904109589041096</v>
      </c>
      <c r="N275" s="171">
        <f t="shared" si="143"/>
        <v>2.7397260273972601</v>
      </c>
      <c r="O275" s="4">
        <f t="shared" si="143"/>
        <v>5.7534246575342465E-2</v>
      </c>
      <c r="V275" s="171">
        <f>SUM(L275:O275)</f>
        <v>53.339726027397262</v>
      </c>
      <c r="AH275" s="169" t="s">
        <v>1083</v>
      </c>
      <c r="AI275" s="171">
        <f>AI$8*AI272/365</f>
        <v>46.652054794520545</v>
      </c>
      <c r="AJ275" s="171">
        <f t="shared" ref="AJ275:AL275" si="144">AJ$8*AJ272/365</f>
        <v>3.8904109589041096</v>
      </c>
      <c r="AK275" s="171">
        <f t="shared" si="144"/>
        <v>2.7397260273972601</v>
      </c>
      <c r="AL275" s="4">
        <f t="shared" si="144"/>
        <v>5.7534246575342465E-2</v>
      </c>
      <c r="AS275" s="179">
        <f>SUM(AI275:AL275)</f>
        <v>53.339726027397262</v>
      </c>
    </row>
  </sheetData>
  <pageMargins left="0.7" right="0.7" top="0.75" bottom="0.75" header="0.3" footer="0.3"/>
  <pageSetup paperSize="9"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64"/>
  <sheetViews>
    <sheetView zoomScale="55" zoomScaleNormal="55" zoomScalePageLayoutView="55" workbookViewId="0">
      <pane xSplit="1" ySplit="3" topLeftCell="B4" activePane="bottomRight" state="frozen"/>
      <selection pane="topRight" activeCell="B1" sqref="B1"/>
      <selection pane="bottomLeft" activeCell="A3" sqref="A3"/>
      <selection pane="bottomRight" activeCell="V4" sqref="V4"/>
    </sheetView>
  </sheetViews>
  <sheetFormatPr baseColWidth="10" defaultColWidth="8.83203125" defaultRowHeight="15" x14ac:dyDescent="0.2"/>
  <cols>
    <col min="1" max="1" width="8.83203125" style="9"/>
    <col min="2" max="4" width="8.83203125" style="50"/>
    <col min="5" max="5" width="8.83203125" style="67"/>
    <col min="6" max="6" width="8.83203125" style="50"/>
    <col min="7" max="7" width="8.83203125" style="5"/>
    <col min="8" max="8" width="9.1640625" style="5" customWidth="1"/>
    <col min="9" max="10" width="8.83203125" style="5"/>
    <col min="23" max="23" width="10.5" bestFit="1" customWidth="1"/>
    <col min="26" max="27" width="8.83203125" style="25"/>
  </cols>
  <sheetData>
    <row r="1" spans="1:27" x14ac:dyDescent="0.2">
      <c r="A1" s="124"/>
      <c r="B1" s="66" t="s">
        <v>39</v>
      </c>
      <c r="C1" s="66" t="s">
        <v>40</v>
      </c>
      <c r="D1" s="79" t="s">
        <v>41</v>
      </c>
      <c r="E1" s="81" t="s">
        <v>42</v>
      </c>
      <c r="F1" s="79" t="s">
        <v>43</v>
      </c>
      <c r="G1" s="2" t="s">
        <v>44</v>
      </c>
      <c r="H1" s="2" t="s">
        <v>45</v>
      </c>
      <c r="I1" s="1" t="s">
        <v>46</v>
      </c>
      <c r="J1" s="1" t="s">
        <v>47</v>
      </c>
      <c r="K1" s="107"/>
      <c r="L1" s="116" t="s">
        <v>39</v>
      </c>
      <c r="M1" s="116" t="s">
        <v>40</v>
      </c>
      <c r="N1" s="111" t="s">
        <v>48</v>
      </c>
      <c r="O1" s="111" t="s">
        <v>42</v>
      </c>
      <c r="P1" s="111" t="s">
        <v>43</v>
      </c>
      <c r="Q1" s="111" t="s">
        <v>44</v>
      </c>
      <c r="R1" s="111" t="s">
        <v>45</v>
      </c>
      <c r="S1" s="116" t="s">
        <v>49</v>
      </c>
      <c r="T1" s="116" t="s">
        <v>47</v>
      </c>
      <c r="U1" s="107"/>
      <c r="V1" s="116" t="s">
        <v>50</v>
      </c>
      <c r="W1" s="115" t="s">
        <v>56</v>
      </c>
      <c r="X1" s="115" t="s">
        <v>50</v>
      </c>
      <c r="Y1" s="115" t="s">
        <v>50</v>
      </c>
      <c r="Z1" s="121" t="s">
        <v>50</v>
      </c>
      <c r="AA1" s="121" t="s">
        <v>50</v>
      </c>
    </row>
    <row r="2" spans="1:27" s="107" customFormat="1" x14ac:dyDescent="0.2">
      <c r="A2" s="124"/>
      <c r="B2" s="66"/>
      <c r="C2" s="66"/>
      <c r="D2" s="79"/>
      <c r="E2" s="81"/>
      <c r="F2" s="79"/>
      <c r="G2" s="2"/>
      <c r="H2" s="2"/>
      <c r="I2" s="1"/>
      <c r="J2" s="1"/>
      <c r="L2" s="125">
        <v>0.54830058236321721</v>
      </c>
      <c r="M2" s="125">
        <v>0.1145800672770033</v>
      </c>
      <c r="N2" s="125">
        <v>7.8647817976808615E-2</v>
      </c>
      <c r="O2" s="125">
        <v>0.10681324060174166</v>
      </c>
      <c r="P2" s="125">
        <v>2.8634837114187014E-2</v>
      </c>
      <c r="Q2" s="125">
        <v>3.0181429174424502E-2</v>
      </c>
      <c r="R2" s="125">
        <v>4.6956601926798722E-2</v>
      </c>
      <c r="S2" s="125">
        <v>4.0594895397357026E-3</v>
      </c>
      <c r="T2" s="125">
        <v>4.1825934026083311E-2</v>
      </c>
      <c r="V2" s="116" t="s">
        <v>57</v>
      </c>
      <c r="W2" s="107" t="s">
        <v>58</v>
      </c>
      <c r="X2" s="107" t="s">
        <v>59</v>
      </c>
      <c r="Y2" s="107" t="s">
        <v>60</v>
      </c>
      <c r="Z2" s="25" t="s">
        <v>59</v>
      </c>
      <c r="AA2" s="25" t="s">
        <v>60</v>
      </c>
    </row>
    <row r="3" spans="1:27" x14ac:dyDescent="0.2">
      <c r="A3" s="124"/>
      <c r="B3" s="67" t="s">
        <v>51</v>
      </c>
      <c r="C3" s="67" t="s">
        <v>51</v>
      </c>
      <c r="D3" s="67" t="s">
        <v>51</v>
      </c>
      <c r="E3" s="67" t="s">
        <v>51</v>
      </c>
      <c r="F3" s="67" t="s">
        <v>51</v>
      </c>
      <c r="G3" s="4" t="s">
        <v>52</v>
      </c>
      <c r="H3" s="4" t="s">
        <v>51</v>
      </c>
      <c r="I3" s="4" t="s">
        <v>53</v>
      </c>
      <c r="J3" s="4" t="s">
        <v>54</v>
      </c>
      <c r="K3" s="107"/>
      <c r="L3" s="112">
        <v>179</v>
      </c>
      <c r="M3" s="112">
        <v>20</v>
      </c>
      <c r="N3" s="112">
        <v>5</v>
      </c>
      <c r="O3" s="112">
        <v>3</v>
      </c>
      <c r="P3" s="112">
        <v>1.3</v>
      </c>
      <c r="Q3" s="112">
        <v>3</v>
      </c>
      <c r="R3" s="112">
        <v>1.3</v>
      </c>
      <c r="S3" s="112">
        <v>1.3</v>
      </c>
      <c r="T3" s="112">
        <v>3</v>
      </c>
      <c r="U3" s="107"/>
      <c r="V3" s="118"/>
      <c r="W3" s="107"/>
      <c r="X3" s="107" t="s">
        <v>61</v>
      </c>
      <c r="Y3" s="107" t="s">
        <v>61</v>
      </c>
    </row>
    <row r="4" spans="1:27" x14ac:dyDescent="0.2">
      <c r="A4" s="6">
        <v>1653</v>
      </c>
      <c r="B4" s="43">
        <v>0.78469080815789616</v>
      </c>
      <c r="C4" s="56">
        <v>0.38715507892517165</v>
      </c>
      <c r="D4" s="82">
        <v>4.761133603238866</v>
      </c>
      <c r="E4" s="82">
        <v>7.9352226720647776</v>
      </c>
      <c r="F4" s="80"/>
      <c r="G4" s="40">
        <v>5.8872229794537843</v>
      </c>
      <c r="H4" s="8">
        <v>10.453333333333333</v>
      </c>
      <c r="I4" s="40">
        <v>0.79827466666666669</v>
      </c>
      <c r="J4" s="107"/>
      <c r="K4" s="107"/>
      <c r="L4" s="9">
        <f t="shared" ref="L4:L67" si="0">B4*179</f>
        <v>140.45965466026342</v>
      </c>
      <c r="M4" s="9">
        <f t="shared" ref="M4:M67" si="1">C4*20</f>
        <v>7.7431015785034329</v>
      </c>
      <c r="N4" s="9">
        <f t="shared" ref="N4:N67" si="2">D4*5</f>
        <v>23.805668016194332</v>
      </c>
      <c r="O4" s="9">
        <f t="shared" ref="O4:O67" si="3">E4*3</f>
        <v>23.805668016194332</v>
      </c>
      <c r="P4" s="9">
        <f t="shared" ref="P4:P67" si="4">F4*1.3</f>
        <v>0</v>
      </c>
      <c r="Q4" s="9">
        <f t="shared" ref="Q4:Q67" si="5">G4*3</f>
        <v>17.661668938361352</v>
      </c>
      <c r="R4" s="9">
        <f t="shared" ref="R4:S67" si="6">H4*1.3</f>
        <v>13.589333333333334</v>
      </c>
      <c r="S4" s="9">
        <f t="shared" si="6"/>
        <v>1.0377570666666667</v>
      </c>
      <c r="T4" s="9">
        <f t="shared" ref="T4:T67" si="7">J4*3</f>
        <v>0</v>
      </c>
      <c r="U4" s="107"/>
      <c r="V4" s="117">
        <f>SUM(L4:T4)</f>
        <v>228.10285160951688</v>
      </c>
      <c r="W4" s="114">
        <f>$P$2+$T$2</f>
        <v>7.0460771140270329E-2</v>
      </c>
      <c r="X4" s="107">
        <f>V4/(1-W4)</f>
        <v>245.39346433967262</v>
      </c>
      <c r="Y4" s="107">
        <v>244.10447487516586</v>
      </c>
      <c r="Z4" s="9">
        <f>X4/7.84</f>
        <v>31.300186778019466</v>
      </c>
      <c r="AA4" s="9">
        <f>Y4/7.84</f>
        <v>31.135774856526258</v>
      </c>
    </row>
    <row r="5" spans="1:27" x14ac:dyDescent="0.2">
      <c r="A5" s="6">
        <v>1654</v>
      </c>
      <c r="B5" s="43">
        <v>0.78469080815789616</v>
      </c>
      <c r="C5" s="57">
        <v>0.53844223852496498</v>
      </c>
      <c r="D5" s="82">
        <v>4.761133603238866</v>
      </c>
      <c r="E5" s="82">
        <v>7.9352226720647776</v>
      </c>
      <c r="F5" s="80"/>
      <c r="G5" s="40">
        <v>5.8872229794537843</v>
      </c>
      <c r="H5" s="8">
        <v>10.453333333333333</v>
      </c>
      <c r="I5" s="40">
        <v>0.79827466666666669</v>
      </c>
      <c r="J5" s="107"/>
      <c r="K5" s="107"/>
      <c r="L5" s="9">
        <f t="shared" si="0"/>
        <v>140.45965466026342</v>
      </c>
      <c r="M5" s="9">
        <f t="shared" si="1"/>
        <v>10.7688447704993</v>
      </c>
      <c r="N5" s="9">
        <f t="shared" si="2"/>
        <v>23.805668016194332</v>
      </c>
      <c r="O5" s="9">
        <f t="shared" si="3"/>
        <v>23.805668016194332</v>
      </c>
      <c r="P5" s="9">
        <f t="shared" si="4"/>
        <v>0</v>
      </c>
      <c r="Q5" s="9">
        <f t="shared" si="5"/>
        <v>17.661668938361352</v>
      </c>
      <c r="R5" s="9">
        <f t="shared" si="6"/>
        <v>13.589333333333334</v>
      </c>
      <c r="S5" s="9">
        <f t="shared" si="6"/>
        <v>1.0377570666666667</v>
      </c>
      <c r="T5" s="9">
        <f t="shared" si="7"/>
        <v>0</v>
      </c>
      <c r="U5" s="107"/>
      <c r="V5" s="117">
        <f t="shared" ref="V5:V68" si="8">SUM(L5:T5)</f>
        <v>231.12859480151272</v>
      </c>
      <c r="W5" s="114">
        <f t="shared" ref="W5:W15" si="9">$P$2+$T$2</f>
        <v>7.0460771140270329E-2</v>
      </c>
      <c r="X5" s="107">
        <f t="shared" ref="X5:X68" si="10">V5/(1-W5)</f>
        <v>248.64856439145584</v>
      </c>
      <c r="Y5" s="107">
        <v>247.13021806716171</v>
      </c>
      <c r="Z5" s="9">
        <f t="shared" ref="Z5:AA68" si="11">X5/7.84</f>
        <v>31.715378111155083</v>
      </c>
      <c r="AA5" s="9">
        <f t="shared" si="11"/>
        <v>31.521711488158381</v>
      </c>
    </row>
    <row r="6" spans="1:27" x14ac:dyDescent="0.2">
      <c r="A6" s="6">
        <v>1655</v>
      </c>
      <c r="B6" s="43">
        <v>0.78469080815789616</v>
      </c>
      <c r="C6" s="57">
        <v>0.68972939812475831</v>
      </c>
      <c r="D6" s="82">
        <v>4.761133603238866</v>
      </c>
      <c r="E6" s="82">
        <v>7.9352226720647776</v>
      </c>
      <c r="F6" s="80"/>
      <c r="G6" s="109">
        <v>5.8872229794537843</v>
      </c>
      <c r="H6" s="109">
        <v>10.453333333333333</v>
      </c>
      <c r="I6" s="99">
        <v>0.79827466666666669</v>
      </c>
      <c r="J6" s="107"/>
      <c r="K6" s="107"/>
      <c r="L6" s="9">
        <f t="shared" si="0"/>
        <v>140.45965466026342</v>
      </c>
      <c r="M6" s="9">
        <f t="shared" si="1"/>
        <v>13.794587962495166</v>
      </c>
      <c r="N6" s="9">
        <f t="shared" si="2"/>
        <v>23.805668016194332</v>
      </c>
      <c r="O6" s="9">
        <f t="shared" si="3"/>
        <v>23.805668016194332</v>
      </c>
      <c r="P6" s="9">
        <f t="shared" si="4"/>
        <v>0</v>
      </c>
      <c r="Q6" s="9">
        <f t="shared" si="5"/>
        <v>17.661668938361352</v>
      </c>
      <c r="R6" s="9">
        <f t="shared" si="6"/>
        <v>13.589333333333334</v>
      </c>
      <c r="S6" s="9">
        <f t="shared" si="6"/>
        <v>1.0377570666666667</v>
      </c>
      <c r="T6" s="9">
        <f t="shared" si="7"/>
        <v>0</v>
      </c>
      <c r="U6" s="107"/>
      <c r="V6" s="117">
        <f t="shared" si="8"/>
        <v>234.15433799350862</v>
      </c>
      <c r="W6" s="114">
        <f t="shared" si="9"/>
        <v>7.0460771140270329E-2</v>
      </c>
      <c r="X6" s="107">
        <f t="shared" si="10"/>
        <v>251.90366444323914</v>
      </c>
      <c r="Y6" s="107">
        <v>250.15596125915761</v>
      </c>
      <c r="Z6" s="9">
        <f t="shared" si="11"/>
        <v>32.130569444290707</v>
      </c>
      <c r="AA6" s="9">
        <f t="shared" si="11"/>
        <v>31.907648119790512</v>
      </c>
    </row>
    <row r="7" spans="1:27" x14ac:dyDescent="0.2">
      <c r="A7" s="6">
        <v>1656</v>
      </c>
      <c r="B7" s="43">
        <v>0.78469080815789616</v>
      </c>
      <c r="C7" s="57">
        <v>0.84101655772455164</v>
      </c>
      <c r="D7" s="56">
        <v>4.761133603238866</v>
      </c>
      <c r="E7" s="56">
        <v>7.9352226720647776</v>
      </c>
      <c r="F7" s="80"/>
      <c r="G7" s="55">
        <f>G6+($G$9-$G$6)/3</f>
        <v>5.8853906660459243</v>
      </c>
      <c r="H7" s="109">
        <v>8.6631999999999998</v>
      </c>
      <c r="I7" s="99">
        <v>0.64002687999999996</v>
      </c>
      <c r="J7" s="107"/>
      <c r="K7" s="107"/>
      <c r="L7" s="9">
        <f t="shared" si="0"/>
        <v>140.45965466026342</v>
      </c>
      <c r="M7" s="9">
        <f t="shared" si="1"/>
        <v>16.820331154491033</v>
      </c>
      <c r="N7" s="9">
        <f t="shared" si="2"/>
        <v>23.805668016194332</v>
      </c>
      <c r="O7" s="9">
        <f t="shared" si="3"/>
        <v>23.805668016194332</v>
      </c>
      <c r="P7" s="9">
        <f t="shared" si="4"/>
        <v>0</v>
      </c>
      <c r="Q7" s="9">
        <f t="shared" si="5"/>
        <v>17.656171998137772</v>
      </c>
      <c r="R7" s="9">
        <f t="shared" si="6"/>
        <v>11.26216</v>
      </c>
      <c r="S7" s="9">
        <f t="shared" si="6"/>
        <v>0.832034944</v>
      </c>
      <c r="T7" s="9">
        <f t="shared" si="7"/>
        <v>0</v>
      </c>
      <c r="U7" s="107"/>
      <c r="V7" s="117">
        <f t="shared" si="8"/>
        <v>234.64168878928086</v>
      </c>
      <c r="W7" s="114">
        <f t="shared" si="9"/>
        <v>7.0460771140270329E-2</v>
      </c>
      <c r="X7" s="107">
        <f t="shared" si="10"/>
        <v>252.42795731936667</v>
      </c>
      <c r="Y7" s="107">
        <v>250.64331205492985</v>
      </c>
      <c r="Z7" s="9">
        <f t="shared" si="11"/>
        <v>32.197443535633504</v>
      </c>
      <c r="AA7" s="9">
        <f t="shared" si="11"/>
        <v>31.969810211087992</v>
      </c>
    </row>
    <row r="8" spans="1:27" x14ac:dyDescent="0.2">
      <c r="A8" s="6">
        <v>1657</v>
      </c>
      <c r="B8" s="43">
        <v>0.78469080815789616</v>
      </c>
      <c r="C8" s="57">
        <v>0.99230371732434497</v>
      </c>
      <c r="D8" s="56">
        <v>4.761133603238866</v>
      </c>
      <c r="E8" s="56">
        <v>7.9352226720647776</v>
      </c>
      <c r="F8" s="80"/>
      <c r="G8" s="55">
        <f>G7+($G$9-$G$6)/3</f>
        <v>5.8835583526380644</v>
      </c>
      <c r="H8" s="55">
        <f>H7+($H$9-$H$7)/2</f>
        <v>12.485200000000001</v>
      </c>
      <c r="I8" s="113">
        <v>1.6333333333333333</v>
      </c>
      <c r="J8" s="107"/>
      <c r="K8" s="107"/>
      <c r="L8" s="9">
        <f t="shared" si="0"/>
        <v>140.45965466026342</v>
      </c>
      <c r="M8" s="9">
        <f t="shared" si="1"/>
        <v>19.846074346486901</v>
      </c>
      <c r="N8" s="9">
        <f t="shared" si="2"/>
        <v>23.805668016194332</v>
      </c>
      <c r="O8" s="9">
        <f t="shared" si="3"/>
        <v>23.805668016194332</v>
      </c>
      <c r="P8" s="9">
        <f t="shared" si="4"/>
        <v>0</v>
      </c>
      <c r="Q8" s="9">
        <f t="shared" si="5"/>
        <v>17.650675057914192</v>
      </c>
      <c r="R8" s="9">
        <f t="shared" si="6"/>
        <v>16.23076</v>
      </c>
      <c r="S8" s="9">
        <f t="shared" si="6"/>
        <v>2.1233333333333335</v>
      </c>
      <c r="T8" s="9">
        <f t="shared" si="7"/>
        <v>0</v>
      </c>
      <c r="U8" s="107"/>
      <c r="V8" s="117">
        <f t="shared" si="8"/>
        <v>243.92183343038647</v>
      </c>
      <c r="W8" s="114">
        <f t="shared" si="9"/>
        <v>7.0460771140270329E-2</v>
      </c>
      <c r="X8" s="107">
        <f t="shared" si="10"/>
        <v>262.41155387234875</v>
      </c>
      <c r="Y8" s="107">
        <v>259.92345669603549</v>
      </c>
      <c r="Z8" s="9">
        <f t="shared" si="11"/>
        <v>33.470861463309788</v>
      </c>
      <c r="AA8" s="9">
        <f t="shared" si="11"/>
        <v>33.153502129596362</v>
      </c>
    </row>
    <row r="9" spans="1:27" x14ac:dyDescent="0.2">
      <c r="A9" s="6">
        <v>1658</v>
      </c>
      <c r="B9" s="56">
        <v>0.78469080815789616</v>
      </c>
      <c r="C9" s="57">
        <v>1.1435908769241383</v>
      </c>
      <c r="D9" s="56">
        <v>3.57085020242915</v>
      </c>
      <c r="E9" s="57">
        <v>8.7287449392712553</v>
      </c>
      <c r="F9" s="80"/>
      <c r="G9" s="109">
        <v>5.8817260392302035</v>
      </c>
      <c r="H9" s="109">
        <v>16.307200000000002</v>
      </c>
      <c r="I9" s="113">
        <v>0.81666666666666665</v>
      </c>
      <c r="J9" s="107"/>
      <c r="K9" s="107"/>
      <c r="L9" s="9">
        <f t="shared" si="0"/>
        <v>140.45965466026342</v>
      </c>
      <c r="M9" s="9">
        <f t="shared" si="1"/>
        <v>22.871817538482766</v>
      </c>
      <c r="N9" s="9">
        <f t="shared" si="2"/>
        <v>17.854251012145749</v>
      </c>
      <c r="O9" s="9">
        <f t="shared" si="3"/>
        <v>26.186234817813766</v>
      </c>
      <c r="P9" s="9">
        <f t="shared" si="4"/>
        <v>0</v>
      </c>
      <c r="Q9" s="9">
        <f t="shared" si="5"/>
        <v>17.645178117690612</v>
      </c>
      <c r="R9" s="9">
        <f t="shared" si="6"/>
        <v>21.199360000000002</v>
      </c>
      <c r="S9" s="9">
        <f t="shared" si="6"/>
        <v>1.0616666666666668</v>
      </c>
      <c r="T9" s="9">
        <f t="shared" si="7"/>
        <v>0</v>
      </c>
      <c r="U9" s="107"/>
      <c r="V9" s="117">
        <f t="shared" si="8"/>
        <v>247.27816281306298</v>
      </c>
      <c r="W9" s="114">
        <f t="shared" si="9"/>
        <v>7.0460771140270329E-2</v>
      </c>
      <c r="X9" s="107">
        <f t="shared" si="10"/>
        <v>266.02229915180698</v>
      </c>
      <c r="Y9" s="107">
        <v>263.27978607871199</v>
      </c>
      <c r="Z9" s="9">
        <f t="shared" si="11"/>
        <v>33.931415708138644</v>
      </c>
      <c r="AA9" s="9">
        <f t="shared" si="11"/>
        <v>33.581605367182654</v>
      </c>
    </row>
    <row r="10" spans="1:27" x14ac:dyDescent="0.2">
      <c r="A10" s="6">
        <v>1659</v>
      </c>
      <c r="B10" s="57">
        <v>0.71100037705397567</v>
      </c>
      <c r="C10" s="57">
        <v>1.2948780365239316</v>
      </c>
      <c r="D10" s="57">
        <v>4.1659919028340084</v>
      </c>
      <c r="E10" s="56">
        <v>9.5222672064777321</v>
      </c>
      <c r="F10" s="80"/>
      <c r="G10" s="55">
        <f>G9+($G$11-$G$9)/2</f>
        <v>5.8844745093419935</v>
      </c>
      <c r="H10" s="109">
        <v>8.1536000000000008</v>
      </c>
      <c r="I10" s="113">
        <v>1.96</v>
      </c>
      <c r="J10" s="107"/>
      <c r="K10" s="107"/>
      <c r="L10" s="9">
        <f t="shared" si="0"/>
        <v>127.26906749266165</v>
      </c>
      <c r="M10" s="9">
        <f t="shared" si="1"/>
        <v>25.897560730478631</v>
      </c>
      <c r="N10" s="9">
        <f t="shared" si="2"/>
        <v>20.829959514170042</v>
      </c>
      <c r="O10" s="9">
        <f t="shared" si="3"/>
        <v>28.566801619433196</v>
      </c>
      <c r="P10" s="9">
        <f t="shared" si="4"/>
        <v>0</v>
      </c>
      <c r="Q10" s="9">
        <f t="shared" si="5"/>
        <v>17.653423528025982</v>
      </c>
      <c r="R10" s="9">
        <f t="shared" si="6"/>
        <v>10.599680000000001</v>
      </c>
      <c r="S10" s="9">
        <f t="shared" si="6"/>
        <v>2.548</v>
      </c>
      <c r="T10" s="9">
        <f t="shared" si="7"/>
        <v>0</v>
      </c>
      <c r="U10" s="107"/>
      <c r="V10" s="117">
        <f t="shared" si="8"/>
        <v>233.36449288476948</v>
      </c>
      <c r="W10" s="114">
        <f t="shared" si="9"/>
        <v>7.0460771140270329E-2</v>
      </c>
      <c r="X10" s="107">
        <f t="shared" si="10"/>
        <v>251.05394763278451</v>
      </c>
      <c r="Y10" s="107">
        <v>249.36611615041846</v>
      </c>
      <c r="Z10" s="9">
        <f t="shared" si="11"/>
        <v>32.02218719805925</v>
      </c>
      <c r="AA10" s="9">
        <f t="shared" si="11"/>
        <v>31.806902570206436</v>
      </c>
    </row>
    <row r="11" spans="1:27" x14ac:dyDescent="0.2">
      <c r="A11" s="6">
        <v>1660</v>
      </c>
      <c r="B11" s="56">
        <v>0.63730994595005519</v>
      </c>
      <c r="C11" s="57">
        <v>1.446165196123725</v>
      </c>
      <c r="D11" s="56">
        <v>4.761133603238866</v>
      </c>
      <c r="E11" s="57">
        <v>9.5222672064777321</v>
      </c>
      <c r="F11" s="80"/>
      <c r="G11" s="109">
        <v>5.8872229794537843</v>
      </c>
      <c r="H11" s="55">
        <f>H10+($H$16-$H$10)/6</f>
        <v>8.8853333333333335</v>
      </c>
      <c r="I11" s="55">
        <f>I10+($I$16-$I$10)/6</f>
        <v>1.7971816</v>
      </c>
      <c r="J11" s="107"/>
      <c r="K11" s="107"/>
      <c r="L11" s="9">
        <f t="shared" si="0"/>
        <v>114.07848032505989</v>
      </c>
      <c r="M11" s="9">
        <f t="shared" si="1"/>
        <v>28.923303922474499</v>
      </c>
      <c r="N11" s="9">
        <f t="shared" si="2"/>
        <v>23.805668016194332</v>
      </c>
      <c r="O11" s="9">
        <f t="shared" si="3"/>
        <v>28.566801619433196</v>
      </c>
      <c r="P11" s="9">
        <f t="shared" si="4"/>
        <v>0</v>
      </c>
      <c r="Q11" s="9">
        <f t="shared" si="5"/>
        <v>17.661668938361352</v>
      </c>
      <c r="R11" s="9">
        <f t="shared" si="6"/>
        <v>11.550933333333335</v>
      </c>
      <c r="S11" s="9">
        <f t="shared" si="6"/>
        <v>2.3363360800000001</v>
      </c>
      <c r="T11" s="9">
        <f t="shared" si="7"/>
        <v>0</v>
      </c>
      <c r="U11" s="107"/>
      <c r="V11" s="117">
        <f t="shared" si="8"/>
        <v>226.92319223485657</v>
      </c>
      <c r="W11" s="114">
        <f t="shared" si="9"/>
        <v>7.0460771140270329E-2</v>
      </c>
      <c r="X11" s="107">
        <f t="shared" si="10"/>
        <v>244.12438463003261</v>
      </c>
      <c r="Y11" s="107">
        <v>242.92481550050556</v>
      </c>
      <c r="Z11" s="9">
        <f t="shared" si="11"/>
        <v>31.138314366075587</v>
      </c>
      <c r="AA11" s="9">
        <f t="shared" si="11"/>
        <v>30.985308099554281</v>
      </c>
    </row>
    <row r="12" spans="1:27" x14ac:dyDescent="0.2">
      <c r="A12" s="6">
        <v>1661</v>
      </c>
      <c r="B12" s="56">
        <v>0.58291317177443713</v>
      </c>
      <c r="C12" s="57">
        <v>1.5974523557235183</v>
      </c>
      <c r="D12" s="56">
        <v>4.761133603238866</v>
      </c>
      <c r="E12" s="56">
        <v>9.5222672064777321</v>
      </c>
      <c r="F12" s="80"/>
      <c r="G12" s="55">
        <f>G11+($G$13-$G$11)/2</f>
        <v>4.3288404260689584</v>
      </c>
      <c r="H12" s="55">
        <f>H11+($H$16-$H$10)/6</f>
        <v>9.6170666666666662</v>
      </c>
      <c r="I12" s="55">
        <f>I11+($I$16-$I$10)/6</f>
        <v>1.6343632000000001</v>
      </c>
      <c r="J12" s="107"/>
      <c r="K12" s="107"/>
      <c r="L12" s="9">
        <f t="shared" si="0"/>
        <v>104.34145774762425</v>
      </c>
      <c r="M12" s="9">
        <f t="shared" si="1"/>
        <v>31.949047114470368</v>
      </c>
      <c r="N12" s="9">
        <f t="shared" si="2"/>
        <v>23.805668016194332</v>
      </c>
      <c r="O12" s="9">
        <f t="shared" si="3"/>
        <v>28.566801619433196</v>
      </c>
      <c r="P12" s="9">
        <f t="shared" si="4"/>
        <v>0</v>
      </c>
      <c r="Q12" s="9">
        <f t="shared" si="5"/>
        <v>12.986521278206876</v>
      </c>
      <c r="R12" s="9">
        <f t="shared" si="6"/>
        <v>12.502186666666667</v>
      </c>
      <c r="S12" s="9">
        <f t="shared" si="6"/>
        <v>2.1246721600000003</v>
      </c>
      <c r="T12" s="9">
        <f t="shared" si="7"/>
        <v>0</v>
      </c>
      <c r="U12" s="107"/>
      <c r="V12" s="117">
        <f t="shared" si="8"/>
        <v>216.27635460259566</v>
      </c>
      <c r="W12" s="114">
        <f t="shared" si="9"/>
        <v>7.0460771140270329E-2</v>
      </c>
      <c r="X12" s="107">
        <f t="shared" si="10"/>
        <v>232.6704972612107</v>
      </c>
      <c r="Y12" s="107">
        <v>232.27797786824465</v>
      </c>
      <c r="Z12" s="9">
        <f t="shared" si="11"/>
        <v>29.677359344542182</v>
      </c>
      <c r="AA12" s="9">
        <f t="shared" si="11"/>
        <v>29.62729309543937</v>
      </c>
    </row>
    <row r="13" spans="1:27" x14ac:dyDescent="0.2">
      <c r="A13" s="6">
        <v>1662</v>
      </c>
      <c r="B13" s="56">
        <v>0.58291317177443713</v>
      </c>
      <c r="C13" s="56">
        <v>1.7487395153233112</v>
      </c>
      <c r="D13" s="56">
        <v>4.761133603238866</v>
      </c>
      <c r="E13" s="56">
        <v>9.5222672064777321</v>
      </c>
      <c r="F13" s="80"/>
      <c r="G13" s="109">
        <v>2.7704578726841329</v>
      </c>
      <c r="H13" s="55">
        <f>H12+($H$16-$H$10)/6</f>
        <v>10.348799999999999</v>
      </c>
      <c r="I13" s="55">
        <f>I12+($I$16-$I$10)/6</f>
        <v>1.4715448000000002</v>
      </c>
      <c r="J13" s="107"/>
      <c r="K13" s="107"/>
      <c r="L13" s="9">
        <f t="shared" si="0"/>
        <v>104.34145774762425</v>
      </c>
      <c r="M13" s="9">
        <f t="shared" si="1"/>
        <v>34.974790306466225</v>
      </c>
      <c r="N13" s="9">
        <f t="shared" si="2"/>
        <v>23.805668016194332</v>
      </c>
      <c r="O13" s="9">
        <f t="shared" si="3"/>
        <v>28.566801619433196</v>
      </c>
      <c r="P13" s="9">
        <f t="shared" si="4"/>
        <v>0</v>
      </c>
      <c r="Q13" s="9">
        <f t="shared" si="5"/>
        <v>8.3113736180523983</v>
      </c>
      <c r="R13" s="9">
        <f t="shared" si="6"/>
        <v>13.453439999999999</v>
      </c>
      <c r="S13" s="9">
        <f t="shared" si="6"/>
        <v>1.9130082400000004</v>
      </c>
      <c r="T13" s="9">
        <f t="shared" si="7"/>
        <v>0</v>
      </c>
      <c r="U13" s="107"/>
      <c r="V13" s="117">
        <f t="shared" si="8"/>
        <v>215.36653954777037</v>
      </c>
      <c r="W13" s="114">
        <f t="shared" si="9"/>
        <v>7.0460771140270329E-2</v>
      </c>
      <c r="X13" s="107">
        <f t="shared" si="10"/>
        <v>231.6917165636587</v>
      </c>
      <c r="Y13" s="107">
        <v>231.36816281341936</v>
      </c>
      <c r="Z13" s="9">
        <f t="shared" si="11"/>
        <v>29.55251486781361</v>
      </c>
      <c r="AA13" s="9">
        <f t="shared" si="11"/>
        <v>29.511245256813694</v>
      </c>
    </row>
    <row r="14" spans="1:27" x14ac:dyDescent="0.2">
      <c r="A14" s="6">
        <v>1663</v>
      </c>
      <c r="B14" s="56">
        <v>0.58431104508804488</v>
      </c>
      <c r="C14" s="56">
        <v>1.7525747461579528</v>
      </c>
      <c r="D14" s="56">
        <v>4.761133603238866</v>
      </c>
      <c r="E14" s="56">
        <v>8.3167852945017628</v>
      </c>
      <c r="F14" s="80"/>
      <c r="G14" s="109">
        <v>2.7704578726841329</v>
      </c>
      <c r="H14" s="55">
        <f>H13+($H$16-$H$10)/6</f>
        <v>11.080533333333332</v>
      </c>
      <c r="I14" s="55">
        <f>I13+($I$16-$I$10)/6</f>
        <v>1.3087264000000003</v>
      </c>
      <c r="J14" s="107"/>
      <c r="K14" s="107"/>
      <c r="L14" s="9">
        <f t="shared" si="0"/>
        <v>104.59167707076003</v>
      </c>
      <c r="M14" s="9">
        <f t="shared" si="1"/>
        <v>35.051494923159055</v>
      </c>
      <c r="N14" s="9">
        <f t="shared" si="2"/>
        <v>23.805668016194332</v>
      </c>
      <c r="O14" s="9">
        <f t="shared" si="3"/>
        <v>24.950355883505289</v>
      </c>
      <c r="P14" s="9">
        <f t="shared" si="4"/>
        <v>0</v>
      </c>
      <c r="Q14" s="9">
        <f t="shared" si="5"/>
        <v>8.3113736180523983</v>
      </c>
      <c r="R14" s="9">
        <f t="shared" si="6"/>
        <v>14.404693333333331</v>
      </c>
      <c r="S14" s="9">
        <f t="shared" si="6"/>
        <v>1.7013443200000005</v>
      </c>
      <c r="T14" s="9">
        <f t="shared" si="7"/>
        <v>0</v>
      </c>
      <c r="U14" s="107"/>
      <c r="V14" s="117">
        <f t="shared" si="8"/>
        <v>212.81660716500446</v>
      </c>
      <c r="W14" s="114">
        <f t="shared" si="9"/>
        <v>7.0460771140270329E-2</v>
      </c>
      <c r="X14" s="107">
        <f t="shared" si="10"/>
        <v>228.94849464940563</v>
      </c>
      <c r="Y14" s="107">
        <v>228.81823043065344</v>
      </c>
      <c r="Z14" s="9">
        <f t="shared" si="11"/>
        <v>29.202614113444596</v>
      </c>
      <c r="AA14" s="9">
        <f t="shared" si="11"/>
        <v>29.185998779420082</v>
      </c>
    </row>
    <row r="15" spans="1:27" x14ac:dyDescent="0.2">
      <c r="A15" s="6">
        <v>1664</v>
      </c>
      <c r="B15" s="57">
        <v>0.61093616335816769</v>
      </c>
      <c r="C15" s="57">
        <v>1.750657130740632</v>
      </c>
      <c r="D15" s="57">
        <v>4.761133603238866</v>
      </c>
      <c r="E15" s="57">
        <v>10.109809651299464</v>
      </c>
      <c r="F15" s="80"/>
      <c r="G15" s="55">
        <f>G14+($G$16-$G$14)/2</f>
        <v>2.9968716871119185</v>
      </c>
      <c r="H15" s="55">
        <f>H14+($H$16-$H$10)/6</f>
        <v>11.812266666666664</v>
      </c>
      <c r="I15" s="55">
        <f>I14+($I$16-$I$10)/6</f>
        <v>1.1459080000000004</v>
      </c>
      <c r="J15" s="107"/>
      <c r="K15" s="107"/>
      <c r="L15" s="9">
        <f t="shared" si="0"/>
        <v>109.35757324111202</v>
      </c>
      <c r="M15" s="9">
        <f t="shared" si="1"/>
        <v>35.013142614812637</v>
      </c>
      <c r="N15" s="9">
        <f t="shared" si="2"/>
        <v>23.805668016194332</v>
      </c>
      <c r="O15" s="9">
        <f t="shared" si="3"/>
        <v>30.329428953898393</v>
      </c>
      <c r="P15" s="9">
        <f t="shared" si="4"/>
        <v>0</v>
      </c>
      <c r="Q15" s="9">
        <f t="shared" si="5"/>
        <v>8.9906150613357561</v>
      </c>
      <c r="R15" s="9">
        <f t="shared" si="6"/>
        <v>15.355946666666664</v>
      </c>
      <c r="S15" s="9">
        <f t="shared" si="6"/>
        <v>1.4896804000000006</v>
      </c>
      <c r="T15" s="9">
        <f t="shared" si="7"/>
        <v>0</v>
      </c>
      <c r="U15" s="107"/>
      <c r="V15" s="117">
        <f t="shared" si="8"/>
        <v>224.3420549540198</v>
      </c>
      <c r="W15" s="114">
        <f t="shared" si="9"/>
        <v>7.0460771140270329E-2</v>
      </c>
      <c r="X15" s="107">
        <f t="shared" si="10"/>
        <v>241.34759242944625</v>
      </c>
      <c r="Y15" s="107">
        <v>240.34367821966879</v>
      </c>
      <c r="Z15" s="9">
        <f t="shared" si="11"/>
        <v>30.784131687429369</v>
      </c>
      <c r="AA15" s="9">
        <f t="shared" si="11"/>
        <v>30.656081405569999</v>
      </c>
    </row>
    <row r="16" spans="1:27" x14ac:dyDescent="0.2">
      <c r="A16" s="6">
        <v>1665</v>
      </c>
      <c r="B16" s="56">
        <v>0.63756128162829051</v>
      </c>
      <c r="C16" s="56">
        <v>1.7487395153233112</v>
      </c>
      <c r="D16" s="56">
        <v>4.761133603238866</v>
      </c>
      <c r="E16" s="56">
        <v>11.902834008097166</v>
      </c>
      <c r="F16" s="56">
        <v>7.9352226720647776</v>
      </c>
      <c r="G16" s="109">
        <v>3.2232855015397042</v>
      </c>
      <c r="H16" s="109">
        <v>12.544</v>
      </c>
      <c r="I16" s="99">
        <v>0.98308960000000012</v>
      </c>
      <c r="J16" s="109">
        <v>1.8952779306549257</v>
      </c>
      <c r="K16" s="107"/>
      <c r="L16" s="9">
        <f t="shared" si="0"/>
        <v>114.123469411464</v>
      </c>
      <c r="M16" s="9">
        <f t="shared" si="1"/>
        <v>34.974790306466225</v>
      </c>
      <c r="N16" s="9">
        <f t="shared" si="2"/>
        <v>23.805668016194332</v>
      </c>
      <c r="O16" s="9">
        <f t="shared" si="3"/>
        <v>35.708502024291498</v>
      </c>
      <c r="P16" s="9">
        <f t="shared" si="4"/>
        <v>10.315789473684211</v>
      </c>
      <c r="Q16" s="9">
        <f t="shared" si="5"/>
        <v>9.6698565046191121</v>
      </c>
      <c r="R16" s="9">
        <f t="shared" si="6"/>
        <v>16.307200000000002</v>
      </c>
      <c r="S16" s="9">
        <f t="shared" si="6"/>
        <v>1.2780164800000002</v>
      </c>
      <c r="T16" s="9">
        <f t="shared" si="7"/>
        <v>5.685833791964777</v>
      </c>
      <c r="U16" s="107"/>
      <c r="V16" s="117">
        <f t="shared" si="8"/>
        <v>251.86912600868416</v>
      </c>
      <c r="W16" s="114">
        <v>0</v>
      </c>
      <c r="X16" s="107">
        <f t="shared" si="10"/>
        <v>251.86912600868416</v>
      </c>
      <c r="Y16" s="107">
        <v>251.86912600868416</v>
      </c>
      <c r="Z16" s="9">
        <f t="shared" si="11"/>
        <v>32.126164031719917</v>
      </c>
      <c r="AA16" s="9">
        <f t="shared" si="11"/>
        <v>32.126164031719917</v>
      </c>
    </row>
    <row r="17" spans="1:27" x14ac:dyDescent="0.2">
      <c r="A17" s="6">
        <v>1666</v>
      </c>
      <c r="B17" s="56">
        <v>0.63733487492316687</v>
      </c>
      <c r="C17" s="56">
        <v>1.7487395153233112</v>
      </c>
      <c r="D17" s="56">
        <v>3.57085020242915</v>
      </c>
      <c r="E17" s="57">
        <v>11.109311740890687</v>
      </c>
      <c r="F17" s="57">
        <f>F16+($F$18-$F$16)/2</f>
        <v>6.7776471783262959</v>
      </c>
      <c r="G17" s="109">
        <v>3.2154586463326393</v>
      </c>
      <c r="H17" s="109">
        <v>12.544</v>
      </c>
      <c r="I17" s="99">
        <v>0.98308960000000012</v>
      </c>
      <c r="J17" s="55">
        <f>J16+($J$18-$J$16)/2</f>
        <v>2.0487631428069166</v>
      </c>
      <c r="K17" s="107"/>
      <c r="L17" s="9">
        <f t="shared" si="0"/>
        <v>114.08294261124686</v>
      </c>
      <c r="M17" s="9">
        <f t="shared" si="1"/>
        <v>34.974790306466225</v>
      </c>
      <c r="N17" s="9">
        <f t="shared" si="2"/>
        <v>17.854251012145749</v>
      </c>
      <c r="O17" s="9">
        <f t="shared" si="3"/>
        <v>33.32793522267206</v>
      </c>
      <c r="P17" s="9">
        <f t="shared" si="4"/>
        <v>8.8109413318241856</v>
      </c>
      <c r="Q17" s="9">
        <f t="shared" si="5"/>
        <v>9.6463759389979185</v>
      </c>
      <c r="R17" s="9">
        <f t="shared" si="6"/>
        <v>16.307200000000002</v>
      </c>
      <c r="S17" s="9">
        <f t="shared" si="6"/>
        <v>1.2780164800000002</v>
      </c>
      <c r="T17" s="9">
        <f t="shared" si="7"/>
        <v>6.1462894284207499</v>
      </c>
      <c r="U17" s="107"/>
      <c r="V17" s="117">
        <f t="shared" si="8"/>
        <v>242.42874233177372</v>
      </c>
      <c r="W17" s="114">
        <v>0</v>
      </c>
      <c r="X17" s="107">
        <f t="shared" si="10"/>
        <v>242.42874233177372</v>
      </c>
      <c r="Y17" s="107">
        <v>242.42874233177372</v>
      </c>
      <c r="Z17" s="9">
        <f t="shared" si="11"/>
        <v>30.922033460685423</v>
      </c>
      <c r="AA17" s="9">
        <f t="shared" si="11"/>
        <v>30.922033460685423</v>
      </c>
    </row>
    <row r="18" spans="1:27" x14ac:dyDescent="0.2">
      <c r="A18" s="6">
        <v>1667</v>
      </c>
      <c r="B18" s="56">
        <v>0.63756128162829051</v>
      </c>
      <c r="C18" s="57"/>
      <c r="D18" s="56">
        <v>3.57085020242915</v>
      </c>
      <c r="E18" s="57">
        <v>10.315789473684209</v>
      </c>
      <c r="F18" s="56">
        <v>5.6200716845878134</v>
      </c>
      <c r="G18" s="109">
        <v>3.2176747574755584</v>
      </c>
      <c r="H18" s="55">
        <f>H17+($H$20-$H$17)/3</f>
        <v>12.880207387879357</v>
      </c>
      <c r="I18" s="55">
        <f>I17+($I$20-$I$17)/3</f>
        <v>1.0128103330885354</v>
      </c>
      <c r="J18" s="109">
        <v>2.2022483549589071</v>
      </c>
      <c r="K18" s="107"/>
      <c r="L18" s="9">
        <f t="shared" si="0"/>
        <v>114.123469411464</v>
      </c>
      <c r="M18" s="9">
        <f t="shared" si="1"/>
        <v>0</v>
      </c>
      <c r="N18" s="9">
        <f t="shared" si="2"/>
        <v>17.854251012145749</v>
      </c>
      <c r="O18" s="9">
        <f t="shared" si="3"/>
        <v>30.947368421052627</v>
      </c>
      <c r="P18" s="9">
        <f t="shared" si="4"/>
        <v>7.3060931899641579</v>
      </c>
      <c r="Q18" s="9">
        <f t="shared" si="5"/>
        <v>9.6530242724266753</v>
      </c>
      <c r="R18" s="9">
        <f t="shared" si="6"/>
        <v>16.744269604243165</v>
      </c>
      <c r="S18" s="9">
        <f t="shared" si="6"/>
        <v>1.3166534330150961</v>
      </c>
      <c r="T18" s="9">
        <f t="shared" si="7"/>
        <v>6.606745064876721</v>
      </c>
      <c r="U18" s="108"/>
      <c r="V18" s="117">
        <f t="shared" si="8"/>
        <v>204.55187440918817</v>
      </c>
      <c r="W18" s="114">
        <f>M2</f>
        <v>0.1145800672770033</v>
      </c>
      <c r="X18" s="107">
        <f t="shared" si="10"/>
        <v>231.02244127271319</v>
      </c>
      <c r="Y18" s="107">
        <v>239.81812130154159</v>
      </c>
      <c r="Z18" s="9">
        <f t="shared" si="11"/>
        <v>29.467148121519539</v>
      </c>
      <c r="AA18" s="9">
        <f t="shared" si="11"/>
        <v>30.589046084380307</v>
      </c>
    </row>
    <row r="19" spans="1:27" x14ac:dyDescent="0.2">
      <c r="A19" s="6">
        <v>1668</v>
      </c>
      <c r="B19" s="56">
        <v>0.72798856017976876</v>
      </c>
      <c r="C19" s="57"/>
      <c r="D19" s="56">
        <v>4.761133603238866</v>
      </c>
      <c r="E19" s="56">
        <v>9.5222672064777321</v>
      </c>
      <c r="F19" s="56">
        <v>5.6200716845878134</v>
      </c>
      <c r="G19" s="109">
        <v>3.6279805475625553</v>
      </c>
      <c r="H19" s="55">
        <f>H18+($H$20-$H$17)/3</f>
        <v>13.216414775758714</v>
      </c>
      <c r="I19" s="55">
        <f>I18+($I$20-$I$17)/3</f>
        <v>1.0425310661770706</v>
      </c>
      <c r="J19" s="109">
        <v>2.7787341772151897</v>
      </c>
      <c r="K19" s="107"/>
      <c r="L19" s="9">
        <f t="shared" si="0"/>
        <v>130.30995227217861</v>
      </c>
      <c r="M19" s="9">
        <f t="shared" si="1"/>
        <v>0</v>
      </c>
      <c r="N19" s="9">
        <f t="shared" si="2"/>
        <v>23.805668016194332</v>
      </c>
      <c r="O19" s="9">
        <f t="shared" si="3"/>
        <v>28.566801619433196</v>
      </c>
      <c r="P19" s="9">
        <f t="shared" si="4"/>
        <v>7.3060931899641579</v>
      </c>
      <c r="Q19" s="9">
        <f t="shared" si="5"/>
        <v>10.883941642687667</v>
      </c>
      <c r="R19" s="9">
        <f t="shared" si="6"/>
        <v>17.181339208486328</v>
      </c>
      <c r="S19" s="9">
        <f t="shared" si="6"/>
        <v>1.3552903860301919</v>
      </c>
      <c r="T19" s="9">
        <f t="shared" si="7"/>
        <v>8.3362025316455686</v>
      </c>
      <c r="U19" s="107"/>
      <c r="V19" s="117">
        <f t="shared" si="8"/>
        <v>227.74528886662003</v>
      </c>
      <c r="W19" s="114">
        <f>M2</f>
        <v>0.1145800672770033</v>
      </c>
      <c r="X19" s="107">
        <f t="shared" si="10"/>
        <v>257.21725979922127</v>
      </c>
      <c r="Y19" s="107">
        <v>263.30299234486063</v>
      </c>
      <c r="Z19" s="9">
        <f t="shared" si="11"/>
        <v>32.808323953982303</v>
      </c>
      <c r="AA19" s="9">
        <f t="shared" si="11"/>
        <v>33.584565350109777</v>
      </c>
    </row>
    <row r="20" spans="1:27" x14ac:dyDescent="0.2">
      <c r="A20" s="6">
        <v>1669</v>
      </c>
      <c r="B20" s="56">
        <v>0.9099857002247107</v>
      </c>
      <c r="C20" s="57"/>
      <c r="D20" s="56">
        <v>4.761133603238866</v>
      </c>
      <c r="E20" s="56">
        <v>11.902834008097166</v>
      </c>
      <c r="F20" s="57"/>
      <c r="G20" s="109">
        <v>3.6279805475625553</v>
      </c>
      <c r="H20" s="109">
        <v>13.552622163638073</v>
      </c>
      <c r="I20" s="99">
        <v>1.0722517992656058</v>
      </c>
      <c r="J20" s="109">
        <v>2.7787341772151897</v>
      </c>
      <c r="K20" s="107"/>
      <c r="L20" s="9">
        <f t="shared" si="0"/>
        <v>162.88744034022321</v>
      </c>
      <c r="M20" s="9">
        <f t="shared" si="1"/>
        <v>0</v>
      </c>
      <c r="N20" s="9">
        <f t="shared" si="2"/>
        <v>23.805668016194332</v>
      </c>
      <c r="O20" s="9">
        <f t="shared" si="3"/>
        <v>35.708502024291498</v>
      </c>
      <c r="P20" s="9">
        <f t="shared" si="4"/>
        <v>0</v>
      </c>
      <c r="Q20" s="9">
        <f t="shared" si="5"/>
        <v>10.883941642687667</v>
      </c>
      <c r="R20" s="9">
        <f t="shared" si="6"/>
        <v>17.618408812729495</v>
      </c>
      <c r="S20" s="9">
        <f t="shared" si="6"/>
        <v>1.3939273390452875</v>
      </c>
      <c r="T20" s="9">
        <f t="shared" si="7"/>
        <v>8.3362025316455686</v>
      </c>
      <c r="U20" s="107"/>
      <c r="V20" s="117">
        <f t="shared" si="8"/>
        <v>260.63409070681706</v>
      </c>
      <c r="W20" s="114">
        <f>$M$2+$P$2</f>
        <v>0.14321490439119031</v>
      </c>
      <c r="X20" s="107">
        <f t="shared" si="10"/>
        <v>304.2000754245347</v>
      </c>
      <c r="Y20" s="107">
        <v>303.803956147289</v>
      </c>
      <c r="Z20" s="9">
        <f t="shared" si="11"/>
        <v>38.80103002863963</v>
      </c>
      <c r="AA20" s="9">
        <f t="shared" si="11"/>
        <v>38.750504610623601</v>
      </c>
    </row>
    <row r="21" spans="1:27" x14ac:dyDescent="0.2">
      <c r="A21" s="6">
        <v>1670</v>
      </c>
      <c r="B21" s="56">
        <v>1.0929621970770695</v>
      </c>
      <c r="C21" s="57"/>
      <c r="D21" s="56">
        <v>4.761133603238866</v>
      </c>
      <c r="E21" s="56">
        <v>2.4797570850202431</v>
      </c>
      <c r="F21" s="57"/>
      <c r="G21" s="55">
        <f>G20+($G$23-$G$20)/3</f>
        <v>4.1776745699205184</v>
      </c>
      <c r="H21" s="109">
        <v>15.870445344129555</v>
      </c>
      <c r="I21" s="99">
        <v>1.2771473684210528</v>
      </c>
      <c r="J21" s="109">
        <v>2.7787341772151897</v>
      </c>
      <c r="K21" s="107"/>
      <c r="L21" s="9">
        <f t="shared" si="0"/>
        <v>195.64023327679544</v>
      </c>
      <c r="M21" s="9">
        <f t="shared" si="1"/>
        <v>0</v>
      </c>
      <c r="N21" s="9">
        <f t="shared" si="2"/>
        <v>23.805668016194332</v>
      </c>
      <c r="O21" s="9">
        <f t="shared" si="3"/>
        <v>7.4392712550607296</v>
      </c>
      <c r="P21" s="9">
        <f t="shared" si="4"/>
        <v>0</v>
      </c>
      <c r="Q21" s="9">
        <f t="shared" si="5"/>
        <v>12.533023709761554</v>
      </c>
      <c r="R21" s="9">
        <f t="shared" si="6"/>
        <v>20.631578947368421</v>
      </c>
      <c r="S21" s="9">
        <f t="shared" si="6"/>
        <v>1.6602915789473687</v>
      </c>
      <c r="T21" s="9">
        <f t="shared" si="7"/>
        <v>8.3362025316455686</v>
      </c>
      <c r="U21" s="107"/>
      <c r="V21" s="117">
        <f t="shared" si="8"/>
        <v>270.04626931577343</v>
      </c>
      <c r="W21" s="114">
        <f t="shared" ref="W21:W24" si="12">$M$2+$P$2</f>
        <v>0.14321490439119031</v>
      </c>
      <c r="X21" s="107">
        <f t="shared" si="10"/>
        <v>315.18553567261279</v>
      </c>
      <c r="Y21" s="107">
        <v>313.52220352851248</v>
      </c>
      <c r="Z21" s="9">
        <f t="shared" si="11"/>
        <v>40.202236692935308</v>
      </c>
      <c r="AA21" s="9">
        <f t="shared" si="11"/>
        <v>39.990076980677614</v>
      </c>
    </row>
    <row r="22" spans="1:27" x14ac:dyDescent="0.2">
      <c r="A22" s="6">
        <v>1671</v>
      </c>
      <c r="B22" s="56">
        <v>0.91080183089755806</v>
      </c>
      <c r="C22" s="57"/>
      <c r="D22" s="56">
        <v>4.761133603238866</v>
      </c>
      <c r="E22" s="56">
        <v>9.5222672064777321</v>
      </c>
      <c r="F22" s="57"/>
      <c r="G22" s="55">
        <f>G21+($G$23-$G$20)/3</f>
        <v>4.7273685922784816</v>
      </c>
      <c r="H22" s="109">
        <v>12.696356275303645</v>
      </c>
      <c r="I22" s="99">
        <v>0.9965578947368422</v>
      </c>
      <c r="J22" s="109">
        <v>2.5427027027027034</v>
      </c>
      <c r="K22" s="107"/>
      <c r="L22" s="9">
        <f t="shared" si="0"/>
        <v>163.03352773066288</v>
      </c>
      <c r="M22" s="9">
        <f t="shared" si="1"/>
        <v>0</v>
      </c>
      <c r="N22" s="9">
        <f t="shared" si="2"/>
        <v>23.805668016194332</v>
      </c>
      <c r="O22" s="9">
        <f t="shared" si="3"/>
        <v>28.566801619433196</v>
      </c>
      <c r="P22" s="9">
        <f t="shared" si="4"/>
        <v>0</v>
      </c>
      <c r="Q22" s="9">
        <f t="shared" si="5"/>
        <v>14.182105776835446</v>
      </c>
      <c r="R22" s="9">
        <f t="shared" si="6"/>
        <v>16.505263157894738</v>
      </c>
      <c r="S22" s="9">
        <f t="shared" si="6"/>
        <v>1.2955252631578948</v>
      </c>
      <c r="T22" s="9">
        <f t="shared" si="7"/>
        <v>7.6281081081081101</v>
      </c>
      <c r="U22" s="107"/>
      <c r="V22" s="117">
        <f t="shared" si="8"/>
        <v>255.0169996722866</v>
      </c>
      <c r="W22" s="114">
        <f t="shared" si="12"/>
        <v>0.14321490439119031</v>
      </c>
      <c r="X22" s="107">
        <f t="shared" si="10"/>
        <v>297.64406614832393</v>
      </c>
      <c r="Y22" s="107">
        <v>298.79900265729282</v>
      </c>
      <c r="Z22" s="9">
        <f t="shared" si="11"/>
        <v>37.964804355653563</v>
      </c>
      <c r="AA22" s="9">
        <f t="shared" si="11"/>
        <v>38.112117685879184</v>
      </c>
    </row>
    <row r="23" spans="1:27" x14ac:dyDescent="0.2">
      <c r="A23" s="6">
        <v>1672</v>
      </c>
      <c r="B23" s="56">
        <v>0.91080183089755806</v>
      </c>
      <c r="C23" s="57"/>
      <c r="D23" s="57">
        <v>4.761133603238866</v>
      </c>
      <c r="E23" s="56">
        <v>9.5222672064777321</v>
      </c>
      <c r="F23" s="57"/>
      <c r="G23" s="109">
        <v>5.2770626146364448</v>
      </c>
      <c r="H23" s="109">
        <v>15.870445344129555</v>
      </c>
      <c r="I23" s="99">
        <v>1.2771473684210528</v>
      </c>
      <c r="J23" s="109">
        <v>2.0840506329113926</v>
      </c>
      <c r="K23" s="107"/>
      <c r="L23" s="9">
        <f t="shared" si="0"/>
        <v>163.03352773066288</v>
      </c>
      <c r="M23" s="9">
        <f t="shared" si="1"/>
        <v>0</v>
      </c>
      <c r="N23" s="9">
        <f t="shared" si="2"/>
        <v>23.805668016194332</v>
      </c>
      <c r="O23" s="9">
        <f t="shared" si="3"/>
        <v>28.566801619433196</v>
      </c>
      <c r="P23" s="9">
        <f t="shared" si="4"/>
        <v>0</v>
      </c>
      <c r="Q23" s="9">
        <f t="shared" si="5"/>
        <v>15.831187843909333</v>
      </c>
      <c r="R23" s="9">
        <f t="shared" si="6"/>
        <v>20.631578947368421</v>
      </c>
      <c r="S23" s="9">
        <f t="shared" si="6"/>
        <v>1.6602915789473687</v>
      </c>
      <c r="T23" s="9">
        <f t="shared" si="7"/>
        <v>6.2521518987341782</v>
      </c>
      <c r="U23" s="107"/>
      <c r="V23" s="117">
        <f t="shared" si="8"/>
        <v>259.7812076352497</v>
      </c>
      <c r="W23" s="114">
        <f t="shared" si="12"/>
        <v>0.14321490439119031</v>
      </c>
      <c r="X23" s="107">
        <f t="shared" si="10"/>
        <v>303.20462968681289</v>
      </c>
      <c r="Y23" s="107">
        <v>303.86927939252308</v>
      </c>
      <c r="Z23" s="9">
        <f t="shared" si="11"/>
        <v>38.674059909032259</v>
      </c>
      <c r="AA23" s="9">
        <f t="shared" si="11"/>
        <v>38.758836657209578</v>
      </c>
    </row>
    <row r="24" spans="1:27" x14ac:dyDescent="0.2">
      <c r="A24" s="6">
        <v>1673</v>
      </c>
      <c r="B24" s="56">
        <v>0.91080183089755806</v>
      </c>
      <c r="C24" s="57"/>
      <c r="D24" s="56">
        <v>4.761133603238866</v>
      </c>
      <c r="E24" s="56">
        <v>5.951417004048583</v>
      </c>
      <c r="F24" s="57"/>
      <c r="G24" s="109">
        <v>5.2770626146364448</v>
      </c>
      <c r="H24" s="109">
        <v>13.291497975708502</v>
      </c>
      <c r="I24" s="99">
        <v>1.0491684210526318</v>
      </c>
      <c r="J24" s="109">
        <v>1.8728509154315607</v>
      </c>
      <c r="K24" s="107"/>
      <c r="L24" s="9">
        <f t="shared" si="0"/>
        <v>163.03352773066288</v>
      </c>
      <c r="M24" s="9">
        <f t="shared" si="1"/>
        <v>0</v>
      </c>
      <c r="N24" s="9">
        <f t="shared" si="2"/>
        <v>23.805668016194332</v>
      </c>
      <c r="O24" s="9">
        <f t="shared" si="3"/>
        <v>17.854251012145749</v>
      </c>
      <c r="P24" s="9">
        <f t="shared" si="4"/>
        <v>0</v>
      </c>
      <c r="Q24" s="9">
        <f t="shared" si="5"/>
        <v>15.831187843909333</v>
      </c>
      <c r="R24" s="9">
        <f t="shared" si="6"/>
        <v>17.278947368421054</v>
      </c>
      <c r="S24" s="9">
        <f t="shared" si="6"/>
        <v>1.3639189473684212</v>
      </c>
      <c r="T24" s="9">
        <f t="shared" si="7"/>
        <v>5.6185527462946823</v>
      </c>
      <c r="U24" s="107"/>
      <c r="V24" s="117">
        <f t="shared" si="8"/>
        <v>244.78605366499647</v>
      </c>
      <c r="W24" s="114">
        <f t="shared" si="12"/>
        <v>0.14321490439119031</v>
      </c>
      <c r="X24" s="107">
        <f t="shared" si="10"/>
        <v>285.70297840096964</v>
      </c>
      <c r="Y24" s="107">
        <v>289.18019419453697</v>
      </c>
      <c r="Z24" s="9">
        <f t="shared" si="11"/>
        <v>36.441706428695106</v>
      </c>
      <c r="AA24" s="9">
        <f t="shared" si="11"/>
        <v>36.885228851344003</v>
      </c>
    </row>
    <row r="25" spans="1:27" x14ac:dyDescent="0.2">
      <c r="A25" s="6">
        <v>1674</v>
      </c>
      <c r="B25" s="56">
        <v>0.91080183089755806</v>
      </c>
      <c r="C25" s="57"/>
      <c r="D25" s="57"/>
      <c r="E25" s="56">
        <v>5.951417004048583</v>
      </c>
      <c r="F25" s="57"/>
      <c r="G25" s="109">
        <v>5.2770626146364448</v>
      </c>
      <c r="H25" s="109">
        <v>12.696356275303645</v>
      </c>
      <c r="I25" s="113">
        <v>1.0616666666666668</v>
      </c>
      <c r="J25" s="109">
        <v>2.3308108108108114</v>
      </c>
      <c r="K25" s="107"/>
      <c r="L25" s="9">
        <f t="shared" si="0"/>
        <v>163.03352773066288</v>
      </c>
      <c r="M25" s="9">
        <f t="shared" si="1"/>
        <v>0</v>
      </c>
      <c r="N25" s="9">
        <f t="shared" si="2"/>
        <v>0</v>
      </c>
      <c r="O25" s="9">
        <f t="shared" si="3"/>
        <v>17.854251012145749</v>
      </c>
      <c r="P25" s="9">
        <f t="shared" si="4"/>
        <v>0</v>
      </c>
      <c r="Q25" s="9">
        <f t="shared" si="5"/>
        <v>15.831187843909333</v>
      </c>
      <c r="R25" s="9">
        <f t="shared" si="6"/>
        <v>16.505263157894738</v>
      </c>
      <c r="S25" s="9">
        <f t="shared" si="6"/>
        <v>1.3801666666666668</v>
      </c>
      <c r="T25" s="9">
        <f t="shared" si="7"/>
        <v>6.9924324324324338</v>
      </c>
      <c r="U25" s="107"/>
      <c r="V25" s="117">
        <f t="shared" si="8"/>
        <v>221.59682884371179</v>
      </c>
      <c r="W25" s="114">
        <f>$M$2+$P$2+$N$2</f>
        <v>0.22186272236799892</v>
      </c>
      <c r="X25" s="107">
        <f t="shared" si="10"/>
        <v>284.77857983885207</v>
      </c>
      <c r="Y25" s="107">
        <v>290.0520988742644</v>
      </c>
      <c r="Z25" s="9">
        <f t="shared" si="11"/>
        <v>36.323798448833173</v>
      </c>
      <c r="AA25" s="9">
        <f t="shared" si="11"/>
        <v>36.996441182941886</v>
      </c>
    </row>
    <row r="26" spans="1:27" x14ac:dyDescent="0.2">
      <c r="A26" s="6">
        <v>1675</v>
      </c>
      <c r="B26" s="57">
        <v>0.81972164780780221</v>
      </c>
      <c r="C26" s="57"/>
      <c r="D26" s="57"/>
      <c r="E26" s="57">
        <v>5.951417004048583</v>
      </c>
      <c r="F26" s="57"/>
      <c r="G26" s="55">
        <f>G25+($G$27-$G$25)/2</f>
        <v>5.2770626146364448</v>
      </c>
      <c r="H26" s="55">
        <f>H25+($H$27-$H$25)/2</f>
        <v>14.331360946745562</v>
      </c>
      <c r="I26" s="55">
        <f>I25+($I$27-$I$25)/2</f>
        <v>1.0616666666666668</v>
      </c>
      <c r="J26" s="55">
        <f>J25+($J$27-$J$25)/2</f>
        <v>2.2248648648648652</v>
      </c>
      <c r="K26" s="107"/>
      <c r="L26" s="9">
        <f t="shared" si="0"/>
        <v>146.7301749575966</v>
      </c>
      <c r="M26" s="9">
        <f t="shared" si="1"/>
        <v>0</v>
      </c>
      <c r="N26" s="9">
        <f t="shared" si="2"/>
        <v>0</v>
      </c>
      <c r="O26" s="9">
        <f t="shared" si="3"/>
        <v>17.854251012145749</v>
      </c>
      <c r="P26" s="9">
        <f t="shared" si="4"/>
        <v>0</v>
      </c>
      <c r="Q26" s="9">
        <f t="shared" si="5"/>
        <v>15.831187843909333</v>
      </c>
      <c r="R26" s="9">
        <f t="shared" si="6"/>
        <v>18.630769230769232</v>
      </c>
      <c r="S26" s="9">
        <f t="shared" si="6"/>
        <v>1.3801666666666668</v>
      </c>
      <c r="T26" s="9">
        <f t="shared" si="7"/>
        <v>6.6745945945945957</v>
      </c>
      <c r="U26" s="107"/>
      <c r="V26" s="117">
        <f t="shared" si="8"/>
        <v>207.10114430568217</v>
      </c>
      <c r="W26" s="114">
        <f t="shared" ref="W26:W28" si="13">$M$2+$P$2+$N$2</f>
        <v>0.22186272236799892</v>
      </c>
      <c r="X26" s="107">
        <f t="shared" si="10"/>
        <v>266.14988159406118</v>
      </c>
      <c r="Y26" s="107">
        <v>275.81187582105258</v>
      </c>
      <c r="Z26" s="9">
        <f t="shared" si="11"/>
        <v>33.947688978834336</v>
      </c>
      <c r="AA26" s="9">
        <f t="shared" si="11"/>
        <v>35.180086201664871</v>
      </c>
    </row>
    <row r="27" spans="1:27" x14ac:dyDescent="0.2">
      <c r="A27" s="6">
        <v>1676</v>
      </c>
      <c r="B27" s="56">
        <v>0.72864146471804636</v>
      </c>
      <c r="C27" s="57"/>
      <c r="D27" s="57"/>
      <c r="E27" s="56">
        <v>5.951417004048583</v>
      </c>
      <c r="F27" s="57"/>
      <c r="G27" s="109">
        <v>5.2770626146364448</v>
      </c>
      <c r="H27" s="109">
        <v>15.966365618187481</v>
      </c>
      <c r="I27" s="113">
        <v>1.0616666666666668</v>
      </c>
      <c r="J27" s="109">
        <v>2.1189189189189195</v>
      </c>
      <c r="K27" s="107"/>
      <c r="L27" s="9">
        <f t="shared" si="0"/>
        <v>130.42682218453029</v>
      </c>
      <c r="M27" s="9">
        <f t="shared" si="1"/>
        <v>0</v>
      </c>
      <c r="N27" s="9">
        <f t="shared" si="2"/>
        <v>0</v>
      </c>
      <c r="O27" s="9">
        <f t="shared" si="3"/>
        <v>17.854251012145749</v>
      </c>
      <c r="P27" s="9">
        <f t="shared" si="4"/>
        <v>0</v>
      </c>
      <c r="Q27" s="9">
        <f t="shared" si="5"/>
        <v>15.831187843909333</v>
      </c>
      <c r="R27" s="9">
        <f t="shared" si="6"/>
        <v>20.756275303643726</v>
      </c>
      <c r="S27" s="9">
        <f t="shared" si="6"/>
        <v>1.3801666666666668</v>
      </c>
      <c r="T27" s="9">
        <f t="shared" si="7"/>
        <v>6.3567567567567584</v>
      </c>
      <c r="U27" s="107"/>
      <c r="V27" s="117">
        <f t="shared" si="8"/>
        <v>192.60545976765252</v>
      </c>
      <c r="W27" s="114">
        <f t="shared" si="13"/>
        <v>0.22186272236799892</v>
      </c>
      <c r="X27" s="107">
        <f t="shared" si="10"/>
        <v>247.52118334927025</v>
      </c>
      <c r="Y27" s="107">
        <v>261.5716527678407</v>
      </c>
      <c r="Z27" s="9">
        <f t="shared" si="11"/>
        <v>31.571579508835491</v>
      </c>
      <c r="AA27" s="9">
        <f t="shared" si="11"/>
        <v>33.363731220387848</v>
      </c>
    </row>
    <row r="28" spans="1:27" x14ac:dyDescent="0.2">
      <c r="A28" s="6">
        <v>1677</v>
      </c>
      <c r="B28" s="56">
        <v>0.72864146471804636</v>
      </c>
      <c r="C28" s="57"/>
      <c r="D28" s="57"/>
      <c r="E28" s="56">
        <v>5.951417004048583</v>
      </c>
      <c r="F28" s="57"/>
      <c r="G28" s="109">
        <v>5.2770626146364448</v>
      </c>
      <c r="H28" s="109">
        <v>16.267206477732792</v>
      </c>
      <c r="I28" s="113">
        <v>0.51041666666666674</v>
      </c>
      <c r="J28" s="109">
        <v>2.0840506329113926</v>
      </c>
      <c r="K28" s="107"/>
      <c r="L28" s="9">
        <f t="shared" si="0"/>
        <v>130.42682218453029</v>
      </c>
      <c r="M28" s="9">
        <f t="shared" si="1"/>
        <v>0</v>
      </c>
      <c r="N28" s="9">
        <f t="shared" si="2"/>
        <v>0</v>
      </c>
      <c r="O28" s="9">
        <f t="shared" si="3"/>
        <v>17.854251012145749</v>
      </c>
      <c r="P28" s="9">
        <f t="shared" si="4"/>
        <v>0</v>
      </c>
      <c r="Q28" s="9">
        <f t="shared" si="5"/>
        <v>15.831187843909333</v>
      </c>
      <c r="R28" s="9">
        <f t="shared" si="6"/>
        <v>21.147368421052629</v>
      </c>
      <c r="S28" s="9">
        <f t="shared" si="6"/>
        <v>0.66354166666666681</v>
      </c>
      <c r="T28" s="9">
        <f t="shared" si="7"/>
        <v>6.2521518987341782</v>
      </c>
      <c r="U28" s="107"/>
      <c r="V28" s="117">
        <f t="shared" si="8"/>
        <v>192.17532302703884</v>
      </c>
      <c r="W28" s="114">
        <f t="shared" si="13"/>
        <v>0.22186272236799892</v>
      </c>
      <c r="X28" s="107">
        <f t="shared" si="10"/>
        <v>246.96840589858357</v>
      </c>
      <c r="Y28" s="107">
        <v>261.39697751204471</v>
      </c>
      <c r="Z28" s="9">
        <f t="shared" si="11"/>
        <v>31.501072180941783</v>
      </c>
      <c r="AA28" s="9">
        <f t="shared" si="11"/>
        <v>33.341451213271007</v>
      </c>
    </row>
    <row r="29" spans="1:27" x14ac:dyDescent="0.2">
      <c r="A29" s="6">
        <v>1678</v>
      </c>
      <c r="B29" s="57">
        <v>0.81449383117637486</v>
      </c>
      <c r="C29" s="57"/>
      <c r="D29" s="57"/>
      <c r="E29" s="57">
        <v>5.8256578947368425</v>
      </c>
      <c r="F29" s="56">
        <v>5.7324731182795698</v>
      </c>
      <c r="G29" s="55">
        <f>G28+($G$32-$G$28)/4</f>
        <v>5.2518215625893951</v>
      </c>
      <c r="H29" s="109">
        <v>7.84</v>
      </c>
      <c r="I29" s="113">
        <v>1.53125</v>
      </c>
      <c r="J29" s="109"/>
      <c r="K29" s="107"/>
      <c r="L29" s="9">
        <f t="shared" si="0"/>
        <v>145.79439578057111</v>
      </c>
      <c r="M29" s="9">
        <f t="shared" si="1"/>
        <v>0</v>
      </c>
      <c r="N29" s="9">
        <f t="shared" si="2"/>
        <v>0</v>
      </c>
      <c r="O29" s="9">
        <f t="shared" si="3"/>
        <v>17.476973684210527</v>
      </c>
      <c r="P29" s="9">
        <f t="shared" si="4"/>
        <v>7.4522150537634406</v>
      </c>
      <c r="Q29" s="9">
        <f t="shared" si="5"/>
        <v>15.755464687768185</v>
      </c>
      <c r="R29" s="9">
        <f t="shared" si="6"/>
        <v>10.192</v>
      </c>
      <c r="S29" s="9">
        <f t="shared" si="6"/>
        <v>1.9906250000000001</v>
      </c>
      <c r="T29" s="9">
        <f t="shared" si="7"/>
        <v>0</v>
      </c>
      <c r="U29" s="107"/>
      <c r="V29" s="117">
        <f t="shared" si="8"/>
        <v>198.66167420631325</v>
      </c>
      <c r="W29" s="114">
        <f>$M$2+$P$2+$N$2+$T$2</f>
        <v>0.26368865639408223</v>
      </c>
      <c r="X29" s="107">
        <f t="shared" si="10"/>
        <v>269.80661907694207</v>
      </c>
      <c r="Y29" s="107">
        <v>266.92377448946212</v>
      </c>
      <c r="Z29" s="9">
        <f t="shared" si="11"/>
        <v>34.414109576140568</v>
      </c>
      <c r="AA29" s="9">
        <f t="shared" si="11"/>
        <v>34.046399807329351</v>
      </c>
    </row>
    <row r="30" spans="1:27" x14ac:dyDescent="0.2">
      <c r="A30" s="6">
        <v>1679</v>
      </c>
      <c r="B30" s="57">
        <v>0.90034619763470336</v>
      </c>
      <c r="C30" s="57"/>
      <c r="D30" s="57"/>
      <c r="E30" s="57">
        <v>5.699898785425102</v>
      </c>
      <c r="F30" s="57">
        <f>F29+($F$32-$F$29)/3</f>
        <v>5.6591636798088407</v>
      </c>
      <c r="G30" s="55">
        <f>G29+($G$32-$G$28)/4</f>
        <v>5.2265805105423455</v>
      </c>
      <c r="H30" s="55">
        <f>H29+($H$32-$H$29)/3</f>
        <v>8.145441970310392</v>
      </c>
      <c r="I30" s="55">
        <f>I29+($I$32-$I$29)/3</f>
        <v>1.4137066814994605</v>
      </c>
      <c r="J30" s="109"/>
      <c r="K30" s="107"/>
      <c r="L30" s="9">
        <f t="shared" si="0"/>
        <v>161.16196937661189</v>
      </c>
      <c r="M30" s="9">
        <f t="shared" si="1"/>
        <v>0</v>
      </c>
      <c r="N30" s="9">
        <f t="shared" si="2"/>
        <v>0</v>
      </c>
      <c r="O30" s="9">
        <f t="shared" si="3"/>
        <v>17.099696356275306</v>
      </c>
      <c r="P30" s="9">
        <f t="shared" si="4"/>
        <v>7.3569127837514934</v>
      </c>
      <c r="Q30" s="9">
        <f t="shared" si="5"/>
        <v>15.679741531627037</v>
      </c>
      <c r="R30" s="9">
        <f t="shared" si="6"/>
        <v>10.58907456140351</v>
      </c>
      <c r="S30" s="9">
        <f t="shared" si="6"/>
        <v>1.8378186859492989</v>
      </c>
      <c r="T30" s="9">
        <f t="shared" si="7"/>
        <v>0</v>
      </c>
      <c r="U30" s="107"/>
      <c r="V30" s="117">
        <f t="shared" si="8"/>
        <v>213.72521329561852</v>
      </c>
      <c r="W30" s="114">
        <f t="shared" ref="W30:W32" si="14">$M$2+$P$2+$N$2+$T$2</f>
        <v>0.26368865639408223</v>
      </c>
      <c r="X30" s="107">
        <f t="shared" si="10"/>
        <v>290.26472992925488</v>
      </c>
      <c r="Y30" s="107">
        <v>282.21321034555962</v>
      </c>
      <c r="Z30" s="9">
        <f t="shared" si="11"/>
        <v>37.023562490976389</v>
      </c>
      <c r="AA30" s="9">
        <f t="shared" si="11"/>
        <v>35.996582952239748</v>
      </c>
    </row>
    <row r="31" spans="1:27" x14ac:dyDescent="0.2">
      <c r="A31" s="6">
        <v>1680</v>
      </c>
      <c r="B31" s="57">
        <v>0.98619856409303186</v>
      </c>
      <c r="C31" s="57"/>
      <c r="D31" s="57"/>
      <c r="E31" s="57">
        <v>5.5741396761133615</v>
      </c>
      <c r="F31" s="57">
        <f>F30+($F$32-$F$29)/3</f>
        <v>5.5858542413381116</v>
      </c>
      <c r="G31" s="55">
        <f>G30+($G$32-$G$28)/4</f>
        <v>5.2013394584952959</v>
      </c>
      <c r="H31" s="55">
        <f>H30+($H$32-$H$29)/3</f>
        <v>8.4508839406207841</v>
      </c>
      <c r="I31" s="55">
        <f>I30+($I$32-$I$29)/3</f>
        <v>1.2961633629989211</v>
      </c>
      <c r="J31" s="109"/>
      <c r="K31" s="107"/>
      <c r="L31" s="9">
        <f t="shared" si="0"/>
        <v>176.52954297265271</v>
      </c>
      <c r="M31" s="9">
        <f t="shared" si="1"/>
        <v>0</v>
      </c>
      <c r="N31" s="9">
        <f t="shared" si="2"/>
        <v>0</v>
      </c>
      <c r="O31" s="9">
        <f t="shared" si="3"/>
        <v>16.722419028340084</v>
      </c>
      <c r="P31" s="9">
        <f t="shared" si="4"/>
        <v>7.2616105137395452</v>
      </c>
      <c r="Q31" s="9">
        <f t="shared" si="5"/>
        <v>15.604018375485888</v>
      </c>
      <c r="R31" s="9">
        <f t="shared" si="6"/>
        <v>10.986149122807019</v>
      </c>
      <c r="S31" s="9">
        <f t="shared" si="6"/>
        <v>1.6850123718985974</v>
      </c>
      <c r="T31" s="9">
        <f t="shared" si="7"/>
        <v>0</v>
      </c>
      <c r="U31" s="107"/>
      <c r="V31" s="117">
        <f t="shared" si="8"/>
        <v>228.78875238492384</v>
      </c>
      <c r="W31" s="114">
        <f t="shared" si="14"/>
        <v>0.26368865639408223</v>
      </c>
      <c r="X31" s="107">
        <f t="shared" si="10"/>
        <v>310.72284078156781</v>
      </c>
      <c r="Y31" s="107">
        <v>297.50264620165723</v>
      </c>
      <c r="Z31" s="9">
        <f t="shared" si="11"/>
        <v>39.633015405812223</v>
      </c>
      <c r="AA31" s="9">
        <f t="shared" si="11"/>
        <v>37.94676609715016</v>
      </c>
    </row>
    <row r="32" spans="1:27" x14ac:dyDescent="0.2">
      <c r="A32" s="6">
        <v>1681</v>
      </c>
      <c r="B32" s="56">
        <v>1.0720509305513604</v>
      </c>
      <c r="C32" s="57"/>
      <c r="D32" s="57"/>
      <c r="E32" s="56">
        <v>5.4483805668016192</v>
      </c>
      <c r="F32" s="56">
        <v>5.5125448028673834</v>
      </c>
      <c r="G32" s="109">
        <v>5.1760984064482471</v>
      </c>
      <c r="H32" s="109">
        <v>8.7563259109311762</v>
      </c>
      <c r="I32" s="113">
        <v>1.1786200444983819</v>
      </c>
      <c r="J32" s="109"/>
      <c r="K32" s="107"/>
      <c r="L32" s="9">
        <f t="shared" si="0"/>
        <v>191.89711656869349</v>
      </c>
      <c r="M32" s="9">
        <f t="shared" si="1"/>
        <v>0</v>
      </c>
      <c r="N32" s="9">
        <f t="shared" si="2"/>
        <v>0</v>
      </c>
      <c r="O32" s="9">
        <f t="shared" si="3"/>
        <v>16.345141700404859</v>
      </c>
      <c r="P32" s="9">
        <f t="shared" si="4"/>
        <v>7.1663082437275989</v>
      </c>
      <c r="Q32" s="9">
        <f t="shared" si="5"/>
        <v>15.528295219344741</v>
      </c>
      <c r="R32" s="9">
        <f t="shared" si="6"/>
        <v>11.383223684210529</v>
      </c>
      <c r="S32" s="9">
        <f t="shared" si="6"/>
        <v>1.5322060578478964</v>
      </c>
      <c r="T32" s="9">
        <f t="shared" si="7"/>
        <v>0</v>
      </c>
      <c r="U32" s="107"/>
      <c r="V32" s="117">
        <f t="shared" si="8"/>
        <v>243.85229147422913</v>
      </c>
      <c r="W32" s="114">
        <f t="shared" si="14"/>
        <v>0.26368865639408223</v>
      </c>
      <c r="X32" s="107">
        <f t="shared" si="10"/>
        <v>331.18095163388068</v>
      </c>
      <c r="Y32" s="107">
        <v>312.79208205775467</v>
      </c>
      <c r="Z32" s="9">
        <f t="shared" si="11"/>
        <v>42.242468320648044</v>
      </c>
      <c r="AA32" s="9">
        <f t="shared" si="11"/>
        <v>39.896949242060543</v>
      </c>
    </row>
    <row r="33" spans="1:27" x14ac:dyDescent="0.2">
      <c r="A33" s="6">
        <v>1682</v>
      </c>
      <c r="B33" s="56">
        <v>0.98271335300541374</v>
      </c>
      <c r="C33" s="57"/>
      <c r="D33" s="56">
        <v>4.6700404858299596</v>
      </c>
      <c r="E33" s="56">
        <v>5.4483805668016192</v>
      </c>
      <c r="F33" s="57">
        <f>F32+($F$34-$F$32)/2</f>
        <v>5.5125448028673834</v>
      </c>
      <c r="G33" s="109">
        <v>5.1760984064482471</v>
      </c>
      <c r="H33" s="109">
        <v>8.3185096153846168</v>
      </c>
      <c r="I33" s="55">
        <f>I32+($I$34-$I$32)/2</f>
        <v>1.1786200444983819</v>
      </c>
      <c r="J33" s="109"/>
      <c r="K33" s="107"/>
      <c r="L33" s="9">
        <f t="shared" si="0"/>
        <v>175.90569018796907</v>
      </c>
      <c r="M33" s="9">
        <f t="shared" si="1"/>
        <v>0</v>
      </c>
      <c r="N33" s="9">
        <f t="shared" si="2"/>
        <v>23.350202429149796</v>
      </c>
      <c r="O33" s="9">
        <f t="shared" si="3"/>
        <v>16.345141700404859</v>
      </c>
      <c r="P33" s="9">
        <f t="shared" si="4"/>
        <v>7.1663082437275989</v>
      </c>
      <c r="Q33" s="9">
        <f t="shared" si="5"/>
        <v>15.528295219344741</v>
      </c>
      <c r="R33" s="9">
        <f t="shared" si="6"/>
        <v>10.814062500000002</v>
      </c>
      <c r="S33" s="9">
        <f t="shared" si="6"/>
        <v>1.5322060578478964</v>
      </c>
      <c r="T33" s="9">
        <f t="shared" si="7"/>
        <v>0</v>
      </c>
      <c r="U33" s="107"/>
      <c r="V33" s="117">
        <f t="shared" si="8"/>
        <v>250.64190633844396</v>
      </c>
      <c r="W33" s="114">
        <f>$M$2+$T$2</f>
        <v>0.15640600130308663</v>
      </c>
      <c r="X33" s="107">
        <f t="shared" si="10"/>
        <v>297.11200734666988</v>
      </c>
      <c r="Y33" s="107">
        <v>296.457391259612</v>
      </c>
      <c r="Z33" s="9">
        <f t="shared" si="11"/>
        <v>37.896939712585443</v>
      </c>
      <c r="AA33" s="9">
        <f t="shared" si="11"/>
        <v>37.813442762705613</v>
      </c>
    </row>
    <row r="34" spans="1:27" x14ac:dyDescent="0.2">
      <c r="A34" s="6">
        <v>1683</v>
      </c>
      <c r="B34" s="56">
        <v>1.0720509305513604</v>
      </c>
      <c r="C34" s="57"/>
      <c r="D34" s="56">
        <v>4.6700404858299596</v>
      </c>
      <c r="E34" s="56">
        <v>5.4483805668016192</v>
      </c>
      <c r="F34" s="56">
        <v>5.5125448028673834</v>
      </c>
      <c r="G34" s="109">
        <v>5.1760984064482471</v>
      </c>
      <c r="H34" s="109">
        <v>8.3185096153846168</v>
      </c>
      <c r="I34" s="113">
        <v>1.1786200444983819</v>
      </c>
      <c r="J34" s="109"/>
      <c r="K34" s="107"/>
      <c r="L34" s="9">
        <f t="shared" si="0"/>
        <v>191.89711656869349</v>
      </c>
      <c r="M34" s="9">
        <f t="shared" si="1"/>
        <v>0</v>
      </c>
      <c r="N34" s="9">
        <f t="shared" si="2"/>
        <v>23.350202429149796</v>
      </c>
      <c r="O34" s="9">
        <f t="shared" si="3"/>
        <v>16.345141700404859</v>
      </c>
      <c r="P34" s="9">
        <f t="shared" si="4"/>
        <v>7.1663082437275989</v>
      </c>
      <c r="Q34" s="9">
        <f t="shared" si="5"/>
        <v>15.528295219344741</v>
      </c>
      <c r="R34" s="9">
        <f t="shared" si="6"/>
        <v>10.814062500000002</v>
      </c>
      <c r="S34" s="9">
        <f t="shared" si="6"/>
        <v>1.5322060578478964</v>
      </c>
      <c r="T34" s="9">
        <f t="shared" si="7"/>
        <v>0</v>
      </c>
      <c r="U34" s="107"/>
      <c r="V34" s="117">
        <f t="shared" si="8"/>
        <v>266.63333271916832</v>
      </c>
      <c r="W34" s="114">
        <f>$M$2+$T$2</f>
        <v>0.15640600130308663</v>
      </c>
      <c r="X34" s="107">
        <f t="shared" si="10"/>
        <v>316.06831382280183</v>
      </c>
      <c r="Y34" s="107">
        <v>312.72532169457804</v>
      </c>
      <c r="Z34" s="9">
        <f t="shared" si="11"/>
        <v>40.314835946785948</v>
      </c>
      <c r="AA34" s="9">
        <f t="shared" si="11"/>
        <v>39.888433889614547</v>
      </c>
    </row>
    <row r="35" spans="1:27" x14ac:dyDescent="0.2">
      <c r="A35" s="6">
        <v>1684</v>
      </c>
      <c r="B35" s="56">
        <v>0.98271335300541374</v>
      </c>
      <c r="C35" s="57"/>
      <c r="D35" s="56">
        <v>4.6700404858299596</v>
      </c>
      <c r="E35" s="56">
        <v>5.4483805668016192</v>
      </c>
      <c r="F35" s="56">
        <v>5.5125448028673834</v>
      </c>
      <c r="G35" s="109">
        <v>5.4996045568512635</v>
      </c>
      <c r="H35" s="109">
        <v>10.313006072874495</v>
      </c>
      <c r="I35" s="113">
        <v>1.1786200444983819</v>
      </c>
      <c r="J35" s="109"/>
      <c r="K35" s="107"/>
      <c r="L35" s="9">
        <f t="shared" si="0"/>
        <v>175.90569018796907</v>
      </c>
      <c r="M35" s="9">
        <f t="shared" si="1"/>
        <v>0</v>
      </c>
      <c r="N35" s="9">
        <f t="shared" si="2"/>
        <v>23.350202429149796</v>
      </c>
      <c r="O35" s="9">
        <f t="shared" si="3"/>
        <v>16.345141700404859</v>
      </c>
      <c r="P35" s="9">
        <f t="shared" si="4"/>
        <v>7.1663082437275989</v>
      </c>
      <c r="Q35" s="9">
        <f t="shared" si="5"/>
        <v>16.49881367055379</v>
      </c>
      <c r="R35" s="9">
        <f t="shared" si="6"/>
        <v>13.406907894736845</v>
      </c>
      <c r="S35" s="9">
        <f t="shared" si="6"/>
        <v>1.5322060578478964</v>
      </c>
      <c r="T35" s="9">
        <f t="shared" si="7"/>
        <v>0</v>
      </c>
      <c r="U35" s="107"/>
      <c r="V35" s="117">
        <f t="shared" si="8"/>
        <v>254.20527018438986</v>
      </c>
      <c r="W35" s="114">
        <f>$M$2+$T$2</f>
        <v>0.15640600130308663</v>
      </c>
      <c r="X35" s="107">
        <f t="shared" si="10"/>
        <v>301.33603436849575</v>
      </c>
      <c r="Y35" s="107">
        <v>300.57376321404115</v>
      </c>
      <c r="Z35" s="9">
        <f t="shared" si="11"/>
        <v>38.435718669450992</v>
      </c>
      <c r="AA35" s="9">
        <f t="shared" si="11"/>
        <v>38.338490205872596</v>
      </c>
    </row>
    <row r="36" spans="1:27" x14ac:dyDescent="0.2">
      <c r="A36" s="6">
        <v>1685</v>
      </c>
      <c r="B36" s="56">
        <v>0.8755082599502777</v>
      </c>
      <c r="C36" s="57"/>
      <c r="D36" s="56">
        <v>4.6700404858299596</v>
      </c>
      <c r="E36" s="56">
        <v>8.1725708502024297</v>
      </c>
      <c r="F36" s="56">
        <v>10.473835125448028</v>
      </c>
      <c r="G36" s="109">
        <v>5.1760984064482471</v>
      </c>
      <c r="H36" s="109">
        <v>13.021934786060175</v>
      </c>
      <c r="I36" s="113">
        <v>1.4619010416666669</v>
      </c>
      <c r="J36" s="109">
        <v>2.0441772151898738</v>
      </c>
      <c r="K36" s="107"/>
      <c r="L36" s="9">
        <f t="shared" si="0"/>
        <v>156.71597853109972</v>
      </c>
      <c r="M36" s="9">
        <f t="shared" si="1"/>
        <v>0</v>
      </c>
      <c r="N36" s="9">
        <f t="shared" si="2"/>
        <v>23.350202429149796</v>
      </c>
      <c r="O36" s="9">
        <f t="shared" si="3"/>
        <v>24.517712550607289</v>
      </c>
      <c r="P36" s="9">
        <f t="shared" si="4"/>
        <v>13.615985663082437</v>
      </c>
      <c r="Q36" s="9">
        <f t="shared" si="5"/>
        <v>15.528295219344741</v>
      </c>
      <c r="R36" s="9">
        <f t="shared" si="6"/>
        <v>16.928515221878229</v>
      </c>
      <c r="S36" s="9">
        <f t="shared" si="6"/>
        <v>1.9004713541666671</v>
      </c>
      <c r="T36" s="9">
        <f t="shared" si="7"/>
        <v>6.132531645569621</v>
      </c>
      <c r="U36" s="107"/>
      <c r="V36" s="117">
        <f t="shared" si="8"/>
        <v>258.68969261489843</v>
      </c>
      <c r="W36" s="114">
        <f>M2</f>
        <v>0.1145800672770033</v>
      </c>
      <c r="X36" s="107">
        <f t="shared" si="10"/>
        <v>292.16610452774773</v>
      </c>
      <c r="Y36" s="107">
        <v>299.20215805322186</v>
      </c>
      <c r="Z36" s="9">
        <f t="shared" si="11"/>
        <v>37.26608476119231</v>
      </c>
      <c r="AA36" s="9">
        <f t="shared" si="11"/>
        <v>38.163540568012991</v>
      </c>
    </row>
    <row r="37" spans="1:27" x14ac:dyDescent="0.2">
      <c r="A37" s="6">
        <v>1686</v>
      </c>
      <c r="B37" s="56">
        <v>0.893375775459467</v>
      </c>
      <c r="C37" s="57"/>
      <c r="D37" s="57">
        <v>4.6700404858299596</v>
      </c>
      <c r="E37" s="57">
        <v>7.5239541160593797</v>
      </c>
      <c r="F37" s="56">
        <v>5.6227956989247314</v>
      </c>
      <c r="G37" s="109">
        <v>5.1760984064482471</v>
      </c>
      <c r="H37" s="109">
        <v>13.143610039220649</v>
      </c>
      <c r="I37" s="113">
        <v>0.50065104166666674</v>
      </c>
      <c r="J37" s="109">
        <v>2.0441772151898738</v>
      </c>
      <c r="K37" s="107"/>
      <c r="L37" s="9">
        <f t="shared" si="0"/>
        <v>159.91426380724459</v>
      </c>
      <c r="M37" s="9">
        <f t="shared" si="1"/>
        <v>0</v>
      </c>
      <c r="N37" s="9">
        <f t="shared" si="2"/>
        <v>23.350202429149796</v>
      </c>
      <c r="O37" s="9">
        <f t="shared" si="3"/>
        <v>22.57186234817814</v>
      </c>
      <c r="P37" s="9">
        <f t="shared" si="4"/>
        <v>7.3096344086021512</v>
      </c>
      <c r="Q37" s="9">
        <f t="shared" si="5"/>
        <v>15.528295219344741</v>
      </c>
      <c r="R37" s="9">
        <f t="shared" si="6"/>
        <v>17.086693050986845</v>
      </c>
      <c r="S37" s="9">
        <f t="shared" si="6"/>
        <v>0.65084635416666681</v>
      </c>
      <c r="T37" s="9">
        <f t="shared" si="7"/>
        <v>6.132531645569621</v>
      </c>
      <c r="U37" s="107"/>
      <c r="V37" s="117">
        <f t="shared" si="8"/>
        <v>252.54432926324256</v>
      </c>
      <c r="W37" s="114">
        <f>M2</f>
        <v>0.1145800672770033</v>
      </c>
      <c r="X37" s="107">
        <f t="shared" si="10"/>
        <v>285.22548446201625</v>
      </c>
      <c r="Y37" s="107">
        <v>293.34825128745319</v>
      </c>
      <c r="Z37" s="9">
        <f t="shared" si="11"/>
        <v>36.380801589542891</v>
      </c>
      <c r="AA37" s="9">
        <f t="shared" si="11"/>
        <v>37.416868786664949</v>
      </c>
    </row>
    <row r="38" spans="1:27" x14ac:dyDescent="0.2">
      <c r="A38" s="6">
        <v>1687</v>
      </c>
      <c r="B38" s="57">
        <v>0.893375775459467</v>
      </c>
      <c r="C38" s="57"/>
      <c r="D38" s="57">
        <v>4.6700404858299596</v>
      </c>
      <c r="E38" s="57">
        <v>6.8753373819163297</v>
      </c>
      <c r="F38" s="57"/>
      <c r="G38" s="55">
        <f>G37+($G$40-$G$37)/3</f>
        <v>4.4068726710455213</v>
      </c>
      <c r="H38" s="55">
        <f>H37+($H$40-$H$37)/3</f>
        <v>13.432447178643725</v>
      </c>
      <c r="I38" s="55">
        <f>I37+($I$39-$I$37)/2</f>
        <v>0.50065104166666674</v>
      </c>
      <c r="J38" s="55">
        <f>J37+($J$39-$J$37)/2</f>
        <v>2.0441772151898738</v>
      </c>
      <c r="K38" s="107"/>
      <c r="L38" s="9">
        <f t="shared" si="0"/>
        <v>159.91426380724459</v>
      </c>
      <c r="M38" s="9">
        <f t="shared" si="1"/>
        <v>0</v>
      </c>
      <c r="N38" s="9">
        <f t="shared" si="2"/>
        <v>23.350202429149796</v>
      </c>
      <c r="O38" s="9">
        <f t="shared" si="3"/>
        <v>20.626012145748987</v>
      </c>
      <c r="P38" s="9">
        <f t="shared" si="4"/>
        <v>0</v>
      </c>
      <c r="Q38" s="9">
        <f t="shared" si="5"/>
        <v>13.220618013136564</v>
      </c>
      <c r="R38" s="9">
        <f t="shared" si="6"/>
        <v>17.462181332236845</v>
      </c>
      <c r="S38" s="9">
        <f t="shared" si="6"/>
        <v>0.65084635416666681</v>
      </c>
      <c r="T38" s="9">
        <f t="shared" si="7"/>
        <v>6.132531645569621</v>
      </c>
      <c r="U38" s="107"/>
      <c r="V38" s="117">
        <f t="shared" si="8"/>
        <v>241.3566557272531</v>
      </c>
      <c r="W38" s="114">
        <f>M2+P2</f>
        <v>0.14321490439119031</v>
      </c>
      <c r="X38" s="107">
        <f t="shared" si="10"/>
        <v>281.7003434866607</v>
      </c>
      <c r="Y38" s="107">
        <v>289.91150973650372</v>
      </c>
      <c r="Z38" s="9">
        <f t="shared" si="11"/>
        <v>35.931166261053662</v>
      </c>
      <c r="AA38" s="9">
        <f t="shared" si="11"/>
        <v>36.978508894962211</v>
      </c>
    </row>
    <row r="39" spans="1:27" x14ac:dyDescent="0.2">
      <c r="A39" s="6">
        <v>1688</v>
      </c>
      <c r="B39" s="56">
        <v>0.893375775459467</v>
      </c>
      <c r="C39" s="57"/>
      <c r="D39" s="56">
        <v>4.6700404858299596</v>
      </c>
      <c r="E39" s="56">
        <v>6.2267206477732806</v>
      </c>
      <c r="F39" s="57"/>
      <c r="G39" s="55">
        <f>G38+($G$40-$G$37)/3</f>
        <v>3.6376469356427958</v>
      </c>
      <c r="H39" s="55">
        <f>H38+($H$40-$H$37)/3</f>
        <v>13.721284318066802</v>
      </c>
      <c r="I39" s="113">
        <v>0.50065104166666674</v>
      </c>
      <c r="J39" s="109">
        <v>2.0441772151898738</v>
      </c>
      <c r="K39" s="107"/>
      <c r="L39" s="9">
        <f t="shared" si="0"/>
        <v>159.91426380724459</v>
      </c>
      <c r="M39" s="9">
        <f t="shared" si="1"/>
        <v>0</v>
      </c>
      <c r="N39" s="9">
        <f t="shared" si="2"/>
        <v>23.350202429149796</v>
      </c>
      <c r="O39" s="9">
        <f t="shared" si="3"/>
        <v>18.680161943319842</v>
      </c>
      <c r="P39" s="9">
        <f t="shared" si="4"/>
        <v>0</v>
      </c>
      <c r="Q39" s="9">
        <f t="shared" si="5"/>
        <v>10.912940806928388</v>
      </c>
      <c r="R39" s="9">
        <f t="shared" si="6"/>
        <v>17.837669613486842</v>
      </c>
      <c r="S39" s="9">
        <f t="shared" si="6"/>
        <v>0.65084635416666681</v>
      </c>
      <c r="T39" s="9">
        <f t="shared" si="7"/>
        <v>6.132531645569621</v>
      </c>
      <c r="U39" s="107"/>
      <c r="V39" s="117">
        <f t="shared" si="8"/>
        <v>237.47861659986575</v>
      </c>
      <c r="W39" s="114">
        <f>M2+P2</f>
        <v>0.14321490439119031</v>
      </c>
      <c r="X39" s="107">
        <f t="shared" si="10"/>
        <v>277.17407529261408</v>
      </c>
      <c r="Y39" s="107">
        <v>286.47476818555424</v>
      </c>
      <c r="Z39" s="9">
        <f t="shared" si="11"/>
        <v>35.353836134262004</v>
      </c>
      <c r="AA39" s="9">
        <f t="shared" si="11"/>
        <v>36.540149003259472</v>
      </c>
    </row>
    <row r="40" spans="1:27" x14ac:dyDescent="0.2">
      <c r="A40" s="6">
        <v>1689</v>
      </c>
      <c r="B40" s="56">
        <v>1.0720509305513604</v>
      </c>
      <c r="C40" s="57"/>
      <c r="D40" s="57">
        <v>4.4754554655870447</v>
      </c>
      <c r="E40" s="56">
        <v>5.4483805668016192</v>
      </c>
      <c r="F40" s="57"/>
      <c r="G40" s="109">
        <v>2.8684212002400704</v>
      </c>
      <c r="H40" s="109">
        <v>14.010121457489879</v>
      </c>
      <c r="I40" s="113">
        <v>0.48062500000000014</v>
      </c>
      <c r="J40" s="55">
        <f>J39+($J$41-$J$39)/2</f>
        <v>2.0441772151898738</v>
      </c>
      <c r="K40" s="107"/>
      <c r="L40" s="9">
        <f t="shared" si="0"/>
        <v>191.89711656869349</v>
      </c>
      <c r="M40" s="9">
        <f t="shared" si="1"/>
        <v>0</v>
      </c>
      <c r="N40" s="9">
        <f t="shared" si="2"/>
        <v>22.377277327935225</v>
      </c>
      <c r="O40" s="9">
        <f t="shared" si="3"/>
        <v>16.345141700404859</v>
      </c>
      <c r="P40" s="9">
        <f t="shared" si="4"/>
        <v>0</v>
      </c>
      <c r="Q40" s="9">
        <f t="shared" si="5"/>
        <v>8.6052636007202103</v>
      </c>
      <c r="R40" s="9">
        <f t="shared" si="6"/>
        <v>18.213157894736842</v>
      </c>
      <c r="S40" s="9">
        <f t="shared" si="6"/>
        <v>0.62481250000000021</v>
      </c>
      <c r="T40" s="9">
        <f t="shared" si="7"/>
        <v>6.132531645569621</v>
      </c>
      <c r="U40" s="107"/>
      <c r="V40" s="117">
        <f t="shared" si="8"/>
        <v>264.19530123806027</v>
      </c>
      <c r="W40" s="114">
        <f>M2+P2</f>
        <v>0.14321490439119031</v>
      </c>
      <c r="X40" s="107">
        <f t="shared" si="10"/>
        <v>308.35655591129279</v>
      </c>
      <c r="Y40" s="107">
        <v>313.63275040018669</v>
      </c>
      <c r="Z40" s="9">
        <f t="shared" si="11"/>
        <v>39.331193356032244</v>
      </c>
      <c r="AA40" s="9">
        <f t="shared" si="11"/>
        <v>40.004177346962592</v>
      </c>
    </row>
    <row r="41" spans="1:27" x14ac:dyDescent="0.2">
      <c r="A41" s="6">
        <v>1690</v>
      </c>
      <c r="B41" s="56">
        <v>0.71470062036757365</v>
      </c>
      <c r="C41" s="57"/>
      <c r="D41" s="56">
        <v>4.2808704453441306</v>
      </c>
      <c r="E41" s="57">
        <v>6.0321356275303639</v>
      </c>
      <c r="F41" s="57"/>
      <c r="G41" s="55"/>
      <c r="H41" s="109">
        <v>14.01012145748988</v>
      </c>
      <c r="I41" s="113">
        <v>0.50065104166666674</v>
      </c>
      <c r="J41" s="109">
        <v>2.0441772151898738</v>
      </c>
      <c r="K41" s="107"/>
      <c r="L41" s="9">
        <f t="shared" si="0"/>
        <v>127.93141104579568</v>
      </c>
      <c r="M41" s="9">
        <f t="shared" si="1"/>
        <v>0</v>
      </c>
      <c r="N41" s="9">
        <f t="shared" si="2"/>
        <v>21.404352226720654</v>
      </c>
      <c r="O41" s="9">
        <f t="shared" si="3"/>
        <v>18.09640688259109</v>
      </c>
      <c r="P41" s="9">
        <f t="shared" si="4"/>
        <v>0</v>
      </c>
      <c r="Q41" s="9">
        <f t="shared" si="5"/>
        <v>0</v>
      </c>
      <c r="R41" s="9">
        <f t="shared" si="6"/>
        <v>18.213157894736845</v>
      </c>
      <c r="S41" s="9">
        <f t="shared" si="6"/>
        <v>0.65084635416666681</v>
      </c>
      <c r="T41" s="9">
        <f t="shared" si="7"/>
        <v>6.132531645569621</v>
      </c>
      <c r="U41" s="107"/>
      <c r="V41" s="117">
        <f t="shared" si="8"/>
        <v>192.42870604958057</v>
      </c>
      <c r="W41" s="114">
        <f>$M$2+$P$2+$Q$2</f>
        <v>0.17339633356561482</v>
      </c>
      <c r="X41" s="107">
        <f t="shared" si="10"/>
        <v>232.7944017955252</v>
      </c>
      <c r="Y41" s="107">
        <v>250.80757688998409</v>
      </c>
      <c r="Z41" s="9">
        <f t="shared" si="11"/>
        <v>29.693163494327194</v>
      </c>
      <c r="AA41" s="9">
        <f t="shared" si="11"/>
        <v>31.99076235841634</v>
      </c>
    </row>
    <row r="42" spans="1:27" x14ac:dyDescent="0.2">
      <c r="A42" s="6">
        <v>1691</v>
      </c>
      <c r="B42" s="56">
        <v>0.80403819791352038</v>
      </c>
      <c r="C42" s="57"/>
      <c r="D42" s="56">
        <v>6.0126771255060731</v>
      </c>
      <c r="E42" s="57">
        <v>6.6158906882591086</v>
      </c>
      <c r="F42" s="57"/>
      <c r="G42" s="55"/>
      <c r="H42" s="55">
        <f>H41+($H$43-$H$41)/2</f>
        <v>10.50759109311741</v>
      </c>
      <c r="I42" s="113">
        <v>0.50065104166666674</v>
      </c>
      <c r="J42" s="109">
        <v>2.0441772151898738</v>
      </c>
      <c r="K42" s="107"/>
      <c r="L42" s="9">
        <f t="shared" si="0"/>
        <v>143.92283742652015</v>
      </c>
      <c r="M42" s="9">
        <f t="shared" si="1"/>
        <v>0</v>
      </c>
      <c r="N42" s="9">
        <f t="shared" si="2"/>
        <v>30.063385627530366</v>
      </c>
      <c r="O42" s="9">
        <f t="shared" si="3"/>
        <v>19.847672064777328</v>
      </c>
      <c r="P42" s="9">
        <f t="shared" si="4"/>
        <v>0</v>
      </c>
      <c r="Q42" s="9">
        <f t="shared" si="5"/>
        <v>0</v>
      </c>
      <c r="R42" s="9">
        <f t="shared" si="6"/>
        <v>13.659868421052634</v>
      </c>
      <c r="S42" s="9">
        <f t="shared" si="6"/>
        <v>0.65084635416666681</v>
      </c>
      <c r="T42" s="9">
        <f t="shared" si="7"/>
        <v>6.132531645569621</v>
      </c>
      <c r="U42" s="107"/>
      <c r="V42" s="117">
        <f t="shared" si="8"/>
        <v>214.27714153961679</v>
      </c>
      <c r="W42" s="114">
        <f t="shared" ref="W42:W46" si="15">$M$2+$P$2+$Q$2</f>
        <v>0.17339633356561482</v>
      </c>
      <c r="X42" s="107">
        <f t="shared" si="10"/>
        <v>259.22597520516302</v>
      </c>
      <c r="Y42" s="107">
        <v>272.99217045757723</v>
      </c>
      <c r="Z42" s="9">
        <f t="shared" si="11"/>
        <v>33.064537653719775</v>
      </c>
      <c r="AA42" s="9">
        <f t="shared" si="11"/>
        <v>34.820429905303222</v>
      </c>
    </row>
    <row r="43" spans="1:27" x14ac:dyDescent="0.2">
      <c r="A43" s="6">
        <v>1692</v>
      </c>
      <c r="B43" s="57">
        <v>0.78170380352703372</v>
      </c>
      <c r="C43" s="57"/>
      <c r="D43" s="56">
        <v>6.6158906882591095</v>
      </c>
      <c r="E43" s="57">
        <v>7.1996457489878534</v>
      </c>
      <c r="F43" s="57"/>
      <c r="G43" s="55"/>
      <c r="H43" s="109">
        <v>7.0050607287449402</v>
      </c>
      <c r="I43" s="113">
        <v>0.64083333333333348</v>
      </c>
      <c r="J43" s="109">
        <v>2.0441772151898738</v>
      </c>
      <c r="K43" s="107"/>
      <c r="L43" s="9">
        <f t="shared" si="0"/>
        <v>139.92498083133904</v>
      </c>
      <c r="M43" s="9">
        <f t="shared" si="1"/>
        <v>0</v>
      </c>
      <c r="N43" s="9">
        <f t="shared" si="2"/>
        <v>33.079453441295549</v>
      </c>
      <c r="O43" s="9">
        <f t="shared" si="3"/>
        <v>21.598937246963558</v>
      </c>
      <c r="P43" s="9">
        <f t="shared" si="4"/>
        <v>0</v>
      </c>
      <c r="Q43" s="9">
        <f t="shared" si="5"/>
        <v>0</v>
      </c>
      <c r="R43" s="9">
        <f t="shared" si="6"/>
        <v>9.1065789473684227</v>
      </c>
      <c r="S43" s="9">
        <f t="shared" si="6"/>
        <v>0.83308333333333351</v>
      </c>
      <c r="T43" s="9">
        <f t="shared" si="7"/>
        <v>6.132531645569621</v>
      </c>
      <c r="U43" s="107"/>
      <c r="V43" s="117">
        <f t="shared" si="8"/>
        <v>210.67556544586955</v>
      </c>
      <c r="W43" s="114">
        <f t="shared" si="15"/>
        <v>0.17339633356561482</v>
      </c>
      <c r="X43" s="107">
        <f t="shared" si="10"/>
        <v>254.86889787778691</v>
      </c>
      <c r="Y43" s="107">
        <v>269.72675244138685</v>
      </c>
      <c r="Z43" s="9">
        <f t="shared" si="11"/>
        <v>32.50878799461568</v>
      </c>
      <c r="AA43" s="9">
        <f t="shared" si="11"/>
        <v>34.403922505278935</v>
      </c>
    </row>
    <row r="44" spans="1:27" x14ac:dyDescent="0.2">
      <c r="A44" s="6">
        <v>1693</v>
      </c>
      <c r="B44" s="56">
        <v>0.75936940914054707</v>
      </c>
      <c r="C44" s="57"/>
      <c r="D44" s="56">
        <v>6.2267206477732806</v>
      </c>
      <c r="E44" s="56">
        <v>7.7834008097165999</v>
      </c>
      <c r="F44" s="57"/>
      <c r="G44" s="55"/>
      <c r="H44" s="109">
        <v>7.0050607287449402</v>
      </c>
      <c r="I44" s="113">
        <v>0.50065104166666674</v>
      </c>
      <c r="J44" s="109">
        <v>2.0441772151898738</v>
      </c>
      <c r="K44" s="107"/>
      <c r="L44" s="9">
        <f t="shared" si="0"/>
        <v>135.92712423615794</v>
      </c>
      <c r="M44" s="9">
        <f t="shared" si="1"/>
        <v>0</v>
      </c>
      <c r="N44" s="9">
        <f t="shared" si="2"/>
        <v>31.133603238866403</v>
      </c>
      <c r="O44" s="9">
        <f t="shared" si="3"/>
        <v>23.3502024291498</v>
      </c>
      <c r="P44" s="9">
        <f t="shared" si="4"/>
        <v>0</v>
      </c>
      <c r="Q44" s="9">
        <f t="shared" si="5"/>
        <v>0</v>
      </c>
      <c r="R44" s="9">
        <f t="shared" si="6"/>
        <v>9.1065789473684227</v>
      </c>
      <c r="S44" s="9">
        <f t="shared" si="6"/>
        <v>0.65084635416666681</v>
      </c>
      <c r="T44" s="9">
        <f t="shared" si="7"/>
        <v>6.132531645569621</v>
      </c>
      <c r="U44" s="107"/>
      <c r="V44" s="117">
        <f t="shared" si="8"/>
        <v>206.30088685127888</v>
      </c>
      <c r="W44" s="114">
        <f t="shared" si="15"/>
        <v>0.17339633356561482</v>
      </c>
      <c r="X44" s="107">
        <f t="shared" si="10"/>
        <v>249.5765446349551</v>
      </c>
      <c r="Y44" s="107">
        <v>265.68823192435309</v>
      </c>
      <c r="Z44" s="9">
        <f t="shared" si="11"/>
        <v>31.83374293813203</v>
      </c>
      <c r="AA44" s="9">
        <f t="shared" si="11"/>
        <v>33.888805092391976</v>
      </c>
    </row>
    <row r="45" spans="1:27" x14ac:dyDescent="0.2">
      <c r="A45" s="6">
        <v>1694</v>
      </c>
      <c r="B45" s="56">
        <v>0.78170380352703372</v>
      </c>
      <c r="C45" s="57"/>
      <c r="D45" s="57">
        <v>6.1488866396761139</v>
      </c>
      <c r="E45" s="56">
        <v>7.7834008097165999</v>
      </c>
      <c r="F45" s="57"/>
      <c r="G45" s="55"/>
      <c r="H45" s="55">
        <f>H44+($H$48-$H$44)/4</f>
        <v>7.1996457489878551</v>
      </c>
      <c r="I45" s="113">
        <v>0.90117187500000007</v>
      </c>
      <c r="J45" s="109">
        <v>2.0441772151898738</v>
      </c>
      <c r="K45" s="107"/>
      <c r="L45" s="9">
        <f t="shared" si="0"/>
        <v>139.92498083133904</v>
      </c>
      <c r="M45" s="9">
        <f t="shared" si="1"/>
        <v>0</v>
      </c>
      <c r="N45" s="9">
        <f t="shared" si="2"/>
        <v>30.74443319838057</v>
      </c>
      <c r="O45" s="9">
        <f t="shared" si="3"/>
        <v>23.3502024291498</v>
      </c>
      <c r="P45" s="9">
        <f t="shared" si="4"/>
        <v>0</v>
      </c>
      <c r="Q45" s="9">
        <f t="shared" si="5"/>
        <v>0</v>
      </c>
      <c r="R45" s="9">
        <f t="shared" si="6"/>
        <v>9.3595394736842117</v>
      </c>
      <c r="S45" s="9">
        <f t="shared" si="6"/>
        <v>1.1715234375000001</v>
      </c>
      <c r="T45" s="9">
        <f t="shared" si="7"/>
        <v>6.132531645569621</v>
      </c>
      <c r="U45" s="107"/>
      <c r="V45" s="117">
        <f t="shared" si="8"/>
        <v>210.68321101562324</v>
      </c>
      <c r="W45" s="114">
        <f t="shared" si="15"/>
        <v>0.17339633356561482</v>
      </c>
      <c r="X45" s="107">
        <f t="shared" si="10"/>
        <v>254.87814725577076</v>
      </c>
      <c r="Y45" s="107">
        <v>270.4067141662544</v>
      </c>
      <c r="Z45" s="9">
        <f t="shared" si="11"/>
        <v>32.509967762215659</v>
      </c>
      <c r="AA45" s="9">
        <f t="shared" si="11"/>
        <v>34.490652317124287</v>
      </c>
    </row>
    <row r="46" spans="1:27" x14ac:dyDescent="0.2">
      <c r="A46" s="6">
        <v>1695</v>
      </c>
      <c r="B46" s="56">
        <v>0.75936940914054707</v>
      </c>
      <c r="C46" s="57"/>
      <c r="D46" s="56">
        <v>6.0710526315789481</v>
      </c>
      <c r="E46" s="57">
        <v>7.7834008097165999</v>
      </c>
      <c r="F46" s="57"/>
      <c r="G46" s="55"/>
      <c r="H46" s="55">
        <f>H45+($H$48-$H$44)/4</f>
        <v>7.3942307692307701</v>
      </c>
      <c r="I46" s="113">
        <v>1.251627604166667</v>
      </c>
      <c r="J46" s="109">
        <v>2.0441772151898738</v>
      </c>
      <c r="K46" s="107"/>
      <c r="L46" s="9">
        <f t="shared" si="0"/>
        <v>135.92712423615794</v>
      </c>
      <c r="M46" s="9">
        <f t="shared" si="1"/>
        <v>0</v>
      </c>
      <c r="N46" s="9">
        <f t="shared" si="2"/>
        <v>30.35526315789474</v>
      </c>
      <c r="O46" s="9">
        <f t="shared" si="3"/>
        <v>23.3502024291498</v>
      </c>
      <c r="P46" s="9">
        <f t="shared" si="4"/>
        <v>0</v>
      </c>
      <c r="Q46" s="9">
        <f t="shared" si="5"/>
        <v>0</v>
      </c>
      <c r="R46" s="9">
        <f t="shared" si="6"/>
        <v>9.6125000000000007</v>
      </c>
      <c r="S46" s="9">
        <f t="shared" si="6"/>
        <v>1.6271158854166672</v>
      </c>
      <c r="T46" s="9">
        <f t="shared" si="7"/>
        <v>6.132531645569621</v>
      </c>
      <c r="U46" s="107"/>
      <c r="V46" s="117">
        <f t="shared" si="8"/>
        <v>207.00473735418876</v>
      </c>
      <c r="W46" s="114">
        <f t="shared" si="15"/>
        <v>0.17339633356561482</v>
      </c>
      <c r="X46" s="107">
        <f t="shared" si="10"/>
        <v>250.42804158747407</v>
      </c>
      <c r="Y46" s="107">
        <v>267.06439858237684</v>
      </c>
      <c r="Z46" s="9">
        <f t="shared" si="11"/>
        <v>31.942352243300263</v>
      </c>
      <c r="AA46" s="9">
        <f t="shared" si="11"/>
        <v>34.064336553874597</v>
      </c>
    </row>
    <row r="47" spans="1:27" x14ac:dyDescent="0.2">
      <c r="A47" s="6">
        <v>1696</v>
      </c>
      <c r="B47" s="56">
        <v>0.75936940914054707</v>
      </c>
      <c r="C47" s="56">
        <v>2.1859243941541391</v>
      </c>
      <c r="D47" s="56">
        <v>6.2267206477732806</v>
      </c>
      <c r="E47" s="57">
        <v>7.7834008097165999</v>
      </c>
      <c r="F47" s="57"/>
      <c r="G47" s="55"/>
      <c r="H47" s="55">
        <f>H46+($H$48-$H$44)/4</f>
        <v>7.588815789473685</v>
      </c>
      <c r="I47" s="113">
        <v>0.60078125000000004</v>
      </c>
      <c r="J47" s="109">
        <v>2.0441772151898738</v>
      </c>
      <c r="K47" s="107"/>
      <c r="L47" s="9">
        <f t="shared" si="0"/>
        <v>135.92712423615794</v>
      </c>
      <c r="M47" s="9">
        <f t="shared" si="1"/>
        <v>43.71848788308278</v>
      </c>
      <c r="N47" s="9">
        <f t="shared" si="2"/>
        <v>31.133603238866403</v>
      </c>
      <c r="O47" s="9">
        <f t="shared" si="3"/>
        <v>23.3502024291498</v>
      </c>
      <c r="P47" s="9">
        <f t="shared" si="4"/>
        <v>0</v>
      </c>
      <c r="Q47" s="9">
        <f t="shared" si="5"/>
        <v>0</v>
      </c>
      <c r="R47" s="9">
        <f t="shared" si="6"/>
        <v>9.8654605263157915</v>
      </c>
      <c r="S47" s="9">
        <f t="shared" si="6"/>
        <v>0.7810156250000001</v>
      </c>
      <c r="T47" s="9">
        <f t="shared" si="7"/>
        <v>6.132531645569621</v>
      </c>
      <c r="U47" s="107"/>
      <c r="V47" s="117">
        <f t="shared" si="8"/>
        <v>250.90842558414235</v>
      </c>
      <c r="W47" s="114">
        <f>P2+Q2</f>
        <v>5.8816266288611516E-2</v>
      </c>
      <c r="X47" s="107">
        <f t="shared" si="10"/>
        <v>266.58814490421565</v>
      </c>
      <c r="Y47" s="107">
        <v>267.5857570068045</v>
      </c>
      <c r="Z47" s="9">
        <f t="shared" si="11"/>
        <v>34.003589911252</v>
      </c>
      <c r="AA47" s="9">
        <f t="shared" si="11"/>
        <v>34.130836352908737</v>
      </c>
    </row>
    <row r="48" spans="1:27" x14ac:dyDescent="0.2">
      <c r="A48" s="6">
        <v>1697</v>
      </c>
      <c r="B48" s="56">
        <v>0.75936940914054707</v>
      </c>
      <c r="C48" s="57">
        <v>2.1403843026092613</v>
      </c>
      <c r="D48" s="56">
        <v>6.2267206477732806</v>
      </c>
      <c r="E48" s="56">
        <v>7.7834008097165999</v>
      </c>
      <c r="F48" s="56">
        <v>6.8906810035842296</v>
      </c>
      <c r="G48" s="109">
        <v>2.5880492032241236</v>
      </c>
      <c r="H48" s="109">
        <v>7.7834008097165999</v>
      </c>
      <c r="I48" s="113">
        <v>0.64083333333333348</v>
      </c>
      <c r="J48" s="109">
        <v>2.0441772151898738</v>
      </c>
      <c r="K48" s="107"/>
      <c r="L48" s="9">
        <f t="shared" si="0"/>
        <v>135.92712423615794</v>
      </c>
      <c r="M48" s="9">
        <f t="shared" si="1"/>
        <v>42.807686052185225</v>
      </c>
      <c r="N48" s="9">
        <f t="shared" si="2"/>
        <v>31.133603238866403</v>
      </c>
      <c r="O48" s="9">
        <f t="shared" si="3"/>
        <v>23.3502024291498</v>
      </c>
      <c r="P48" s="9">
        <f t="shared" si="4"/>
        <v>8.9578853046594986</v>
      </c>
      <c r="Q48" s="9">
        <f t="shared" si="5"/>
        <v>7.7641476096723707</v>
      </c>
      <c r="R48" s="9">
        <f t="shared" si="6"/>
        <v>10.118421052631581</v>
      </c>
      <c r="S48" s="9">
        <f t="shared" si="6"/>
        <v>0.83308333333333351</v>
      </c>
      <c r="T48" s="9">
        <f t="shared" si="7"/>
        <v>6.132531645569621</v>
      </c>
      <c r="U48" s="107"/>
      <c r="V48" s="117">
        <f t="shared" si="8"/>
        <v>267.02468490222572</v>
      </c>
      <c r="W48" s="119">
        <v>0</v>
      </c>
      <c r="X48" s="107">
        <f t="shared" si="10"/>
        <v>267.02468490222572</v>
      </c>
      <c r="Y48" s="107">
        <v>267.02468490222572</v>
      </c>
      <c r="Z48" s="9">
        <f t="shared" si="11"/>
        <v>34.05927103344716</v>
      </c>
      <c r="AA48" s="9">
        <f t="shared" si="11"/>
        <v>34.05927103344716</v>
      </c>
    </row>
    <row r="49" spans="1:27" x14ac:dyDescent="0.2">
      <c r="A49" s="6">
        <v>1698</v>
      </c>
      <c r="B49" s="56">
        <v>0.75936940914054707</v>
      </c>
      <c r="C49" s="57">
        <v>2.0948442110643835</v>
      </c>
      <c r="D49" s="56">
        <v>6.2267206477732806</v>
      </c>
      <c r="E49" s="56">
        <v>8.5617408906882613</v>
      </c>
      <c r="F49" s="57">
        <f>F48+($F$51-$F$48)/3</f>
        <v>6.6693608849805797</v>
      </c>
      <c r="G49" s="109">
        <v>2.8792047385868376</v>
      </c>
      <c r="H49" s="109">
        <v>9.3400809716599191</v>
      </c>
      <c r="I49" s="113">
        <v>0.64083333333333348</v>
      </c>
      <c r="J49" s="55">
        <f>J48+($J$53-$J$48)/5</f>
        <v>2.0441772151898738</v>
      </c>
      <c r="K49" s="107"/>
      <c r="L49" s="9">
        <f t="shared" si="0"/>
        <v>135.92712423615794</v>
      </c>
      <c r="M49" s="9">
        <f t="shared" si="1"/>
        <v>41.896884221287671</v>
      </c>
      <c r="N49" s="9">
        <f t="shared" si="2"/>
        <v>31.133603238866403</v>
      </c>
      <c r="O49" s="9">
        <f t="shared" si="3"/>
        <v>25.685222672064782</v>
      </c>
      <c r="P49" s="9">
        <f t="shared" si="4"/>
        <v>8.670169150474754</v>
      </c>
      <c r="Q49" s="9">
        <f t="shared" si="5"/>
        <v>8.6376142157605127</v>
      </c>
      <c r="R49" s="9">
        <f t="shared" si="6"/>
        <v>12.142105263157895</v>
      </c>
      <c r="S49" s="9">
        <f t="shared" si="6"/>
        <v>0.83308333333333351</v>
      </c>
      <c r="T49" s="9">
        <f t="shared" si="7"/>
        <v>6.132531645569621</v>
      </c>
      <c r="U49" s="107"/>
      <c r="V49" s="117">
        <f t="shared" si="8"/>
        <v>271.05833797667287</v>
      </c>
      <c r="W49" s="119">
        <v>0</v>
      </c>
      <c r="X49" s="107">
        <f t="shared" si="10"/>
        <v>271.05833797667287</v>
      </c>
      <c r="Y49" s="107">
        <v>271.05833797667287</v>
      </c>
      <c r="Z49" s="9">
        <f t="shared" si="11"/>
        <v>34.57376759906542</v>
      </c>
      <c r="AA49" s="9">
        <f t="shared" si="11"/>
        <v>34.57376759906542</v>
      </c>
    </row>
    <row r="50" spans="1:27" x14ac:dyDescent="0.2">
      <c r="A50" s="6">
        <v>1699</v>
      </c>
      <c r="B50" s="56">
        <v>0.75936940914054707</v>
      </c>
      <c r="C50" s="57">
        <v>2.0493041195195056</v>
      </c>
      <c r="D50" s="57">
        <v>5.2654292294258997</v>
      </c>
      <c r="E50" s="56">
        <v>8.5617408906882613</v>
      </c>
      <c r="F50" s="57">
        <f>F49+($F$51-$F$48)/3</f>
        <v>6.4480407663769297</v>
      </c>
      <c r="G50" s="109">
        <v>2.8792047385868376</v>
      </c>
      <c r="H50" s="109">
        <v>9.3400809716599191</v>
      </c>
      <c r="I50" s="113">
        <v>0.64083333333333348</v>
      </c>
      <c r="J50" s="55">
        <f>J49+($J$53-$J$48)/5</f>
        <v>2.0441772151898738</v>
      </c>
      <c r="K50" s="107"/>
      <c r="L50" s="9">
        <f t="shared" si="0"/>
        <v>135.92712423615794</v>
      </c>
      <c r="M50" s="9">
        <f t="shared" si="1"/>
        <v>40.986082390390109</v>
      </c>
      <c r="N50" s="9">
        <f t="shared" si="2"/>
        <v>26.327146147129497</v>
      </c>
      <c r="O50" s="9">
        <f t="shared" si="3"/>
        <v>25.685222672064782</v>
      </c>
      <c r="P50" s="9">
        <f t="shared" si="4"/>
        <v>8.3824529962900094</v>
      </c>
      <c r="Q50" s="9">
        <f t="shared" si="5"/>
        <v>8.6376142157605127</v>
      </c>
      <c r="R50" s="9">
        <f t="shared" si="6"/>
        <v>12.142105263157895</v>
      </c>
      <c r="S50" s="9">
        <f t="shared" si="6"/>
        <v>0.83308333333333351</v>
      </c>
      <c r="T50" s="9">
        <f t="shared" si="7"/>
        <v>6.132531645569621</v>
      </c>
      <c r="U50" s="107"/>
      <c r="V50" s="117">
        <f t="shared" si="8"/>
        <v>265.05336289985365</v>
      </c>
      <c r="W50" s="119">
        <v>0</v>
      </c>
      <c r="X50" s="107">
        <f t="shared" si="10"/>
        <v>265.05336289985365</v>
      </c>
      <c r="Y50" s="107">
        <v>265.05336289985365</v>
      </c>
      <c r="Z50" s="9">
        <f t="shared" si="11"/>
        <v>33.807826900491541</v>
      </c>
      <c r="AA50" s="9">
        <f t="shared" si="11"/>
        <v>33.807826900491541</v>
      </c>
    </row>
    <row r="51" spans="1:27" x14ac:dyDescent="0.2">
      <c r="A51" s="6">
        <v>1700</v>
      </c>
      <c r="B51" s="56">
        <v>0.59707280993207712</v>
      </c>
      <c r="C51" s="57">
        <v>2.0037640279746278</v>
      </c>
      <c r="D51" s="57">
        <v>4.3041378110785189</v>
      </c>
      <c r="E51" s="56">
        <v>7.7834008097165999</v>
      </c>
      <c r="F51" s="56">
        <v>6.2267206477732797</v>
      </c>
      <c r="G51" s="55"/>
      <c r="H51" s="109">
        <v>7.3942307692307701</v>
      </c>
      <c r="I51" s="113">
        <v>0.56072916666666672</v>
      </c>
      <c r="J51" s="55">
        <f>J50+($J$53-$J$48)/5</f>
        <v>2.0441772151898738</v>
      </c>
      <c r="K51" s="107"/>
      <c r="L51" s="9">
        <f t="shared" si="0"/>
        <v>106.8760329778418</v>
      </c>
      <c r="M51" s="9">
        <f t="shared" si="1"/>
        <v>40.075280559492555</v>
      </c>
      <c r="N51" s="9">
        <f t="shared" si="2"/>
        <v>21.520689055392594</v>
      </c>
      <c r="O51" s="9">
        <f t="shared" si="3"/>
        <v>23.3502024291498</v>
      </c>
      <c r="P51" s="9">
        <f t="shared" si="4"/>
        <v>8.0947368421052648</v>
      </c>
      <c r="Q51" s="9">
        <f t="shared" si="5"/>
        <v>0</v>
      </c>
      <c r="R51" s="9">
        <f t="shared" si="6"/>
        <v>9.6125000000000007</v>
      </c>
      <c r="S51" s="9">
        <f t="shared" si="6"/>
        <v>0.72894791666666681</v>
      </c>
      <c r="T51" s="9">
        <f t="shared" si="7"/>
        <v>6.132531645569621</v>
      </c>
      <c r="U51" s="107"/>
      <c r="V51" s="117">
        <f t="shared" si="8"/>
        <v>216.39092142621831</v>
      </c>
      <c r="W51" s="114">
        <f>$Q$2</f>
        <v>3.0181429174424502E-2</v>
      </c>
      <c r="X51" s="107">
        <f t="shared" si="10"/>
        <v>223.12515756633908</v>
      </c>
      <c r="Y51" s="107">
        <v>225.4850387653253</v>
      </c>
      <c r="Z51" s="9">
        <f t="shared" si="11"/>
        <v>28.459841526318762</v>
      </c>
      <c r="AA51" s="9">
        <f t="shared" si="11"/>
        <v>28.760846781291495</v>
      </c>
    </row>
    <row r="52" spans="1:27" x14ac:dyDescent="0.2">
      <c r="A52" s="9">
        <v>1701</v>
      </c>
      <c r="B52" s="56">
        <v>0.77187666999697935</v>
      </c>
      <c r="C52" s="57">
        <v>1.95822393642975</v>
      </c>
      <c r="D52" s="57">
        <v>3.342846392731138</v>
      </c>
      <c r="E52" s="57">
        <v>7.0050607287449402</v>
      </c>
      <c r="F52" s="57">
        <f>F51+($F$53-$F$51)/2</f>
        <v>6.2267206477732806</v>
      </c>
      <c r="G52" s="55"/>
      <c r="H52" s="109">
        <v>8.8730769230769244</v>
      </c>
      <c r="I52" s="113">
        <v>1.9625520833333332</v>
      </c>
      <c r="J52" s="55">
        <f>J51+($J$53-$J$48)/5</f>
        <v>2.0441772151898738</v>
      </c>
      <c r="K52" s="107"/>
      <c r="L52" s="9">
        <f t="shared" si="0"/>
        <v>138.1659239294593</v>
      </c>
      <c r="M52" s="9">
        <f t="shared" si="1"/>
        <v>39.164478728595</v>
      </c>
      <c r="N52" s="9">
        <f t="shared" si="2"/>
        <v>16.714231963655692</v>
      </c>
      <c r="O52" s="9">
        <f t="shared" si="3"/>
        <v>21.015182186234821</v>
      </c>
      <c r="P52" s="9">
        <f t="shared" si="4"/>
        <v>8.0947368421052648</v>
      </c>
      <c r="Q52" s="9">
        <f t="shared" si="5"/>
        <v>0</v>
      </c>
      <c r="R52" s="9">
        <f t="shared" si="6"/>
        <v>11.535000000000002</v>
      </c>
      <c r="S52" s="9">
        <f t="shared" si="6"/>
        <v>2.5513177083333334</v>
      </c>
      <c r="T52" s="9">
        <f t="shared" si="7"/>
        <v>6.132531645569621</v>
      </c>
      <c r="U52" s="107"/>
      <c r="V52" s="117">
        <f t="shared" si="8"/>
        <v>243.37340300395306</v>
      </c>
      <c r="W52" s="114">
        <f t="shared" ref="W52:W58" si="16">$Q$2</f>
        <v>3.0181429174424502E-2</v>
      </c>
      <c r="X52" s="107">
        <f t="shared" si="10"/>
        <v>250.94735275771947</v>
      </c>
      <c r="Y52" s="107">
        <v>252.92402346640654</v>
      </c>
      <c r="Z52" s="9">
        <f t="shared" si="11"/>
        <v>32.008590912974419</v>
      </c>
      <c r="AA52" s="9">
        <f t="shared" si="11"/>
        <v>32.260717278878388</v>
      </c>
    </row>
    <row r="53" spans="1:27" x14ac:dyDescent="0.2">
      <c r="A53" s="9">
        <v>1702</v>
      </c>
      <c r="B53" s="56">
        <v>0.75936940914054707</v>
      </c>
      <c r="C53" s="56">
        <v>1.9126838448848715</v>
      </c>
      <c r="D53" s="56">
        <v>2.3815549743837567</v>
      </c>
      <c r="E53" s="56">
        <v>6.2267206477732797</v>
      </c>
      <c r="F53" s="56">
        <v>6.2267206477732806</v>
      </c>
      <c r="G53" s="55"/>
      <c r="H53" s="109">
        <v>7.0050607287449402</v>
      </c>
      <c r="I53" s="113">
        <v>0.64083333333333348</v>
      </c>
      <c r="J53" s="109">
        <v>2.0441772151898738</v>
      </c>
      <c r="K53" s="107"/>
      <c r="L53" s="9">
        <f t="shared" si="0"/>
        <v>135.92712423615794</v>
      </c>
      <c r="M53" s="9">
        <f t="shared" si="1"/>
        <v>38.253676897697432</v>
      </c>
      <c r="N53" s="9">
        <f t="shared" si="2"/>
        <v>11.907774871918784</v>
      </c>
      <c r="O53" s="9">
        <f t="shared" si="3"/>
        <v>18.680161943319838</v>
      </c>
      <c r="P53" s="9">
        <f t="shared" si="4"/>
        <v>8.0947368421052648</v>
      </c>
      <c r="Q53" s="9">
        <f t="shared" si="5"/>
        <v>0</v>
      </c>
      <c r="R53" s="9">
        <f t="shared" si="6"/>
        <v>9.1065789473684227</v>
      </c>
      <c r="S53" s="9">
        <f t="shared" si="6"/>
        <v>0.83308333333333351</v>
      </c>
      <c r="T53" s="9">
        <f t="shared" si="7"/>
        <v>6.132531645569621</v>
      </c>
      <c r="U53" s="107"/>
      <c r="V53" s="117">
        <f t="shared" si="8"/>
        <v>228.93566871747063</v>
      </c>
      <c r="W53" s="114">
        <f t="shared" si="16"/>
        <v>3.0181429174424502E-2</v>
      </c>
      <c r="X53" s="107">
        <f t="shared" si="10"/>
        <v>236.06030612775854</v>
      </c>
      <c r="Y53" s="107">
        <v>238.94279230327058</v>
      </c>
      <c r="Z53" s="9">
        <f t="shared" si="11"/>
        <v>30.109732924458999</v>
      </c>
      <c r="AA53" s="9">
        <f t="shared" si="11"/>
        <v>30.477396977457982</v>
      </c>
    </row>
    <row r="54" spans="1:27" x14ac:dyDescent="0.2">
      <c r="A54" s="9">
        <v>1703</v>
      </c>
      <c r="B54" s="56">
        <v>0.78170380352703372</v>
      </c>
      <c r="C54" s="56">
        <v>1.9126838448848715</v>
      </c>
      <c r="D54" s="56">
        <v>2.1319831706344865</v>
      </c>
      <c r="E54" s="56">
        <v>5.4483805668016192</v>
      </c>
      <c r="F54" s="57">
        <f>F53+($F$58-$F$53)/5</f>
        <v>5.4223801024480149</v>
      </c>
      <c r="G54" s="55"/>
      <c r="H54" s="109">
        <v>9.4639078027235932</v>
      </c>
      <c r="I54" s="113">
        <v>0.64083333333333337</v>
      </c>
      <c r="J54" s="109">
        <v>2.0441772151898738</v>
      </c>
      <c r="K54" s="107"/>
      <c r="L54" s="9">
        <f t="shared" si="0"/>
        <v>139.92498083133904</v>
      </c>
      <c r="M54" s="9">
        <f t="shared" si="1"/>
        <v>38.253676897697432</v>
      </c>
      <c r="N54" s="9">
        <f t="shared" si="2"/>
        <v>10.659915853172432</v>
      </c>
      <c r="O54" s="9">
        <f t="shared" si="3"/>
        <v>16.345141700404859</v>
      </c>
      <c r="P54" s="9">
        <f t="shared" si="4"/>
        <v>7.04909413318242</v>
      </c>
      <c r="Q54" s="9">
        <f t="shared" si="5"/>
        <v>0</v>
      </c>
      <c r="R54" s="9">
        <f t="shared" si="6"/>
        <v>12.303080143540672</v>
      </c>
      <c r="S54" s="9">
        <f t="shared" si="6"/>
        <v>0.8330833333333334</v>
      </c>
      <c r="T54" s="9">
        <f t="shared" si="7"/>
        <v>6.132531645569621</v>
      </c>
      <c r="U54" s="107"/>
      <c r="V54" s="117">
        <f t="shared" si="8"/>
        <v>231.50150453823983</v>
      </c>
      <c r="W54" s="114">
        <f t="shared" si="16"/>
        <v>3.0181429174424502E-2</v>
      </c>
      <c r="X54" s="107">
        <f t="shared" si="10"/>
        <v>238.7059925457707</v>
      </c>
      <c r="Y54" s="107">
        <v>241.96513124738624</v>
      </c>
      <c r="Z54" s="9">
        <f t="shared" si="11"/>
        <v>30.447192926756468</v>
      </c>
      <c r="AA54" s="9">
        <f t="shared" si="11"/>
        <v>30.862899393799268</v>
      </c>
    </row>
    <row r="55" spans="1:27" x14ac:dyDescent="0.2">
      <c r="A55" s="9">
        <v>1704</v>
      </c>
      <c r="B55" s="56">
        <v>0.75936940914054707</v>
      </c>
      <c r="C55" s="56">
        <v>1.9126838448848715</v>
      </c>
      <c r="D55" s="56">
        <v>2.4323127530364372</v>
      </c>
      <c r="E55" s="57">
        <v>5.4094082042835501</v>
      </c>
      <c r="F55" s="57">
        <f>F54+($F$58-$F$53)/5</f>
        <v>4.6180395571227493</v>
      </c>
      <c r="G55" s="55"/>
      <c r="H55" s="55">
        <f>H54+($H$59-$H$54)/5</f>
        <v>9.3418499263894006</v>
      </c>
      <c r="I55" s="113">
        <v>0.64083333333333348</v>
      </c>
      <c r="J55" s="109">
        <v>2.0441772151898738</v>
      </c>
      <c r="K55" s="107"/>
      <c r="L55" s="9">
        <f t="shared" si="0"/>
        <v>135.92712423615794</v>
      </c>
      <c r="M55" s="9">
        <f t="shared" si="1"/>
        <v>38.253676897697432</v>
      </c>
      <c r="N55" s="9">
        <f t="shared" si="2"/>
        <v>12.161563765182187</v>
      </c>
      <c r="O55" s="9">
        <f t="shared" si="3"/>
        <v>16.228224612850649</v>
      </c>
      <c r="P55" s="9">
        <f t="shared" si="4"/>
        <v>6.0034514242595742</v>
      </c>
      <c r="Q55" s="9">
        <f t="shared" si="5"/>
        <v>0</v>
      </c>
      <c r="R55" s="9">
        <f t="shared" si="6"/>
        <v>12.144404904306221</v>
      </c>
      <c r="S55" s="9">
        <f t="shared" si="6"/>
        <v>0.83308333333333351</v>
      </c>
      <c r="T55" s="9">
        <f t="shared" si="7"/>
        <v>6.132531645569621</v>
      </c>
      <c r="U55" s="107"/>
      <c r="V55" s="117">
        <f t="shared" si="8"/>
        <v>227.68406081935694</v>
      </c>
      <c r="W55" s="114">
        <f t="shared" si="16"/>
        <v>3.0181429174424502E-2</v>
      </c>
      <c r="X55" s="107">
        <f t="shared" si="10"/>
        <v>234.76974732040529</v>
      </c>
      <c r="Y55" s="107">
        <v>238.60419065184985</v>
      </c>
      <c r="Z55" s="9">
        <f t="shared" si="11"/>
        <v>29.945120831684349</v>
      </c>
      <c r="AA55" s="9">
        <f t="shared" si="11"/>
        <v>30.434207991307378</v>
      </c>
    </row>
    <row r="56" spans="1:27" x14ac:dyDescent="0.2">
      <c r="A56" s="9">
        <v>1705</v>
      </c>
      <c r="B56" s="56">
        <v>0.98271335300541374</v>
      </c>
      <c r="C56" s="56">
        <v>1.9126838448848715</v>
      </c>
      <c r="D56" s="56">
        <v>2.4323127530364372</v>
      </c>
      <c r="E56" s="57">
        <v>5.3704358417654809</v>
      </c>
      <c r="F56" s="57">
        <f>F55+($F$58-$F$53)/5</f>
        <v>3.8136990117974841</v>
      </c>
      <c r="G56" s="55"/>
      <c r="H56" s="55">
        <f>H55+($H$59-$H$54)/5</f>
        <v>9.219792050055208</v>
      </c>
      <c r="I56" s="113">
        <v>0.64083333333333337</v>
      </c>
      <c r="J56" s="109">
        <v>2.0441772151898738</v>
      </c>
      <c r="K56" s="107"/>
      <c r="L56" s="9">
        <f t="shared" si="0"/>
        <v>175.90569018796907</v>
      </c>
      <c r="M56" s="9">
        <f t="shared" si="1"/>
        <v>38.253676897697432</v>
      </c>
      <c r="N56" s="9">
        <f t="shared" si="2"/>
        <v>12.161563765182187</v>
      </c>
      <c r="O56" s="9">
        <f t="shared" si="3"/>
        <v>16.111307525296443</v>
      </c>
      <c r="P56" s="9">
        <f t="shared" si="4"/>
        <v>4.9578087153367294</v>
      </c>
      <c r="Q56" s="9">
        <f t="shared" si="5"/>
        <v>0</v>
      </c>
      <c r="R56" s="9">
        <f t="shared" si="6"/>
        <v>11.985729665071771</v>
      </c>
      <c r="S56" s="9">
        <f t="shared" si="6"/>
        <v>0.8330833333333334</v>
      </c>
      <c r="T56" s="9">
        <f t="shared" si="7"/>
        <v>6.132531645569621</v>
      </c>
      <c r="U56" s="107"/>
      <c r="V56" s="117">
        <f t="shared" si="8"/>
        <v>266.34139173545657</v>
      </c>
      <c r="W56" s="114">
        <f t="shared" si="16"/>
        <v>3.0181429174424502E-2</v>
      </c>
      <c r="X56" s="107">
        <f t="shared" si="10"/>
        <v>274.63012129034473</v>
      </c>
      <c r="Y56" s="107">
        <v>277.71802469129591</v>
      </c>
      <c r="Z56" s="9">
        <f t="shared" si="11"/>
        <v>35.029352205401118</v>
      </c>
      <c r="AA56" s="9">
        <f t="shared" si="11"/>
        <v>35.423217435114275</v>
      </c>
    </row>
    <row r="57" spans="1:27" x14ac:dyDescent="0.2">
      <c r="A57" s="9">
        <v>1706</v>
      </c>
      <c r="B57" s="56">
        <v>0.75936940914054707</v>
      </c>
      <c r="C57" s="56">
        <v>1.9126838448848715</v>
      </c>
      <c r="D57" s="56">
        <v>1.7027203439185448</v>
      </c>
      <c r="E57" s="57">
        <v>5.3314634792474118</v>
      </c>
      <c r="F57" s="57">
        <f>F56+($F$58-$F$53)/5</f>
        <v>3.0093584664722188</v>
      </c>
      <c r="G57" s="55"/>
      <c r="H57" s="55">
        <f>H56+($H$59-$H$54)/5</f>
        <v>9.0977341737210153</v>
      </c>
      <c r="I57" s="113">
        <v>0.64083333333333337</v>
      </c>
      <c r="J57" s="109">
        <v>2.0441772151898738</v>
      </c>
      <c r="K57" s="107"/>
      <c r="L57" s="9">
        <f t="shared" si="0"/>
        <v>135.92712423615794</v>
      </c>
      <c r="M57" s="9">
        <f t="shared" si="1"/>
        <v>38.253676897697432</v>
      </c>
      <c r="N57" s="9">
        <f t="shared" si="2"/>
        <v>8.5136017195927245</v>
      </c>
      <c r="O57" s="9">
        <f t="shared" si="3"/>
        <v>15.994390437742236</v>
      </c>
      <c r="P57" s="9">
        <f t="shared" si="4"/>
        <v>3.9121660064138846</v>
      </c>
      <c r="Q57" s="9">
        <f t="shared" si="5"/>
        <v>0</v>
      </c>
      <c r="R57" s="9">
        <f t="shared" si="6"/>
        <v>11.82705442583732</v>
      </c>
      <c r="S57" s="9">
        <f t="shared" si="6"/>
        <v>0.8330833333333334</v>
      </c>
      <c r="T57" s="9">
        <f t="shared" si="7"/>
        <v>6.132531645569621</v>
      </c>
      <c r="U57" s="107"/>
      <c r="V57" s="117">
        <f t="shared" si="8"/>
        <v>221.39362870234447</v>
      </c>
      <c r="W57" s="114">
        <f t="shared" si="16"/>
        <v>3.0181429174424502E-2</v>
      </c>
      <c r="X57" s="107">
        <f t="shared" si="10"/>
        <v>228.28355257610622</v>
      </c>
      <c r="Y57" s="107">
        <v>233.22676478153033</v>
      </c>
      <c r="Z57" s="9">
        <f t="shared" si="11"/>
        <v>29.117800073482936</v>
      </c>
      <c r="AA57" s="9">
        <f t="shared" si="11"/>
        <v>29.748311834378871</v>
      </c>
    </row>
    <row r="58" spans="1:27" x14ac:dyDescent="0.2">
      <c r="A58" s="9">
        <v>1707</v>
      </c>
      <c r="B58" s="56">
        <v>0.6074955273124375</v>
      </c>
      <c r="C58" s="56">
        <v>1.9126838448848715</v>
      </c>
      <c r="D58" s="56">
        <v>1.7025035605127139</v>
      </c>
      <c r="E58" s="57">
        <v>5.2924911167293427</v>
      </c>
      <c r="F58" s="56">
        <v>2.2050179211469541</v>
      </c>
      <c r="G58" s="55"/>
      <c r="H58" s="55">
        <f>H57+($H$59-$H$54)/5</f>
        <v>8.9756762973868227</v>
      </c>
      <c r="I58" s="55">
        <f>I57+($I$59-$I$57)/2</f>
        <v>0.96125000000000016</v>
      </c>
      <c r="J58" s="55">
        <f t="shared" ref="J58:J67" si="17">J57+($J$68-$J$57)/11</f>
        <v>2.0441772151898738</v>
      </c>
      <c r="K58" s="107"/>
      <c r="L58" s="9">
        <f t="shared" si="0"/>
        <v>108.74169938892631</v>
      </c>
      <c r="M58" s="9">
        <f t="shared" si="1"/>
        <v>38.253676897697432</v>
      </c>
      <c r="N58" s="9">
        <f t="shared" si="2"/>
        <v>8.5125178025635702</v>
      </c>
      <c r="O58" s="9">
        <f t="shared" si="3"/>
        <v>15.877473350188028</v>
      </c>
      <c r="P58" s="9">
        <f t="shared" si="4"/>
        <v>2.8665232974910402</v>
      </c>
      <c r="Q58" s="9">
        <f t="shared" si="5"/>
        <v>0</v>
      </c>
      <c r="R58" s="9">
        <f t="shared" si="6"/>
        <v>11.66837918660287</v>
      </c>
      <c r="S58" s="9">
        <f t="shared" si="6"/>
        <v>1.2496250000000002</v>
      </c>
      <c r="T58" s="9">
        <f t="shared" si="7"/>
        <v>6.132531645569621</v>
      </c>
      <c r="U58" s="107"/>
      <c r="V58" s="117">
        <f t="shared" si="8"/>
        <v>193.30242656903889</v>
      </c>
      <c r="W58" s="114">
        <f t="shared" si="16"/>
        <v>3.0181429174424502E-2</v>
      </c>
      <c r="X58" s="107">
        <f t="shared" si="10"/>
        <v>199.31813267350276</v>
      </c>
      <c r="Y58" s="107">
        <v>205.59206577157121</v>
      </c>
      <c r="Z58" s="9">
        <f t="shared" si="11"/>
        <v>25.423231208354945</v>
      </c>
      <c r="AA58" s="9">
        <f t="shared" si="11"/>
        <v>26.223477776986126</v>
      </c>
    </row>
    <row r="59" spans="1:27" x14ac:dyDescent="0.2">
      <c r="A59" s="9">
        <v>1708</v>
      </c>
      <c r="B59" s="56">
        <v>0.90342625293338596</v>
      </c>
      <c r="C59" s="56">
        <v>1.9124744651536307</v>
      </c>
      <c r="D59" s="56">
        <v>1.5810642496930587</v>
      </c>
      <c r="E59" s="56">
        <v>5.2535187542112753</v>
      </c>
      <c r="F59" s="56">
        <v>3.1133603238866403</v>
      </c>
      <c r="G59" s="109">
        <v>4.2487141086262694</v>
      </c>
      <c r="H59" s="109">
        <v>8.8536184210526301</v>
      </c>
      <c r="I59" s="113">
        <v>1.281666666666667</v>
      </c>
      <c r="J59" s="55">
        <f t="shared" si="17"/>
        <v>2.0441772151898738</v>
      </c>
      <c r="K59" s="107"/>
      <c r="L59" s="9">
        <f t="shared" si="0"/>
        <v>161.71329927507608</v>
      </c>
      <c r="M59" s="9">
        <f t="shared" si="1"/>
        <v>38.249489303072615</v>
      </c>
      <c r="N59" s="9">
        <f t="shared" si="2"/>
        <v>7.9053212484652935</v>
      </c>
      <c r="O59" s="9">
        <f t="shared" si="3"/>
        <v>15.760556262633827</v>
      </c>
      <c r="P59" s="9">
        <f t="shared" si="4"/>
        <v>4.0473684210526324</v>
      </c>
      <c r="Q59" s="9">
        <f t="shared" si="5"/>
        <v>12.746142325878807</v>
      </c>
      <c r="R59" s="9">
        <f t="shared" si="6"/>
        <v>11.50970394736842</v>
      </c>
      <c r="S59" s="9">
        <f t="shared" si="6"/>
        <v>1.666166666666667</v>
      </c>
      <c r="T59" s="9">
        <f t="shared" si="7"/>
        <v>6.132531645569621</v>
      </c>
      <c r="U59" s="107"/>
      <c r="V59" s="117">
        <f t="shared" si="8"/>
        <v>259.73057909578392</v>
      </c>
      <c r="W59" s="119">
        <v>0</v>
      </c>
      <c r="X59" s="107">
        <f t="shared" si="10"/>
        <v>259.73057909578392</v>
      </c>
      <c r="Y59" s="107">
        <v>259.73057909578392</v>
      </c>
      <c r="Z59" s="9">
        <f t="shared" si="11"/>
        <v>33.128900394870399</v>
      </c>
      <c r="AA59" s="9">
        <f t="shared" si="11"/>
        <v>33.128900394870399</v>
      </c>
    </row>
    <row r="60" spans="1:27" x14ac:dyDescent="0.2">
      <c r="A60" s="9">
        <v>1709</v>
      </c>
      <c r="B60" s="56">
        <v>0.40201909895676019</v>
      </c>
      <c r="C60" s="56">
        <v>1.6394432956156044</v>
      </c>
      <c r="D60" s="56">
        <v>1.5809746403246498</v>
      </c>
      <c r="E60" s="57">
        <v>6.9723992317482626</v>
      </c>
      <c r="F60" s="57"/>
      <c r="G60" s="109">
        <v>3.2350615040301549</v>
      </c>
      <c r="H60" s="109"/>
      <c r="I60" s="55">
        <f>I59+($I$62-$I$59)/3</f>
        <v>1.0680555555555558</v>
      </c>
      <c r="J60" s="55">
        <f t="shared" si="17"/>
        <v>2.0441772151898738</v>
      </c>
      <c r="K60" s="107"/>
      <c r="L60" s="9">
        <f t="shared" si="0"/>
        <v>71.961418713260073</v>
      </c>
      <c r="M60" s="9">
        <f t="shared" si="1"/>
        <v>32.78886591231209</v>
      </c>
      <c r="N60" s="9">
        <f t="shared" si="2"/>
        <v>7.904873201623249</v>
      </c>
      <c r="O60" s="9">
        <f t="shared" si="3"/>
        <v>20.917197695244788</v>
      </c>
      <c r="P60" s="9">
        <f t="shared" si="4"/>
        <v>0</v>
      </c>
      <c r="Q60" s="9">
        <f t="shared" si="5"/>
        <v>9.7051845120904652</v>
      </c>
      <c r="R60" s="9">
        <f t="shared" si="6"/>
        <v>0</v>
      </c>
      <c r="S60" s="9">
        <f t="shared" si="6"/>
        <v>1.3884722222222226</v>
      </c>
      <c r="T60" s="9">
        <f t="shared" si="7"/>
        <v>6.132531645569621</v>
      </c>
      <c r="U60" s="107"/>
      <c r="V60" s="117">
        <f t="shared" si="8"/>
        <v>150.79854390232251</v>
      </c>
      <c r="W60" s="114">
        <f>$P$2+$R$2</f>
        <v>7.5591439040985739E-2</v>
      </c>
      <c r="X60" s="107">
        <f t="shared" si="10"/>
        <v>163.1297569830798</v>
      </c>
      <c r="Y60" s="107">
        <v>167.49649835877614</v>
      </c>
      <c r="Z60" s="9">
        <f t="shared" si="11"/>
        <v>20.807366962127524</v>
      </c>
      <c r="AA60" s="9">
        <f t="shared" si="11"/>
        <v>21.364349280456139</v>
      </c>
    </row>
    <row r="61" spans="1:27" x14ac:dyDescent="0.2">
      <c r="A61" s="9">
        <v>1710</v>
      </c>
      <c r="B61" s="56">
        <v>0.87104138107298035</v>
      </c>
      <c r="C61" s="56">
        <v>1.6394432956156044</v>
      </c>
      <c r="D61" s="56">
        <v>1.5808579321378453</v>
      </c>
      <c r="E61" s="57">
        <v>8.6912797092852507</v>
      </c>
      <c r="F61" s="57"/>
      <c r="G61" s="55">
        <f>G60+($G$63-$G$60)/3</f>
        <v>3.7095371912879105</v>
      </c>
      <c r="H61" s="109"/>
      <c r="I61" s="55">
        <f>I60+($I$62-$I$59)/3</f>
        <v>0.85444444444444456</v>
      </c>
      <c r="J61" s="55">
        <f t="shared" si="17"/>
        <v>2.0441772151898738</v>
      </c>
      <c r="K61" s="107"/>
      <c r="L61" s="9">
        <f t="shared" si="0"/>
        <v>155.91640721206349</v>
      </c>
      <c r="M61" s="9">
        <f t="shared" si="1"/>
        <v>32.78886591231209</v>
      </c>
      <c r="N61" s="9">
        <f t="shared" si="2"/>
        <v>7.9042896606892263</v>
      </c>
      <c r="O61" s="9">
        <f t="shared" si="3"/>
        <v>26.073839127855752</v>
      </c>
      <c r="P61" s="9">
        <f t="shared" si="4"/>
        <v>0</v>
      </c>
      <c r="Q61" s="9">
        <f t="shared" si="5"/>
        <v>11.128611573863731</v>
      </c>
      <c r="R61" s="9">
        <f t="shared" si="6"/>
        <v>0</v>
      </c>
      <c r="S61" s="9">
        <f t="shared" si="6"/>
        <v>1.1107777777777779</v>
      </c>
      <c r="T61" s="9">
        <f t="shared" si="7"/>
        <v>6.132531645569621</v>
      </c>
      <c r="U61" s="107"/>
      <c r="V61" s="117">
        <f t="shared" si="8"/>
        <v>241.05532291013171</v>
      </c>
      <c r="W61" s="114">
        <f t="shared" ref="W61:W64" si="18">$P$2+$R$2</f>
        <v>7.5591439040985739E-2</v>
      </c>
      <c r="X61" s="107">
        <f t="shared" si="10"/>
        <v>260.76708188428324</v>
      </c>
      <c r="Y61" s="107">
        <v>258.89415945461792</v>
      </c>
      <c r="Z61" s="9">
        <f t="shared" si="11"/>
        <v>33.261107383199395</v>
      </c>
      <c r="AA61" s="9">
        <f t="shared" si="11"/>
        <v>33.022214216150246</v>
      </c>
    </row>
    <row r="62" spans="1:27" x14ac:dyDescent="0.2">
      <c r="A62" s="9">
        <v>1711</v>
      </c>
      <c r="B62" s="56">
        <v>0.71470062036757365</v>
      </c>
      <c r="C62" s="56">
        <v>1.6394432956156044</v>
      </c>
      <c r="D62" s="56">
        <v>1.5809693660043251</v>
      </c>
      <c r="E62" s="57">
        <v>10.410160186822239</v>
      </c>
      <c r="F62" s="57"/>
      <c r="G62" s="55">
        <f>G61+($G$63-$G$60)/3</f>
        <v>4.1840128785456665</v>
      </c>
      <c r="H62" s="109"/>
      <c r="I62" s="113">
        <v>0.64083333333333337</v>
      </c>
      <c r="J62" s="55">
        <f t="shared" si="17"/>
        <v>2.0441772151898738</v>
      </c>
      <c r="K62" s="107"/>
      <c r="L62" s="9">
        <f t="shared" si="0"/>
        <v>127.93141104579568</v>
      </c>
      <c r="M62" s="9">
        <f t="shared" si="1"/>
        <v>32.78886591231209</v>
      </c>
      <c r="N62" s="9">
        <f t="shared" si="2"/>
        <v>7.9048468300216257</v>
      </c>
      <c r="O62" s="9">
        <f t="shared" si="3"/>
        <v>31.230480560466717</v>
      </c>
      <c r="P62" s="9">
        <f t="shared" si="4"/>
        <v>0</v>
      </c>
      <c r="Q62" s="9">
        <f t="shared" si="5"/>
        <v>12.552038635637</v>
      </c>
      <c r="R62" s="9">
        <f t="shared" si="6"/>
        <v>0</v>
      </c>
      <c r="S62" s="9">
        <f t="shared" si="6"/>
        <v>0.8330833333333334</v>
      </c>
      <c r="T62" s="9">
        <f t="shared" si="7"/>
        <v>6.132531645569621</v>
      </c>
      <c r="U62" s="107"/>
      <c r="V62" s="117">
        <f t="shared" si="8"/>
        <v>219.37325796313604</v>
      </c>
      <c r="W62" s="114">
        <f t="shared" si="18"/>
        <v>7.5591439040985739E-2</v>
      </c>
      <c r="X62" s="107">
        <f t="shared" si="10"/>
        <v>237.31201465242862</v>
      </c>
      <c r="Y62" s="107">
        <v>238.35297659565484</v>
      </c>
      <c r="Z62" s="9">
        <f t="shared" si="11"/>
        <v>30.269389624034261</v>
      </c>
      <c r="AA62" s="9">
        <f t="shared" si="11"/>
        <v>30.402165382098833</v>
      </c>
    </row>
    <row r="63" spans="1:27" x14ac:dyDescent="0.2">
      <c r="A63" s="9">
        <v>1712</v>
      </c>
      <c r="B63" s="57">
        <v>0.55835985966216695</v>
      </c>
      <c r="C63" s="56">
        <v>1.6394432956156044</v>
      </c>
      <c r="D63" s="56">
        <v>1.5784824051077921</v>
      </c>
      <c r="E63" s="57">
        <v>12.129040664359227</v>
      </c>
      <c r="F63" s="57"/>
      <c r="G63" s="109">
        <v>4.6584885658034221</v>
      </c>
      <c r="H63" s="109"/>
      <c r="I63" s="113">
        <v>0.64083333333333337</v>
      </c>
      <c r="J63" s="55">
        <f t="shared" si="17"/>
        <v>2.0441772151898738</v>
      </c>
      <c r="K63" s="107"/>
      <c r="L63" s="9">
        <f t="shared" si="0"/>
        <v>99.946414879527879</v>
      </c>
      <c r="M63" s="9">
        <f t="shared" si="1"/>
        <v>32.78886591231209</v>
      </c>
      <c r="N63" s="9">
        <f t="shared" si="2"/>
        <v>7.8924120255389605</v>
      </c>
      <c r="O63" s="9">
        <f t="shared" si="3"/>
        <v>36.387121993077685</v>
      </c>
      <c r="P63" s="9">
        <f t="shared" si="4"/>
        <v>0</v>
      </c>
      <c r="Q63" s="9">
        <f t="shared" si="5"/>
        <v>13.975465697410266</v>
      </c>
      <c r="R63" s="9">
        <f t="shared" si="6"/>
        <v>0</v>
      </c>
      <c r="S63" s="9">
        <f t="shared" si="6"/>
        <v>0.8330833333333334</v>
      </c>
      <c r="T63" s="9">
        <f t="shared" si="7"/>
        <v>6.132531645569621</v>
      </c>
      <c r="U63" s="107"/>
      <c r="V63" s="117">
        <f t="shared" si="8"/>
        <v>197.9558954867698</v>
      </c>
      <c r="W63" s="114">
        <f t="shared" si="18"/>
        <v>7.5591439040985739E-2</v>
      </c>
      <c r="X63" s="107">
        <f t="shared" si="10"/>
        <v>214.1432953427036</v>
      </c>
      <c r="Y63" s="107">
        <v>218.07649620732118</v>
      </c>
      <c r="Z63" s="9">
        <f t="shared" si="11"/>
        <v>27.314195834528519</v>
      </c>
      <c r="AA63" s="9">
        <f t="shared" si="11"/>
        <v>27.815879618280764</v>
      </c>
    </row>
    <row r="64" spans="1:27" x14ac:dyDescent="0.2">
      <c r="A64" s="9">
        <v>1713</v>
      </c>
      <c r="B64" s="56">
        <v>0.40201909895676019</v>
      </c>
      <c r="C64" s="56">
        <v>1.6394432956156044</v>
      </c>
      <c r="D64" s="56">
        <v>1.3959381502670363</v>
      </c>
      <c r="E64" s="57">
        <v>13.847921141896215</v>
      </c>
      <c r="F64" s="57"/>
      <c r="G64" s="109">
        <v>3.6987536529411429</v>
      </c>
      <c r="H64" s="109"/>
      <c r="I64" s="113">
        <v>0.64083333333333337</v>
      </c>
      <c r="J64" s="55">
        <f t="shared" si="17"/>
        <v>2.0441772151898738</v>
      </c>
      <c r="K64" s="107"/>
      <c r="L64" s="9">
        <f t="shared" si="0"/>
        <v>71.961418713260073</v>
      </c>
      <c r="M64" s="9">
        <f t="shared" si="1"/>
        <v>32.78886591231209</v>
      </c>
      <c r="N64" s="9">
        <f t="shared" si="2"/>
        <v>6.9796907513351814</v>
      </c>
      <c r="O64" s="9">
        <f t="shared" si="3"/>
        <v>41.543763425688645</v>
      </c>
      <c r="P64" s="9">
        <f t="shared" si="4"/>
        <v>0</v>
      </c>
      <c r="Q64" s="9">
        <f t="shared" si="5"/>
        <v>11.096260958823429</v>
      </c>
      <c r="R64" s="9">
        <f t="shared" si="6"/>
        <v>0</v>
      </c>
      <c r="S64" s="9">
        <f t="shared" si="6"/>
        <v>0.8330833333333334</v>
      </c>
      <c r="T64" s="9">
        <f t="shared" si="7"/>
        <v>6.132531645569621</v>
      </c>
      <c r="U64" s="107"/>
      <c r="V64" s="117">
        <f t="shared" si="8"/>
        <v>171.33561474032237</v>
      </c>
      <c r="W64" s="114">
        <f t="shared" si="18"/>
        <v>7.5591439040985739E-2</v>
      </c>
      <c r="X64" s="107">
        <f t="shared" si="10"/>
        <v>185.34620077790356</v>
      </c>
      <c r="Y64" s="107">
        <v>192.59709754890633</v>
      </c>
      <c r="Z64" s="9">
        <f t="shared" si="11"/>
        <v>23.641097037997902</v>
      </c>
      <c r="AA64" s="9">
        <f t="shared" si="11"/>
        <v>24.565956320013562</v>
      </c>
    </row>
    <row r="65" spans="1:27" x14ac:dyDescent="0.2">
      <c r="A65" s="9">
        <v>1714</v>
      </c>
      <c r="B65" s="56">
        <v>0.75936940914054707</v>
      </c>
      <c r="C65" s="56">
        <v>1.6394432956156044</v>
      </c>
      <c r="D65" s="56">
        <v>1.5870466127409824</v>
      </c>
      <c r="E65" s="56">
        <v>15.5668016194332</v>
      </c>
      <c r="F65" s="56">
        <v>5.6040485829959517</v>
      </c>
      <c r="G65" s="55">
        <f>G64+($G$70-$G$64)/6</f>
        <v>3.9449777785256601</v>
      </c>
      <c r="H65" s="109"/>
      <c r="I65" s="113">
        <v>0.64083333333333337</v>
      </c>
      <c r="J65" s="55">
        <f t="shared" si="17"/>
        <v>2.0441772151898738</v>
      </c>
      <c r="K65" s="107"/>
      <c r="L65" s="9">
        <f t="shared" si="0"/>
        <v>135.92712423615794</v>
      </c>
      <c r="M65" s="9">
        <f t="shared" si="1"/>
        <v>32.78886591231209</v>
      </c>
      <c r="N65" s="9">
        <f t="shared" si="2"/>
        <v>7.9352330637049118</v>
      </c>
      <c r="O65" s="9">
        <f t="shared" si="3"/>
        <v>46.700404858299599</v>
      </c>
      <c r="P65" s="9">
        <f t="shared" si="4"/>
        <v>7.2852631578947378</v>
      </c>
      <c r="Q65" s="9">
        <f t="shared" si="5"/>
        <v>11.834933335576981</v>
      </c>
      <c r="R65" s="9">
        <f t="shared" si="6"/>
        <v>0</v>
      </c>
      <c r="S65" s="9">
        <f t="shared" si="6"/>
        <v>0.8330833333333334</v>
      </c>
      <c r="T65" s="9">
        <f t="shared" si="7"/>
        <v>6.132531645569621</v>
      </c>
      <c r="U65" s="107"/>
      <c r="V65" s="117">
        <f t="shared" si="8"/>
        <v>249.43743954284923</v>
      </c>
      <c r="W65" s="114">
        <f>R2</f>
        <v>4.6956601926798722E-2</v>
      </c>
      <c r="X65" s="107">
        <f t="shared" si="10"/>
        <v>261.72726241758244</v>
      </c>
      <c r="Y65" s="107">
        <v>264.55454128157101</v>
      </c>
      <c r="Z65" s="9">
        <f t="shared" si="11"/>
        <v>33.383579389997763</v>
      </c>
      <c r="AA65" s="9">
        <f t="shared" si="11"/>
        <v>33.744201694077937</v>
      </c>
    </row>
    <row r="66" spans="1:27" x14ac:dyDescent="0.2">
      <c r="A66" s="9">
        <v>1715</v>
      </c>
      <c r="B66" s="57">
        <v>0.59186145124189693</v>
      </c>
      <c r="C66" s="57">
        <v>1.6394432956156044</v>
      </c>
      <c r="D66" s="56">
        <v>1.5809520397317327</v>
      </c>
      <c r="E66" s="56">
        <v>5.188933873144399</v>
      </c>
      <c r="F66" s="57">
        <f>F65+($F$67-$F$65)/2</f>
        <v>6.6937246963562753</v>
      </c>
      <c r="G66" s="55">
        <f>G65+($G$70-$G$64)/6</f>
        <v>4.1912019041101773</v>
      </c>
      <c r="H66" s="109"/>
      <c r="I66" s="113">
        <v>0.64083333333333337</v>
      </c>
      <c r="J66" s="55">
        <f t="shared" si="17"/>
        <v>2.0441772151898738</v>
      </c>
      <c r="K66" s="107"/>
      <c r="L66" s="9">
        <f t="shared" si="0"/>
        <v>105.94319977229955</v>
      </c>
      <c r="M66" s="9">
        <f t="shared" si="1"/>
        <v>32.78886591231209</v>
      </c>
      <c r="N66" s="9">
        <f t="shared" si="2"/>
        <v>7.9047601986586633</v>
      </c>
      <c r="O66" s="9">
        <f t="shared" si="3"/>
        <v>15.566801619433196</v>
      </c>
      <c r="P66" s="9">
        <f t="shared" si="4"/>
        <v>8.7018421052631574</v>
      </c>
      <c r="Q66" s="9">
        <f t="shared" si="5"/>
        <v>12.573605712330533</v>
      </c>
      <c r="R66" s="9">
        <f t="shared" si="6"/>
        <v>0</v>
      </c>
      <c r="S66" s="9">
        <f t="shared" si="6"/>
        <v>0.8330833333333334</v>
      </c>
      <c r="T66" s="9">
        <f t="shared" si="7"/>
        <v>6.132531645569621</v>
      </c>
      <c r="U66" s="107"/>
      <c r="V66" s="117">
        <f t="shared" si="8"/>
        <v>190.44469029920015</v>
      </c>
      <c r="W66" s="114">
        <f>R2</f>
        <v>4.6956601926798722E-2</v>
      </c>
      <c r="X66" s="107">
        <f t="shared" si="10"/>
        <v>199.82793090454049</v>
      </c>
      <c r="Y66" s="107">
        <v>206.16302500314751</v>
      </c>
      <c r="Z66" s="9">
        <f t="shared" si="11"/>
        <v>25.488256492926084</v>
      </c>
      <c r="AA66" s="9">
        <f t="shared" si="11"/>
        <v>26.296304209585141</v>
      </c>
    </row>
    <row r="67" spans="1:27" x14ac:dyDescent="0.2">
      <c r="A67" s="9">
        <v>1716</v>
      </c>
      <c r="B67" s="56">
        <v>0.42435349334324685</v>
      </c>
      <c r="C67" s="57">
        <v>1.6394432956156044</v>
      </c>
      <c r="D67" s="56">
        <v>3.7457616396761133</v>
      </c>
      <c r="E67" s="56">
        <v>6.4083333333333341</v>
      </c>
      <c r="F67" s="56">
        <v>7.7834008097165999</v>
      </c>
      <c r="G67" s="55">
        <f>G66+($G$70-$G$64)/6</f>
        <v>4.437426029694695</v>
      </c>
      <c r="H67" s="109">
        <v>12.553513591671488</v>
      </c>
      <c r="I67" s="55">
        <f>I66+($I$68-$I$66)/2</f>
        <v>0.64083333333333337</v>
      </c>
      <c r="J67" s="55">
        <f t="shared" si="17"/>
        <v>2.0441772151898738</v>
      </c>
      <c r="K67" s="107"/>
      <c r="L67" s="9">
        <f t="shared" si="0"/>
        <v>75.959275308441192</v>
      </c>
      <c r="M67" s="9">
        <f t="shared" si="1"/>
        <v>32.78886591231209</v>
      </c>
      <c r="N67" s="9">
        <f t="shared" si="2"/>
        <v>18.728808198380566</v>
      </c>
      <c r="O67" s="9">
        <f t="shared" si="3"/>
        <v>19.225000000000001</v>
      </c>
      <c r="P67" s="9">
        <f t="shared" si="4"/>
        <v>10.118421052631581</v>
      </c>
      <c r="Q67" s="9">
        <f t="shared" si="5"/>
        <v>13.312278089084085</v>
      </c>
      <c r="R67" s="9">
        <f t="shared" si="6"/>
        <v>16.319567669172933</v>
      </c>
      <c r="S67" s="9">
        <f t="shared" si="6"/>
        <v>0.8330833333333334</v>
      </c>
      <c r="T67" s="9">
        <f t="shared" si="7"/>
        <v>6.132531645569621</v>
      </c>
      <c r="U67" s="107"/>
      <c r="V67" s="117">
        <f t="shared" si="8"/>
        <v>193.41783120892541</v>
      </c>
      <c r="W67" s="119">
        <v>0</v>
      </c>
      <c r="X67" s="107">
        <f t="shared" si="10"/>
        <v>193.41783120892541</v>
      </c>
      <c r="Y67" s="107">
        <v>193.41783120892541</v>
      </c>
      <c r="Z67" s="9">
        <f t="shared" si="11"/>
        <v>24.670641735832323</v>
      </c>
      <c r="AA67" s="9">
        <f t="shared" si="11"/>
        <v>24.670641735832323</v>
      </c>
    </row>
    <row r="68" spans="1:27" x14ac:dyDescent="0.2">
      <c r="A68" s="9">
        <v>1717</v>
      </c>
      <c r="B68" s="56">
        <v>0.71470062036757365</v>
      </c>
      <c r="C68" s="56">
        <v>1.6394432956156044</v>
      </c>
      <c r="D68" s="56">
        <v>1.94585020242915</v>
      </c>
      <c r="E68" s="56">
        <v>6.6645369433198383</v>
      </c>
      <c r="F68" s="57">
        <f>F67+($F$69-$F$67)/2</f>
        <v>6.8104757085020253</v>
      </c>
      <c r="G68" s="55">
        <f>G67+($G$70-$G$64)/6</f>
        <v>4.6836501552792127</v>
      </c>
      <c r="H68" s="109">
        <v>11.383223684210526</v>
      </c>
      <c r="I68" s="113">
        <v>0.64083333333333348</v>
      </c>
      <c r="J68" s="109">
        <v>2.0441772151898738</v>
      </c>
      <c r="K68" s="107"/>
      <c r="L68" s="9">
        <f t="shared" ref="L68:L131" si="19">B68*179</f>
        <v>127.93141104579568</v>
      </c>
      <c r="M68" s="9">
        <f t="shared" ref="M68:M131" si="20">C68*20</f>
        <v>32.78886591231209</v>
      </c>
      <c r="N68" s="9">
        <f t="shared" ref="N68:N131" si="21">D68*5</f>
        <v>9.7292510121457489</v>
      </c>
      <c r="O68" s="9">
        <f t="shared" ref="O68:O131" si="22">E68*3</f>
        <v>19.993610829959515</v>
      </c>
      <c r="P68" s="9">
        <f t="shared" ref="P68:P131" si="23">F68*1.3</f>
        <v>8.8536184210526336</v>
      </c>
      <c r="Q68" s="9">
        <f t="shared" ref="Q68:Q131" si="24">G68*3</f>
        <v>14.050950465837637</v>
      </c>
      <c r="R68" s="9">
        <f t="shared" ref="R68:S131" si="25">H68*1.3</f>
        <v>14.798190789473685</v>
      </c>
      <c r="S68" s="9">
        <f t="shared" si="25"/>
        <v>0.83308333333333351</v>
      </c>
      <c r="T68" s="9">
        <f t="shared" ref="T68:T131" si="26">J68*3</f>
        <v>6.132531645569621</v>
      </c>
      <c r="U68" s="107"/>
      <c r="V68" s="117">
        <f t="shared" si="8"/>
        <v>235.11151345547995</v>
      </c>
      <c r="W68" s="119">
        <v>0</v>
      </c>
      <c r="X68" s="107">
        <f t="shared" si="10"/>
        <v>235.11151345547995</v>
      </c>
      <c r="Y68" s="107">
        <v>235.11151345547995</v>
      </c>
      <c r="Z68" s="9">
        <f t="shared" si="11"/>
        <v>29.988713450954076</v>
      </c>
      <c r="AA68" s="9">
        <f t="shared" si="11"/>
        <v>29.988713450954076</v>
      </c>
    </row>
    <row r="69" spans="1:27" x14ac:dyDescent="0.2">
      <c r="A69" s="9">
        <v>1718</v>
      </c>
      <c r="B69" s="56">
        <v>0.71470062036757365</v>
      </c>
      <c r="C69" s="56">
        <v>1.6394432956156044</v>
      </c>
      <c r="D69" s="56">
        <v>1.7829902926175372</v>
      </c>
      <c r="E69" s="57">
        <v>6.6522595551378449</v>
      </c>
      <c r="F69" s="56">
        <v>5.8375506072874499</v>
      </c>
      <c r="G69" s="55">
        <f>G68+($G$70-$G$64)/6</f>
        <v>4.9298742808637304</v>
      </c>
      <c r="H69" s="55">
        <f>H68+($H$71-$H$68)/3</f>
        <v>11.026484480431849</v>
      </c>
      <c r="I69" s="55">
        <f>I68+($I$71-$I$68)/3</f>
        <v>0.64083333333333348</v>
      </c>
      <c r="J69" s="109"/>
      <c r="K69" s="107"/>
      <c r="L69" s="9">
        <f t="shared" si="19"/>
        <v>127.93141104579568</v>
      </c>
      <c r="M69" s="9">
        <f t="shared" si="20"/>
        <v>32.78886591231209</v>
      </c>
      <c r="N69" s="9">
        <f t="shared" si="21"/>
        <v>8.9149514630876858</v>
      </c>
      <c r="O69" s="9">
        <f t="shared" si="22"/>
        <v>19.956778665413534</v>
      </c>
      <c r="P69" s="9">
        <f t="shared" si="23"/>
        <v>7.588815789473685</v>
      </c>
      <c r="Q69" s="9">
        <f t="shared" si="24"/>
        <v>14.789622842591191</v>
      </c>
      <c r="R69" s="9">
        <f t="shared" si="25"/>
        <v>14.334429824561404</v>
      </c>
      <c r="S69" s="9">
        <f t="shared" si="25"/>
        <v>0.83308333333333351</v>
      </c>
      <c r="T69" s="9">
        <f t="shared" si="26"/>
        <v>0</v>
      </c>
      <c r="U69" s="107"/>
      <c r="V69" s="117">
        <f t="shared" ref="V69:V132" si="27">SUM(L69:T69)</f>
        <v>227.1379588765686</v>
      </c>
      <c r="W69" s="114">
        <f>T2</f>
        <v>4.1825934026083311E-2</v>
      </c>
      <c r="X69" s="107">
        <f t="shared" ref="X69:X132" si="28">V69/(1-W69)</f>
        <v>237.05291861108643</v>
      </c>
      <c r="Y69" s="107">
        <v>234.12223102846733</v>
      </c>
      <c r="Z69" s="9">
        <f t="shared" ref="Z69:AA132" si="29">X69/7.84</f>
        <v>30.236341659577352</v>
      </c>
      <c r="AA69" s="9">
        <f t="shared" si="29"/>
        <v>29.862529467916751</v>
      </c>
    </row>
    <row r="70" spans="1:27" x14ac:dyDescent="0.2">
      <c r="A70" s="9">
        <v>1719</v>
      </c>
      <c r="B70" s="56">
        <v>0.71470062036757365</v>
      </c>
      <c r="C70" s="57">
        <v>1.6394432956156044</v>
      </c>
      <c r="D70" s="56">
        <v>2.9187753036437249</v>
      </c>
      <c r="E70" s="57">
        <v>6.6399821669558516</v>
      </c>
      <c r="F70" s="57"/>
      <c r="G70" s="109">
        <v>5.1760984064482471</v>
      </c>
      <c r="H70" s="55">
        <f>H69+($H$71-$H$68)/3</f>
        <v>10.669745276653172</v>
      </c>
      <c r="I70" s="55">
        <f>I69+($I$71-$I$68)/3</f>
        <v>0.64083333333333348</v>
      </c>
      <c r="J70" s="109"/>
      <c r="K70" s="107"/>
      <c r="L70" s="9">
        <f t="shared" si="19"/>
        <v>127.93141104579568</v>
      </c>
      <c r="M70" s="9">
        <f t="shared" si="20"/>
        <v>32.78886591231209</v>
      </c>
      <c r="N70" s="9">
        <f t="shared" si="21"/>
        <v>14.593876518218625</v>
      </c>
      <c r="O70" s="9">
        <f t="shared" si="22"/>
        <v>19.919946500867553</v>
      </c>
      <c r="P70" s="9">
        <f t="shared" si="23"/>
        <v>0</v>
      </c>
      <c r="Q70" s="9">
        <f t="shared" si="24"/>
        <v>15.528295219344741</v>
      </c>
      <c r="R70" s="9">
        <f t="shared" si="25"/>
        <v>13.870668859649124</v>
      </c>
      <c r="S70" s="9">
        <f t="shared" si="25"/>
        <v>0.83308333333333351</v>
      </c>
      <c r="T70" s="9">
        <f t="shared" si="26"/>
        <v>0</v>
      </c>
      <c r="U70" s="107"/>
      <c r="V70" s="117">
        <f t="shared" si="27"/>
        <v>225.46614738952115</v>
      </c>
      <c r="W70" s="114">
        <f>$T$2+$P$2</f>
        <v>7.0460771140270329E-2</v>
      </c>
      <c r="X70" s="107">
        <f t="shared" si="28"/>
        <v>242.55689312445864</v>
      </c>
      <c r="Y70" s="107">
        <v>240.88180553242842</v>
      </c>
      <c r="Z70" s="9">
        <f t="shared" si="29"/>
        <v>30.938379225058501</v>
      </c>
      <c r="AA70" s="9">
        <f t="shared" si="29"/>
        <v>30.724720093421993</v>
      </c>
    </row>
    <row r="71" spans="1:27" x14ac:dyDescent="0.2">
      <c r="A71" s="9">
        <v>1720</v>
      </c>
      <c r="B71" s="56">
        <v>0.77425900539820469</v>
      </c>
      <c r="C71" s="57">
        <v>1.6394432956156044</v>
      </c>
      <c r="D71" s="56">
        <v>2.9184576138147564</v>
      </c>
      <c r="E71" s="56">
        <v>6.6277047787738583</v>
      </c>
      <c r="F71" s="57"/>
      <c r="G71" s="55">
        <f>G70+($G$72-$G$70)/2</f>
        <v>4.9172934861258346</v>
      </c>
      <c r="H71" s="109">
        <v>10.313006072874495</v>
      </c>
      <c r="I71" s="113">
        <v>0.64083333333333348</v>
      </c>
      <c r="J71" s="109"/>
      <c r="K71" s="107"/>
      <c r="L71" s="9">
        <f t="shared" si="19"/>
        <v>138.59236196627865</v>
      </c>
      <c r="M71" s="9">
        <f t="shared" si="20"/>
        <v>32.78886591231209</v>
      </c>
      <c r="N71" s="9">
        <f t="shared" si="21"/>
        <v>14.592288069073781</v>
      </c>
      <c r="O71" s="9">
        <f t="shared" si="22"/>
        <v>19.883114336321576</v>
      </c>
      <c r="P71" s="9">
        <f t="shared" si="23"/>
        <v>0</v>
      </c>
      <c r="Q71" s="9">
        <f t="shared" si="24"/>
        <v>14.751880458377503</v>
      </c>
      <c r="R71" s="9">
        <f t="shared" si="25"/>
        <v>13.406907894736845</v>
      </c>
      <c r="S71" s="9">
        <f t="shared" si="25"/>
        <v>0.83308333333333351</v>
      </c>
      <c r="T71" s="9">
        <f t="shared" si="26"/>
        <v>0</v>
      </c>
      <c r="U71" s="107"/>
      <c r="V71" s="117">
        <f t="shared" si="27"/>
        <v>234.84850197043374</v>
      </c>
      <c r="W71" s="114">
        <f>$T$2+$P$2</f>
        <v>7.0460771140270329E-2</v>
      </c>
      <c r="X71" s="107">
        <f t="shared" si="28"/>
        <v>252.65044731734832</v>
      </c>
      <c r="Y71" s="107">
        <v>251.1067303148759</v>
      </c>
      <c r="Z71" s="9">
        <f t="shared" si="29"/>
        <v>32.225822361906673</v>
      </c>
      <c r="AA71" s="9">
        <f t="shared" si="29"/>
        <v>32.028919683019886</v>
      </c>
    </row>
    <row r="72" spans="1:27" x14ac:dyDescent="0.2">
      <c r="A72" s="9">
        <v>1721</v>
      </c>
      <c r="B72" s="57">
        <v>0.74447981288288911</v>
      </c>
      <c r="C72" s="56">
        <v>1.6394432956156044</v>
      </c>
      <c r="D72" s="56">
        <v>2.9187753036437249</v>
      </c>
      <c r="E72" s="57"/>
      <c r="F72" s="57"/>
      <c r="G72" s="109">
        <v>4.6584885658034221</v>
      </c>
      <c r="H72" s="109"/>
      <c r="I72" s="113">
        <v>0.64083333333333348</v>
      </c>
      <c r="J72" s="109"/>
      <c r="K72" s="107"/>
      <c r="L72" s="9">
        <f t="shared" si="19"/>
        <v>133.26188650603714</v>
      </c>
      <c r="M72" s="9">
        <f t="shared" si="20"/>
        <v>32.78886591231209</v>
      </c>
      <c r="N72" s="9">
        <f t="shared" si="21"/>
        <v>14.593876518218625</v>
      </c>
      <c r="O72" s="9">
        <f t="shared" si="22"/>
        <v>0</v>
      </c>
      <c r="P72" s="9">
        <f t="shared" si="23"/>
        <v>0</v>
      </c>
      <c r="Q72" s="9">
        <f t="shared" si="24"/>
        <v>13.975465697410266</v>
      </c>
      <c r="R72" s="9">
        <f t="shared" si="25"/>
        <v>0</v>
      </c>
      <c r="S72" s="9">
        <f t="shared" si="25"/>
        <v>0.83308333333333351</v>
      </c>
      <c r="T72" s="9">
        <f t="shared" si="26"/>
        <v>0</v>
      </c>
      <c r="U72" s="107"/>
      <c r="V72" s="117">
        <f t="shared" si="27"/>
        <v>195.45317796731146</v>
      </c>
      <c r="W72" s="114">
        <f>$T$2+$R$2+$P$2+$O$2</f>
        <v>0.2242306136688107</v>
      </c>
      <c r="X72" s="107">
        <f t="shared" si="28"/>
        <v>251.94752643135254</v>
      </c>
      <c r="Y72" s="107">
        <v>245.58805325734644</v>
      </c>
      <c r="Z72" s="9">
        <f t="shared" si="29"/>
        <v>32.136164085631705</v>
      </c>
      <c r="AA72" s="9">
        <f t="shared" si="29"/>
        <v>31.325006793028884</v>
      </c>
    </row>
    <row r="73" spans="1:27" x14ac:dyDescent="0.2">
      <c r="A73" s="9">
        <v>1722</v>
      </c>
      <c r="B73" s="56">
        <v>0.71470062036757365</v>
      </c>
      <c r="C73" s="57">
        <v>1.6394432956156044</v>
      </c>
      <c r="D73" s="56">
        <v>2.9187753036437249</v>
      </c>
      <c r="E73" s="57"/>
      <c r="F73" s="57"/>
      <c r="G73" s="109">
        <v>3.1380096589092501</v>
      </c>
      <c r="H73" s="109"/>
      <c r="I73" s="113">
        <v>0.64083333333333337</v>
      </c>
      <c r="J73" s="109"/>
      <c r="K73" s="107"/>
      <c r="L73" s="9">
        <f t="shared" si="19"/>
        <v>127.93141104579568</v>
      </c>
      <c r="M73" s="9">
        <f t="shared" si="20"/>
        <v>32.78886591231209</v>
      </c>
      <c r="N73" s="9">
        <f t="shared" si="21"/>
        <v>14.593876518218625</v>
      </c>
      <c r="O73" s="9">
        <f t="shared" si="22"/>
        <v>0</v>
      </c>
      <c r="P73" s="9">
        <f t="shared" si="23"/>
        <v>0</v>
      </c>
      <c r="Q73" s="9">
        <f t="shared" si="24"/>
        <v>9.4140289767277494</v>
      </c>
      <c r="R73" s="9">
        <f t="shared" si="25"/>
        <v>0</v>
      </c>
      <c r="S73" s="9">
        <f t="shared" si="25"/>
        <v>0.8330833333333334</v>
      </c>
      <c r="T73" s="9">
        <f t="shared" si="26"/>
        <v>0</v>
      </c>
      <c r="U73" s="107"/>
      <c r="V73" s="117">
        <f t="shared" si="27"/>
        <v>185.56126578638748</v>
      </c>
      <c r="W73" s="114">
        <f>$T$2+$R$2+$P$2+$O$2</f>
        <v>0.2242306136688107</v>
      </c>
      <c r="X73" s="107">
        <f t="shared" si="28"/>
        <v>239.19642751559698</v>
      </c>
      <c r="Y73" s="107">
        <v>236.28276579095686</v>
      </c>
      <c r="Z73" s="9">
        <f t="shared" si="29"/>
        <v>30.509748407601656</v>
      </c>
      <c r="AA73" s="9">
        <f t="shared" si="29"/>
        <v>30.1381078814996</v>
      </c>
    </row>
    <row r="74" spans="1:27" x14ac:dyDescent="0.2">
      <c r="A74" s="9">
        <v>1723</v>
      </c>
      <c r="B74" s="56">
        <v>0.63353743116708106</v>
      </c>
      <c r="C74" s="56">
        <v>1.6394432956156044</v>
      </c>
      <c r="D74" s="56">
        <v>2.6748179648317119</v>
      </c>
      <c r="E74" s="57"/>
      <c r="F74" s="57"/>
      <c r="G74" s="55"/>
      <c r="H74" s="109"/>
      <c r="I74" s="55">
        <f>I73+($I$75-$I$73)/2</f>
        <v>0.71292708333333343</v>
      </c>
      <c r="J74" s="109"/>
      <c r="K74" s="107"/>
      <c r="L74" s="9">
        <f t="shared" si="19"/>
        <v>113.40320017890751</v>
      </c>
      <c r="M74" s="9">
        <f t="shared" si="20"/>
        <v>32.78886591231209</v>
      </c>
      <c r="N74" s="9">
        <f t="shared" si="21"/>
        <v>13.37408982415856</v>
      </c>
      <c r="O74" s="9">
        <f t="shared" si="22"/>
        <v>0</v>
      </c>
      <c r="P74" s="9">
        <f t="shared" si="23"/>
        <v>0</v>
      </c>
      <c r="Q74" s="9">
        <f t="shared" si="24"/>
        <v>0</v>
      </c>
      <c r="R74" s="9">
        <f t="shared" si="25"/>
        <v>0</v>
      </c>
      <c r="S74" s="9">
        <f t="shared" si="25"/>
        <v>0.92680520833333346</v>
      </c>
      <c r="T74" s="9">
        <f t="shared" si="26"/>
        <v>0</v>
      </c>
      <c r="U74" s="107"/>
      <c r="V74" s="117">
        <f t="shared" si="27"/>
        <v>160.49296112371147</v>
      </c>
      <c r="W74" s="114">
        <f>$T$2+$R$2+$Q$2+$P$2+$O$2</f>
        <v>0.25441204284323521</v>
      </c>
      <c r="X74" s="107">
        <f t="shared" si="28"/>
        <v>215.25691178776211</v>
      </c>
      <c r="Y74" s="107">
        <v>221.27057301675492</v>
      </c>
      <c r="Z74" s="9">
        <f t="shared" si="29"/>
        <v>27.456238748439045</v>
      </c>
      <c r="AA74" s="9">
        <f t="shared" si="29"/>
        <v>28.223287374586089</v>
      </c>
    </row>
    <row r="75" spans="1:27" x14ac:dyDescent="0.2">
      <c r="A75" s="9">
        <v>1724</v>
      </c>
      <c r="B75" s="56">
        <v>0.71470062036757365</v>
      </c>
      <c r="C75" s="57">
        <v>1.6394432956156044</v>
      </c>
      <c r="D75" s="56">
        <v>2.675477842959046</v>
      </c>
      <c r="E75" s="57"/>
      <c r="F75" s="57"/>
      <c r="G75" s="55"/>
      <c r="H75" s="109"/>
      <c r="I75" s="113">
        <v>0.78502083333333339</v>
      </c>
      <c r="J75" s="109"/>
      <c r="K75" s="107"/>
      <c r="L75" s="9">
        <f t="shared" si="19"/>
        <v>127.93141104579568</v>
      </c>
      <c r="M75" s="9">
        <f t="shared" si="20"/>
        <v>32.78886591231209</v>
      </c>
      <c r="N75" s="9">
        <f t="shared" si="21"/>
        <v>13.37738921479523</v>
      </c>
      <c r="O75" s="9">
        <f t="shared" si="22"/>
        <v>0</v>
      </c>
      <c r="P75" s="9">
        <f t="shared" si="23"/>
        <v>0</v>
      </c>
      <c r="Q75" s="9">
        <f t="shared" si="24"/>
        <v>0</v>
      </c>
      <c r="R75" s="9">
        <f t="shared" si="25"/>
        <v>0</v>
      </c>
      <c r="S75" s="9">
        <f t="shared" si="25"/>
        <v>1.0205270833333335</v>
      </c>
      <c r="T75" s="9">
        <f t="shared" si="26"/>
        <v>0</v>
      </c>
      <c r="U75" s="107"/>
      <c r="V75" s="117">
        <f t="shared" si="27"/>
        <v>175.11819325623634</v>
      </c>
      <c r="W75" s="114">
        <f>$T$2+$R$2+$Q$2+$P$2+$O$2</f>
        <v>0.25441204284323521</v>
      </c>
      <c r="X75" s="107">
        <f t="shared" si="28"/>
        <v>234.87261506212417</v>
      </c>
      <c r="Y75" s="107">
        <v>236.53788806102614</v>
      </c>
      <c r="Z75" s="9">
        <f t="shared" si="29"/>
        <v>29.958241717107676</v>
      </c>
      <c r="AA75" s="9">
        <f t="shared" si="29"/>
        <v>30.170648987375785</v>
      </c>
    </row>
    <row r="76" spans="1:27" x14ac:dyDescent="0.2">
      <c r="A76" s="9">
        <v>1725</v>
      </c>
      <c r="B76" s="56">
        <v>0.71470062036757365</v>
      </c>
      <c r="C76" s="56">
        <v>1.6394432956156044</v>
      </c>
      <c r="D76" s="56">
        <v>1.94585020242915</v>
      </c>
      <c r="E76" s="57"/>
      <c r="F76" s="56">
        <v>5.7881720430107526</v>
      </c>
      <c r="G76" s="55"/>
      <c r="H76" s="109"/>
      <c r="I76" s="113"/>
      <c r="J76" s="109"/>
      <c r="K76" s="107"/>
      <c r="L76" s="9">
        <f t="shared" si="19"/>
        <v>127.93141104579568</v>
      </c>
      <c r="M76" s="9">
        <f t="shared" si="20"/>
        <v>32.78886591231209</v>
      </c>
      <c r="N76" s="9">
        <f t="shared" si="21"/>
        <v>9.7292510121457489</v>
      </c>
      <c r="O76" s="9">
        <f t="shared" si="22"/>
        <v>0</v>
      </c>
      <c r="P76" s="9">
        <f t="shared" si="23"/>
        <v>7.5246236559139783</v>
      </c>
      <c r="Q76" s="9">
        <f t="shared" si="24"/>
        <v>0</v>
      </c>
      <c r="R76" s="9">
        <f t="shared" si="25"/>
        <v>0</v>
      </c>
      <c r="S76" s="9">
        <f t="shared" si="25"/>
        <v>0</v>
      </c>
      <c r="T76" s="9">
        <f t="shared" si="26"/>
        <v>0</v>
      </c>
      <c r="U76" s="107"/>
      <c r="V76" s="117">
        <f t="shared" si="27"/>
        <v>177.9741516261675</v>
      </c>
      <c r="W76" s="114">
        <f>T2+S2+R2+Q2+O2</f>
        <v>0.22983669526878389</v>
      </c>
      <c r="X76" s="107">
        <f t="shared" si="28"/>
        <v>231.08625214009615</v>
      </c>
      <c r="Y76" s="107">
        <v>233.49434402012298</v>
      </c>
      <c r="Z76" s="9">
        <f t="shared" si="29"/>
        <v>29.475287262767367</v>
      </c>
      <c r="AA76" s="9">
        <f t="shared" si="29"/>
        <v>29.782441839301402</v>
      </c>
    </row>
    <row r="77" spans="1:27" x14ac:dyDescent="0.2">
      <c r="A77" s="9">
        <v>1726</v>
      </c>
      <c r="B77" s="56">
        <v>0.98271335300541374</v>
      </c>
      <c r="C77" s="56">
        <v>1.6394432956156044</v>
      </c>
      <c r="D77" s="56">
        <v>1.94585020242915</v>
      </c>
      <c r="E77" s="57"/>
      <c r="F77" s="57"/>
      <c r="G77" s="55"/>
      <c r="H77" s="109"/>
      <c r="I77" s="113"/>
      <c r="J77" s="109"/>
      <c r="K77" s="107"/>
      <c r="L77" s="9">
        <f t="shared" si="19"/>
        <v>175.90569018796907</v>
      </c>
      <c r="M77" s="9">
        <f t="shared" si="20"/>
        <v>32.78886591231209</v>
      </c>
      <c r="N77" s="9">
        <f t="shared" si="21"/>
        <v>9.7292510121457489</v>
      </c>
      <c r="O77" s="9">
        <f t="shared" si="22"/>
        <v>0</v>
      </c>
      <c r="P77" s="9">
        <f t="shared" si="23"/>
        <v>0</v>
      </c>
      <c r="Q77" s="9">
        <f t="shared" si="24"/>
        <v>0</v>
      </c>
      <c r="R77" s="9">
        <f t="shared" si="25"/>
        <v>0</v>
      </c>
      <c r="S77" s="9">
        <f t="shared" si="25"/>
        <v>0</v>
      </c>
      <c r="T77" s="9">
        <f t="shared" si="26"/>
        <v>0</v>
      </c>
      <c r="U77" s="107"/>
      <c r="V77" s="117">
        <f t="shared" si="27"/>
        <v>218.42380711242689</v>
      </c>
      <c r="W77" s="114">
        <f>$O$2+$P$2+$Q$2+$R$2+$S$2+$T$2</f>
        <v>0.25847153238297094</v>
      </c>
      <c r="X77" s="107">
        <f t="shared" si="28"/>
        <v>294.55889645660153</v>
      </c>
      <c r="Y77" s="107">
        <v>282.17366060099351</v>
      </c>
      <c r="Z77" s="9">
        <f t="shared" si="29"/>
        <v>37.571287813342032</v>
      </c>
      <c r="AA77" s="9">
        <f t="shared" si="29"/>
        <v>35.991538341963462</v>
      </c>
    </row>
    <row r="78" spans="1:27" x14ac:dyDescent="0.2">
      <c r="A78" s="9">
        <v>1727</v>
      </c>
      <c r="B78" s="57">
        <v>0.84870698668649369</v>
      </c>
      <c r="C78" s="56">
        <v>1.6394432956156044</v>
      </c>
      <c r="D78" s="56">
        <v>1.94585020242915</v>
      </c>
      <c r="E78" s="57"/>
      <c r="F78" s="57"/>
      <c r="G78" s="55"/>
      <c r="H78" s="109"/>
      <c r="I78" s="113"/>
      <c r="J78" s="109"/>
      <c r="K78" s="107"/>
      <c r="L78" s="9">
        <f t="shared" si="19"/>
        <v>151.91855061688238</v>
      </c>
      <c r="M78" s="9">
        <f t="shared" si="20"/>
        <v>32.78886591231209</v>
      </c>
      <c r="N78" s="9">
        <f t="shared" si="21"/>
        <v>9.7292510121457489</v>
      </c>
      <c r="O78" s="9">
        <f t="shared" si="22"/>
        <v>0</v>
      </c>
      <c r="P78" s="9">
        <f t="shared" si="23"/>
        <v>0</v>
      </c>
      <c r="Q78" s="9">
        <f t="shared" si="24"/>
        <v>0</v>
      </c>
      <c r="R78" s="9">
        <f t="shared" si="25"/>
        <v>0</v>
      </c>
      <c r="S78" s="9">
        <f t="shared" si="25"/>
        <v>0</v>
      </c>
      <c r="T78" s="9">
        <f t="shared" si="26"/>
        <v>0</v>
      </c>
      <c r="U78" s="107"/>
      <c r="V78" s="117">
        <f t="shared" si="27"/>
        <v>194.4366675413402</v>
      </c>
      <c r="W78" s="114">
        <f>$O$2+$P$2+$Q$2+$R$2+$S$2+$T$2</f>
        <v>0.25847153238297094</v>
      </c>
      <c r="X78" s="107">
        <f t="shared" si="28"/>
        <v>262.21065816418428</v>
      </c>
      <c r="Y78" s="107">
        <v>258.89155846860405</v>
      </c>
      <c r="Z78" s="9">
        <f t="shared" si="29"/>
        <v>33.445237010737792</v>
      </c>
      <c r="AA78" s="9">
        <f t="shared" si="29"/>
        <v>33.021882457730108</v>
      </c>
    </row>
    <row r="79" spans="1:27" x14ac:dyDescent="0.2">
      <c r="A79" s="9">
        <v>1728</v>
      </c>
      <c r="B79" s="56">
        <v>0.71470062036757365</v>
      </c>
      <c r="C79" s="56">
        <v>1.6394432956156044</v>
      </c>
      <c r="D79" s="56">
        <v>1.4491109503578978</v>
      </c>
      <c r="E79" s="57"/>
      <c r="F79" s="57"/>
      <c r="G79" s="55"/>
      <c r="H79" s="109"/>
      <c r="I79" s="113"/>
      <c r="J79" s="109"/>
      <c r="K79" s="107"/>
      <c r="L79" s="9">
        <f t="shared" si="19"/>
        <v>127.93141104579568</v>
      </c>
      <c r="M79" s="9">
        <f t="shared" si="20"/>
        <v>32.78886591231209</v>
      </c>
      <c r="N79" s="9">
        <f t="shared" si="21"/>
        <v>7.2455547517894896</v>
      </c>
      <c r="O79" s="9">
        <f t="shared" si="22"/>
        <v>0</v>
      </c>
      <c r="P79" s="9">
        <f t="shared" si="23"/>
        <v>0</v>
      </c>
      <c r="Q79" s="9">
        <f t="shared" si="24"/>
        <v>0</v>
      </c>
      <c r="R79" s="9">
        <f t="shared" si="25"/>
        <v>0</v>
      </c>
      <c r="S79" s="9">
        <f t="shared" si="25"/>
        <v>0</v>
      </c>
      <c r="T79" s="9">
        <f t="shared" si="26"/>
        <v>0</v>
      </c>
      <c r="U79" s="107"/>
      <c r="V79" s="117">
        <f t="shared" si="27"/>
        <v>167.96583170989726</v>
      </c>
      <c r="W79" s="114">
        <f>$O$2+$P$2+$Q$2+$R$2+$S$2+$T$2</f>
        <v>0.25847153238297094</v>
      </c>
      <c r="X79" s="107">
        <f t="shared" si="28"/>
        <v>226.51299180687039</v>
      </c>
      <c r="Y79" s="107">
        <v>233.12576007585827</v>
      </c>
      <c r="Z79" s="9">
        <f t="shared" si="29"/>
        <v>28.891963240672244</v>
      </c>
      <c r="AA79" s="9">
        <f t="shared" si="29"/>
        <v>29.735428581104372</v>
      </c>
    </row>
    <row r="80" spans="1:27" x14ac:dyDescent="0.2">
      <c r="A80" s="9">
        <v>1729</v>
      </c>
      <c r="B80" s="56">
        <v>0.60244090121444316</v>
      </c>
      <c r="C80" s="56">
        <v>1.6394432956156044</v>
      </c>
      <c r="D80" s="56">
        <v>1.4593876518218625</v>
      </c>
      <c r="E80" s="57"/>
      <c r="F80" s="57"/>
      <c r="G80" s="55"/>
      <c r="H80" s="109"/>
      <c r="I80" s="113">
        <v>0.64083333333333337</v>
      </c>
      <c r="J80" s="109">
        <v>5.451139240506329</v>
      </c>
      <c r="K80" s="107"/>
      <c r="L80" s="9">
        <f t="shared" si="19"/>
        <v>107.83692131738533</v>
      </c>
      <c r="M80" s="9">
        <f t="shared" si="20"/>
        <v>32.78886591231209</v>
      </c>
      <c r="N80" s="9">
        <f t="shared" si="21"/>
        <v>7.2969382591093126</v>
      </c>
      <c r="O80" s="9">
        <f t="shared" si="22"/>
        <v>0</v>
      </c>
      <c r="P80" s="9">
        <f t="shared" si="23"/>
        <v>0</v>
      </c>
      <c r="Q80" s="9">
        <f t="shared" si="24"/>
        <v>0</v>
      </c>
      <c r="R80" s="9">
        <f t="shared" si="25"/>
        <v>0</v>
      </c>
      <c r="S80" s="9">
        <f t="shared" si="25"/>
        <v>0.8330833333333334</v>
      </c>
      <c r="T80" s="9">
        <f t="shared" si="26"/>
        <v>16.353417721518987</v>
      </c>
      <c r="U80" s="107"/>
      <c r="V80" s="117">
        <f t="shared" si="27"/>
        <v>165.10922654365905</v>
      </c>
      <c r="W80" s="114">
        <f>O2+P2+Q2+R2</f>
        <v>0.2125861088171519</v>
      </c>
      <c r="X80" s="107">
        <f t="shared" si="28"/>
        <v>209.68543785230031</v>
      </c>
      <c r="Y80" s="107">
        <v>213.78769129346489</v>
      </c>
      <c r="Z80" s="9">
        <f t="shared" si="29"/>
        <v>26.745591562793408</v>
      </c>
      <c r="AA80" s="9">
        <f t="shared" si="29"/>
        <v>27.268838175186847</v>
      </c>
    </row>
    <row r="81" spans="1:27" x14ac:dyDescent="0.2">
      <c r="A81" s="9">
        <v>1730</v>
      </c>
      <c r="B81" s="56">
        <v>0.71470062036757365</v>
      </c>
      <c r="C81" s="56">
        <v>1.6394432956156044</v>
      </c>
      <c r="D81" s="57">
        <v>1.3985798329959516</v>
      </c>
      <c r="E81" s="57"/>
      <c r="F81" s="57"/>
      <c r="G81" s="55"/>
      <c r="H81" s="109"/>
      <c r="I81" s="55">
        <f>I80+($I$83-$I$80)/3</f>
        <v>0.64083333333333337</v>
      </c>
      <c r="J81" s="109"/>
      <c r="K81" s="107"/>
      <c r="L81" s="9">
        <f t="shared" si="19"/>
        <v>127.93141104579568</v>
      </c>
      <c r="M81" s="9">
        <f t="shared" si="20"/>
        <v>32.78886591231209</v>
      </c>
      <c r="N81" s="9">
        <f t="shared" si="21"/>
        <v>6.9928991649797574</v>
      </c>
      <c r="O81" s="9">
        <f t="shared" si="22"/>
        <v>0</v>
      </c>
      <c r="P81" s="9">
        <f t="shared" si="23"/>
        <v>0</v>
      </c>
      <c r="Q81" s="9">
        <f t="shared" si="24"/>
        <v>0</v>
      </c>
      <c r="R81" s="9">
        <f t="shared" si="25"/>
        <v>0</v>
      </c>
      <c r="S81" s="9">
        <f t="shared" si="25"/>
        <v>0.8330833333333334</v>
      </c>
      <c r="T81" s="9">
        <f t="shared" si="26"/>
        <v>0</v>
      </c>
      <c r="U81" s="107"/>
      <c r="V81" s="117">
        <f t="shared" si="27"/>
        <v>168.54625945642084</v>
      </c>
      <c r="W81" s="114">
        <f>$T$2+$R$2+$Q$2+$P$2+$O$2</f>
        <v>0.25441204284323521</v>
      </c>
      <c r="X81" s="107">
        <f t="shared" si="28"/>
        <v>226.05818379786797</v>
      </c>
      <c r="Y81" s="107">
        <v>233.42236736379144</v>
      </c>
      <c r="Z81" s="9">
        <f t="shared" si="29"/>
        <v>28.833952015034182</v>
      </c>
      <c r="AA81" s="9">
        <f t="shared" si="29"/>
        <v>29.773261143340743</v>
      </c>
    </row>
    <row r="82" spans="1:27" x14ac:dyDescent="0.2">
      <c r="A82" s="9">
        <v>1731</v>
      </c>
      <c r="B82" s="56">
        <v>0.71470062036757365</v>
      </c>
      <c r="C82" s="56">
        <v>1.6394432956156044</v>
      </c>
      <c r="D82" s="56">
        <v>1.3377720141700407</v>
      </c>
      <c r="E82" s="57"/>
      <c r="F82" s="57"/>
      <c r="G82" s="55"/>
      <c r="H82" s="109"/>
      <c r="I82" s="55">
        <f>I81+($I$83-$I$80)/3</f>
        <v>0.64083333333333337</v>
      </c>
      <c r="J82" s="109"/>
      <c r="K82" s="107"/>
      <c r="L82" s="9">
        <f t="shared" si="19"/>
        <v>127.93141104579568</v>
      </c>
      <c r="M82" s="9">
        <f t="shared" si="20"/>
        <v>32.78886591231209</v>
      </c>
      <c r="N82" s="9">
        <f t="shared" si="21"/>
        <v>6.6888600708502031</v>
      </c>
      <c r="O82" s="9">
        <f t="shared" si="22"/>
        <v>0</v>
      </c>
      <c r="P82" s="9">
        <f t="shared" si="23"/>
        <v>0</v>
      </c>
      <c r="Q82" s="9">
        <f t="shared" si="24"/>
        <v>0</v>
      </c>
      <c r="R82" s="9">
        <f t="shared" si="25"/>
        <v>0</v>
      </c>
      <c r="S82" s="9">
        <f t="shared" si="25"/>
        <v>0.8330833333333334</v>
      </c>
      <c r="T82" s="9">
        <f t="shared" si="26"/>
        <v>0</v>
      </c>
      <c r="U82" s="107"/>
      <c r="V82" s="117">
        <f t="shared" si="27"/>
        <v>168.24222036229131</v>
      </c>
      <c r="W82" s="114">
        <f t="shared" ref="W82:W91" si="30">$T$2+$R$2+$Q$2+$P$2+$O$2</f>
        <v>0.25441204284323521</v>
      </c>
      <c r="X82" s="107">
        <f t="shared" si="28"/>
        <v>225.65039945638134</v>
      </c>
      <c r="Y82" s="107">
        <v>232.96255370570768</v>
      </c>
      <c r="Z82" s="9">
        <f t="shared" si="29"/>
        <v>28.78193870617109</v>
      </c>
      <c r="AA82" s="9">
        <f t="shared" si="29"/>
        <v>29.714611442054551</v>
      </c>
    </row>
    <row r="83" spans="1:27" x14ac:dyDescent="0.2">
      <c r="A83" s="9">
        <v>1732</v>
      </c>
      <c r="B83" s="56">
        <v>0.71470062036757365</v>
      </c>
      <c r="C83" s="56">
        <v>1.6394432956156044</v>
      </c>
      <c r="D83" s="56">
        <v>1.3369161492966681</v>
      </c>
      <c r="E83" s="57"/>
      <c r="F83" s="57"/>
      <c r="G83" s="55"/>
      <c r="H83" s="109"/>
      <c r="I83" s="113">
        <v>0.64083333333333337</v>
      </c>
      <c r="J83" s="109"/>
      <c r="K83" s="107"/>
      <c r="L83" s="9">
        <f t="shared" si="19"/>
        <v>127.93141104579568</v>
      </c>
      <c r="M83" s="9">
        <f t="shared" si="20"/>
        <v>32.78886591231209</v>
      </c>
      <c r="N83" s="9">
        <f t="shared" si="21"/>
        <v>6.6845807464833404</v>
      </c>
      <c r="O83" s="9">
        <f t="shared" si="22"/>
        <v>0</v>
      </c>
      <c r="P83" s="9">
        <f t="shared" si="23"/>
        <v>0</v>
      </c>
      <c r="Q83" s="9">
        <f t="shared" si="24"/>
        <v>0</v>
      </c>
      <c r="R83" s="9">
        <f t="shared" si="25"/>
        <v>0</v>
      </c>
      <c r="S83" s="9">
        <f t="shared" si="25"/>
        <v>0.8330833333333334</v>
      </c>
      <c r="T83" s="9">
        <f t="shared" si="26"/>
        <v>0</v>
      </c>
      <c r="U83" s="107"/>
      <c r="V83" s="117">
        <f t="shared" si="27"/>
        <v>168.23794103792443</v>
      </c>
      <c r="W83" s="114">
        <f t="shared" si="30"/>
        <v>0.25441204284323521</v>
      </c>
      <c r="X83" s="107">
        <f t="shared" si="28"/>
        <v>225.64465992648979</v>
      </c>
      <c r="Y83" s="107">
        <v>232.8024998173866</v>
      </c>
      <c r="Z83" s="9">
        <f t="shared" si="29"/>
        <v>28.781206623276759</v>
      </c>
      <c r="AA83" s="9">
        <f t="shared" si="29"/>
        <v>29.694196405278905</v>
      </c>
    </row>
    <row r="84" spans="1:27" x14ac:dyDescent="0.2">
      <c r="A84" s="9">
        <v>1733</v>
      </c>
      <c r="B84" s="56">
        <v>0.71470062036757365</v>
      </c>
      <c r="C84" s="56">
        <v>1.6394432956156044</v>
      </c>
      <c r="D84" s="56">
        <v>1.3377720141700407</v>
      </c>
      <c r="E84" s="57"/>
      <c r="F84" s="57"/>
      <c r="G84" s="55"/>
      <c r="H84" s="109"/>
      <c r="I84" s="113">
        <v>0.64083333333333337</v>
      </c>
      <c r="J84" s="109"/>
      <c r="K84" s="107"/>
      <c r="L84" s="9">
        <f t="shared" si="19"/>
        <v>127.93141104579568</v>
      </c>
      <c r="M84" s="9">
        <f t="shared" si="20"/>
        <v>32.78886591231209</v>
      </c>
      <c r="N84" s="9">
        <f t="shared" si="21"/>
        <v>6.6888600708502031</v>
      </c>
      <c r="O84" s="9">
        <f t="shared" si="22"/>
        <v>0</v>
      </c>
      <c r="P84" s="9">
        <f t="shared" si="23"/>
        <v>0</v>
      </c>
      <c r="Q84" s="9">
        <f t="shared" si="24"/>
        <v>0</v>
      </c>
      <c r="R84" s="9">
        <f t="shared" si="25"/>
        <v>0</v>
      </c>
      <c r="S84" s="9">
        <f t="shared" si="25"/>
        <v>0.8330833333333334</v>
      </c>
      <c r="T84" s="9">
        <f t="shared" si="26"/>
        <v>0</v>
      </c>
      <c r="U84" s="107"/>
      <c r="V84" s="117">
        <f t="shared" si="27"/>
        <v>168.24222036229131</v>
      </c>
      <c r="W84" s="114">
        <f t="shared" si="30"/>
        <v>0.25441204284323521</v>
      </c>
      <c r="X84" s="107">
        <f t="shared" si="28"/>
        <v>225.65039945638134</v>
      </c>
      <c r="Y84" s="107">
        <v>232.65100457779926</v>
      </c>
      <c r="Z84" s="9">
        <f t="shared" si="29"/>
        <v>28.78193870617109</v>
      </c>
      <c r="AA84" s="9">
        <f t="shared" si="29"/>
        <v>29.674873032882559</v>
      </c>
    </row>
    <row r="85" spans="1:27" x14ac:dyDescent="0.2">
      <c r="A85" s="9">
        <v>1734</v>
      </c>
      <c r="B85" s="56">
        <v>0.65514223533694238</v>
      </c>
      <c r="C85" s="56">
        <v>1.6394432956156044</v>
      </c>
      <c r="D85" s="56">
        <v>1.3377415722081754</v>
      </c>
      <c r="E85" s="57"/>
      <c r="F85" s="57"/>
      <c r="G85" s="55"/>
      <c r="H85" s="109"/>
      <c r="I85" s="113">
        <v>0.64083333333333337</v>
      </c>
      <c r="J85" s="109"/>
      <c r="K85" s="107"/>
      <c r="L85" s="9">
        <f t="shared" si="19"/>
        <v>117.27046012531268</v>
      </c>
      <c r="M85" s="9">
        <f t="shared" si="20"/>
        <v>32.78886591231209</v>
      </c>
      <c r="N85" s="9">
        <f t="shared" si="21"/>
        <v>6.6887078610408768</v>
      </c>
      <c r="O85" s="9">
        <f t="shared" si="22"/>
        <v>0</v>
      </c>
      <c r="P85" s="9">
        <f t="shared" si="23"/>
        <v>0</v>
      </c>
      <c r="Q85" s="9">
        <f t="shared" si="24"/>
        <v>0</v>
      </c>
      <c r="R85" s="9">
        <f t="shared" si="25"/>
        <v>0</v>
      </c>
      <c r="S85" s="9">
        <f t="shared" si="25"/>
        <v>0.8330833333333334</v>
      </c>
      <c r="T85" s="9">
        <f t="shared" si="26"/>
        <v>0</v>
      </c>
      <c r="U85" s="107"/>
      <c r="V85" s="117">
        <f t="shared" si="27"/>
        <v>157.58111723199897</v>
      </c>
      <c r="W85" s="114">
        <f t="shared" si="30"/>
        <v>0.25441204284323521</v>
      </c>
      <c r="X85" s="107">
        <f t="shared" si="28"/>
        <v>211.35147868122891</v>
      </c>
      <c r="Y85" s="107">
        <v>221.8341268835527</v>
      </c>
      <c r="Z85" s="9">
        <f t="shared" si="29"/>
        <v>26.958096770564914</v>
      </c>
      <c r="AA85" s="9">
        <f t="shared" si="29"/>
        <v>28.295169245351111</v>
      </c>
    </row>
    <row r="86" spans="1:27" x14ac:dyDescent="0.2">
      <c r="A86" s="9">
        <v>1735</v>
      </c>
      <c r="B86" s="56">
        <v>0.71470062036757365</v>
      </c>
      <c r="C86" s="56">
        <v>1.6394432956156044</v>
      </c>
      <c r="D86" s="56">
        <v>1.3376976315170426</v>
      </c>
      <c r="E86" s="57"/>
      <c r="F86" s="57"/>
      <c r="G86" s="55"/>
      <c r="H86" s="109"/>
      <c r="I86" s="113">
        <v>0.64083333333333337</v>
      </c>
      <c r="J86" s="109"/>
      <c r="K86" s="107"/>
      <c r="L86" s="9">
        <f t="shared" si="19"/>
        <v>127.93141104579568</v>
      </c>
      <c r="M86" s="9">
        <f t="shared" si="20"/>
        <v>32.78886591231209</v>
      </c>
      <c r="N86" s="9">
        <f t="shared" si="21"/>
        <v>6.6884881575852129</v>
      </c>
      <c r="O86" s="9">
        <f t="shared" si="22"/>
        <v>0</v>
      </c>
      <c r="P86" s="9">
        <f t="shared" si="23"/>
        <v>0</v>
      </c>
      <c r="Q86" s="9">
        <f t="shared" si="24"/>
        <v>0</v>
      </c>
      <c r="R86" s="9">
        <f t="shared" si="25"/>
        <v>0</v>
      </c>
      <c r="S86" s="9">
        <f t="shared" si="25"/>
        <v>0.8330833333333334</v>
      </c>
      <c r="T86" s="9">
        <f t="shared" si="26"/>
        <v>0</v>
      </c>
      <c r="U86" s="107"/>
      <c r="V86" s="117">
        <f t="shared" si="27"/>
        <v>168.24184844902632</v>
      </c>
      <c r="W86" s="114">
        <f t="shared" si="30"/>
        <v>0.25441204284323521</v>
      </c>
      <c r="X86" s="107">
        <f t="shared" si="28"/>
        <v>225.64990063761502</v>
      </c>
      <c r="Y86" s="107">
        <v>232.33908353662585</v>
      </c>
      <c r="Z86" s="9">
        <f t="shared" si="29"/>
        <v>28.781875081328447</v>
      </c>
      <c r="AA86" s="9">
        <f t="shared" si="29"/>
        <v>29.635087185794113</v>
      </c>
    </row>
    <row r="87" spans="1:27" x14ac:dyDescent="0.2">
      <c r="A87" s="9">
        <v>1736</v>
      </c>
      <c r="B87" s="56">
        <v>0.62536304282162691</v>
      </c>
      <c r="C87" s="56">
        <v>1.6394432956156044</v>
      </c>
      <c r="D87" s="56">
        <v>1.337799130254244</v>
      </c>
      <c r="E87" s="57"/>
      <c r="F87" s="57"/>
      <c r="G87" s="109">
        <v>3.3968145792316622</v>
      </c>
      <c r="H87" s="109"/>
      <c r="I87" s="113">
        <v>0.63617272727272722</v>
      </c>
      <c r="J87" s="109"/>
      <c r="K87" s="107"/>
      <c r="L87" s="9">
        <f t="shared" si="19"/>
        <v>111.93998466507122</v>
      </c>
      <c r="M87" s="9">
        <f t="shared" si="20"/>
        <v>32.78886591231209</v>
      </c>
      <c r="N87" s="9">
        <f t="shared" si="21"/>
        <v>6.6889956512712203</v>
      </c>
      <c r="O87" s="9">
        <f t="shared" si="22"/>
        <v>0</v>
      </c>
      <c r="P87" s="9">
        <f t="shared" si="23"/>
        <v>0</v>
      </c>
      <c r="Q87" s="9">
        <f t="shared" si="24"/>
        <v>10.190443737694986</v>
      </c>
      <c r="R87" s="9">
        <f t="shared" si="25"/>
        <v>0</v>
      </c>
      <c r="S87" s="9">
        <f t="shared" si="25"/>
        <v>0.8270245454545454</v>
      </c>
      <c r="T87" s="9">
        <f t="shared" si="26"/>
        <v>0</v>
      </c>
      <c r="U87" s="107"/>
      <c r="V87" s="117">
        <f t="shared" si="27"/>
        <v>162.43531451180405</v>
      </c>
      <c r="W87" s="114">
        <f>T2+R2+P2+N2</f>
        <v>0.19606519104387765</v>
      </c>
      <c r="X87" s="107">
        <f t="shared" si="28"/>
        <v>202.05035620079681</v>
      </c>
      <c r="Y87" s="107">
        <v>216.18633129775435</v>
      </c>
      <c r="Z87" s="9">
        <f t="shared" si="29"/>
        <v>25.771729107244493</v>
      </c>
      <c r="AA87" s="9">
        <f t="shared" si="29"/>
        <v>27.574787155325811</v>
      </c>
    </row>
    <row r="88" spans="1:27" x14ac:dyDescent="0.2">
      <c r="A88" s="9">
        <v>1737</v>
      </c>
      <c r="B88" s="56">
        <v>0.71470062036757365</v>
      </c>
      <c r="C88" s="56">
        <v>1.6394432956156044</v>
      </c>
      <c r="D88" s="56">
        <v>1.3436685299349775</v>
      </c>
      <c r="E88" s="57"/>
      <c r="F88" s="57"/>
      <c r="G88" s="55"/>
      <c r="H88" s="109"/>
      <c r="I88" s="113">
        <v>0.64083333333333337</v>
      </c>
      <c r="J88" s="109"/>
      <c r="K88" s="107"/>
      <c r="L88" s="9">
        <f t="shared" si="19"/>
        <v>127.93141104579568</v>
      </c>
      <c r="M88" s="9">
        <f t="shared" si="20"/>
        <v>32.78886591231209</v>
      </c>
      <c r="N88" s="9">
        <f t="shared" si="21"/>
        <v>6.7183426496748879</v>
      </c>
      <c r="O88" s="9">
        <f t="shared" si="22"/>
        <v>0</v>
      </c>
      <c r="P88" s="9">
        <f t="shared" si="23"/>
        <v>0</v>
      </c>
      <c r="Q88" s="9">
        <f t="shared" si="24"/>
        <v>0</v>
      </c>
      <c r="R88" s="9">
        <f t="shared" si="25"/>
        <v>0</v>
      </c>
      <c r="S88" s="9">
        <f t="shared" si="25"/>
        <v>0.8330833333333334</v>
      </c>
      <c r="T88" s="9">
        <f t="shared" si="26"/>
        <v>0</v>
      </c>
      <c r="U88" s="107"/>
      <c r="V88" s="117">
        <f t="shared" si="27"/>
        <v>168.27170294111599</v>
      </c>
      <c r="W88" s="114">
        <f t="shared" si="30"/>
        <v>0.25441204284323521</v>
      </c>
      <c r="X88" s="107">
        <f t="shared" si="28"/>
        <v>225.6899421804043</v>
      </c>
      <c r="Y88" s="107">
        <v>232.431267537021</v>
      </c>
      <c r="Z88" s="9">
        <f t="shared" si="29"/>
        <v>28.786982420969938</v>
      </c>
      <c r="AA88" s="9">
        <f t="shared" si="29"/>
        <v>29.646845349109821</v>
      </c>
    </row>
    <row r="89" spans="1:27" x14ac:dyDescent="0.2">
      <c r="A89" s="9">
        <v>1738</v>
      </c>
      <c r="B89" s="56">
        <v>0.52485826808243685</v>
      </c>
      <c r="C89" s="56">
        <v>1.6394432956156044</v>
      </c>
      <c r="D89" s="56">
        <v>1.3378201787790116</v>
      </c>
      <c r="E89" s="57"/>
      <c r="F89" s="57"/>
      <c r="G89" s="55"/>
      <c r="H89" s="109"/>
      <c r="I89" s="55">
        <f>I88+($I$90-$I$88)/2</f>
        <v>0.64083333333333337</v>
      </c>
      <c r="J89" s="109"/>
      <c r="K89" s="107"/>
      <c r="L89" s="9">
        <f t="shared" si="19"/>
        <v>93.949629986756193</v>
      </c>
      <c r="M89" s="9">
        <f t="shared" si="20"/>
        <v>32.78886591231209</v>
      </c>
      <c r="N89" s="9">
        <f t="shared" si="21"/>
        <v>6.6891008938950582</v>
      </c>
      <c r="O89" s="9">
        <f t="shared" si="22"/>
        <v>0</v>
      </c>
      <c r="P89" s="9">
        <f t="shared" si="23"/>
        <v>0</v>
      </c>
      <c r="Q89" s="9">
        <f t="shared" si="24"/>
        <v>0</v>
      </c>
      <c r="R89" s="9">
        <f t="shared" si="25"/>
        <v>0</v>
      </c>
      <c r="S89" s="9">
        <f t="shared" si="25"/>
        <v>0.8330833333333334</v>
      </c>
      <c r="T89" s="9">
        <f t="shared" si="26"/>
        <v>0</v>
      </c>
      <c r="U89" s="107"/>
      <c r="V89" s="117">
        <f t="shared" si="27"/>
        <v>134.26068012629665</v>
      </c>
      <c r="W89" s="114">
        <f t="shared" si="30"/>
        <v>0.25441204284323521</v>
      </c>
      <c r="X89" s="107">
        <f t="shared" si="28"/>
        <v>180.07356320277509</v>
      </c>
      <c r="Y89" s="107">
        <v>198.63834879446134</v>
      </c>
      <c r="Z89" s="9">
        <f t="shared" si="29"/>
        <v>22.968566735047844</v>
      </c>
      <c r="AA89" s="9">
        <f t="shared" si="29"/>
        <v>25.336524080926193</v>
      </c>
    </row>
    <row r="90" spans="1:27" x14ac:dyDescent="0.2">
      <c r="A90" s="9">
        <v>1739</v>
      </c>
      <c r="B90" s="56">
        <v>0.7370350147540603</v>
      </c>
      <c r="C90" s="56">
        <v>1.6394432956156044</v>
      </c>
      <c r="D90" s="56">
        <v>1.3376994078192037</v>
      </c>
      <c r="E90" s="57"/>
      <c r="F90" s="57"/>
      <c r="G90" s="55"/>
      <c r="H90" s="109"/>
      <c r="I90" s="113">
        <v>0.64083333333333337</v>
      </c>
      <c r="J90" s="109"/>
      <c r="K90" s="107"/>
      <c r="L90" s="9">
        <f t="shared" si="19"/>
        <v>131.9292676409768</v>
      </c>
      <c r="M90" s="9">
        <f t="shared" si="20"/>
        <v>32.78886591231209</v>
      </c>
      <c r="N90" s="9">
        <f t="shared" si="21"/>
        <v>6.6884970390960188</v>
      </c>
      <c r="O90" s="9">
        <f t="shared" si="22"/>
        <v>0</v>
      </c>
      <c r="P90" s="9">
        <f t="shared" si="23"/>
        <v>0</v>
      </c>
      <c r="Q90" s="9">
        <f t="shared" si="24"/>
        <v>0</v>
      </c>
      <c r="R90" s="9">
        <f t="shared" si="25"/>
        <v>0</v>
      </c>
      <c r="S90" s="9">
        <f t="shared" si="25"/>
        <v>0.8330833333333334</v>
      </c>
      <c r="T90" s="9">
        <f t="shared" si="26"/>
        <v>0</v>
      </c>
      <c r="U90" s="107"/>
      <c r="V90" s="117">
        <f t="shared" si="27"/>
        <v>172.23971392571823</v>
      </c>
      <c r="W90" s="114">
        <f t="shared" si="30"/>
        <v>0.25441204284323521</v>
      </c>
      <c r="X90" s="107">
        <f t="shared" si="28"/>
        <v>231.01193128512898</v>
      </c>
      <c r="Y90" s="107">
        <v>236.83548666614266</v>
      </c>
      <c r="Z90" s="9">
        <f t="shared" si="29"/>
        <v>29.465807561878698</v>
      </c>
      <c r="AA90" s="9">
        <f t="shared" si="29"/>
        <v>30.208607993130443</v>
      </c>
    </row>
    <row r="91" spans="1:27" x14ac:dyDescent="0.2">
      <c r="A91" s="9">
        <v>1740</v>
      </c>
      <c r="B91" s="56">
        <v>0.70576686261297883</v>
      </c>
      <c r="C91" s="56">
        <v>1.6394432956156044</v>
      </c>
      <c r="D91" s="56">
        <v>1.3402934692752824</v>
      </c>
      <c r="E91" s="57"/>
      <c r="F91" s="57"/>
      <c r="G91" s="55"/>
      <c r="H91" s="109"/>
      <c r="I91" s="55">
        <f>I90+($I$92-$I$90)/2</f>
        <v>0.72722017973856201</v>
      </c>
      <c r="J91" s="109"/>
      <c r="K91" s="107"/>
      <c r="L91" s="9">
        <f t="shared" si="19"/>
        <v>126.33226840772321</v>
      </c>
      <c r="M91" s="9">
        <f t="shared" si="20"/>
        <v>32.78886591231209</v>
      </c>
      <c r="N91" s="9">
        <f t="shared" si="21"/>
        <v>6.7014673463764121</v>
      </c>
      <c r="O91" s="9">
        <f t="shared" si="22"/>
        <v>0</v>
      </c>
      <c r="P91" s="9">
        <f t="shared" si="23"/>
        <v>0</v>
      </c>
      <c r="Q91" s="9">
        <f t="shared" si="24"/>
        <v>0</v>
      </c>
      <c r="R91" s="9">
        <f t="shared" si="25"/>
        <v>0</v>
      </c>
      <c r="S91" s="9">
        <f t="shared" si="25"/>
        <v>0.94538623366013064</v>
      </c>
      <c r="T91" s="9">
        <f t="shared" si="26"/>
        <v>0</v>
      </c>
      <c r="U91" s="107"/>
      <c r="V91" s="117">
        <f t="shared" si="27"/>
        <v>166.76798790007186</v>
      </c>
      <c r="W91" s="114">
        <f t="shared" si="30"/>
        <v>0.25441204284323521</v>
      </c>
      <c r="X91" s="107">
        <f t="shared" si="28"/>
        <v>223.67312441046818</v>
      </c>
      <c r="Y91" s="107">
        <v>231.58186471275599</v>
      </c>
      <c r="Z91" s="9">
        <f t="shared" si="29"/>
        <v>28.529735256437267</v>
      </c>
      <c r="AA91" s="9">
        <f t="shared" si="29"/>
        <v>29.538503152137245</v>
      </c>
    </row>
    <row r="92" spans="1:27" x14ac:dyDescent="0.2">
      <c r="A92" s="9">
        <v>1741</v>
      </c>
      <c r="B92" s="56">
        <v>0.32161527916540805</v>
      </c>
      <c r="C92" s="56">
        <v>1.6394432956156044</v>
      </c>
      <c r="D92" s="56">
        <v>3.4903142644469054</v>
      </c>
      <c r="E92" s="56">
        <v>5.1565030364372477</v>
      </c>
      <c r="F92" s="57"/>
      <c r="G92" s="55"/>
      <c r="H92" s="109">
        <v>9.5735829959514174</v>
      </c>
      <c r="I92" s="113">
        <v>0.81360702614379077</v>
      </c>
      <c r="J92" s="109"/>
      <c r="K92" s="107"/>
      <c r="L92" s="9">
        <f t="shared" si="19"/>
        <v>57.56913497060804</v>
      </c>
      <c r="M92" s="9">
        <f t="shared" si="20"/>
        <v>32.78886591231209</v>
      </c>
      <c r="N92" s="9">
        <f t="shared" si="21"/>
        <v>17.451571322234528</v>
      </c>
      <c r="O92" s="9">
        <f t="shared" si="22"/>
        <v>15.469509109311744</v>
      </c>
      <c r="P92" s="9">
        <f t="shared" si="23"/>
        <v>0</v>
      </c>
      <c r="Q92" s="9">
        <f t="shared" si="24"/>
        <v>0</v>
      </c>
      <c r="R92" s="9">
        <f t="shared" si="25"/>
        <v>12.445657894736843</v>
      </c>
      <c r="S92" s="9">
        <f t="shared" si="25"/>
        <v>1.0576891339869281</v>
      </c>
      <c r="T92" s="9">
        <f t="shared" si="26"/>
        <v>0</v>
      </c>
      <c r="U92" s="107"/>
      <c r="V92" s="117">
        <f t="shared" si="27"/>
        <v>136.78242834319019</v>
      </c>
      <c r="W92" s="114">
        <f>P2+Q2+T2</f>
        <v>0.10064220031469483</v>
      </c>
      <c r="X92" s="107">
        <f t="shared" si="28"/>
        <v>152.0889999409043</v>
      </c>
      <c r="Y92" s="107">
        <v>173.89924222408547</v>
      </c>
      <c r="Z92" s="9">
        <f t="shared" si="29"/>
        <v>19.399107135319426</v>
      </c>
      <c r="AA92" s="9">
        <f t="shared" si="29"/>
        <v>22.181025793888452</v>
      </c>
    </row>
    <row r="93" spans="1:27" x14ac:dyDescent="0.2">
      <c r="A93" s="9">
        <v>1742</v>
      </c>
      <c r="B93" s="56">
        <v>0.71470062036757365</v>
      </c>
      <c r="C93" s="56">
        <v>1.6394432956156044</v>
      </c>
      <c r="D93" s="56">
        <v>1.3377011012617888</v>
      </c>
      <c r="E93" s="57"/>
      <c r="F93" s="57"/>
      <c r="G93" s="55"/>
      <c r="H93" s="109"/>
      <c r="I93" s="113">
        <v>0.64083333333333337</v>
      </c>
      <c r="J93" s="109"/>
      <c r="K93" s="107"/>
      <c r="L93" s="9">
        <f t="shared" si="19"/>
        <v>127.93141104579568</v>
      </c>
      <c r="M93" s="9">
        <f t="shared" si="20"/>
        <v>32.78886591231209</v>
      </c>
      <c r="N93" s="9">
        <f t="shared" si="21"/>
        <v>6.6885055063089442</v>
      </c>
      <c r="O93" s="9">
        <f t="shared" si="22"/>
        <v>0</v>
      </c>
      <c r="P93" s="9">
        <f t="shared" si="23"/>
        <v>0</v>
      </c>
      <c r="Q93" s="9">
        <f t="shared" si="24"/>
        <v>0</v>
      </c>
      <c r="R93" s="9">
        <f t="shared" si="25"/>
        <v>0</v>
      </c>
      <c r="S93" s="9">
        <f t="shared" si="25"/>
        <v>0.8330833333333334</v>
      </c>
      <c r="T93" s="9">
        <f t="shared" si="26"/>
        <v>0</v>
      </c>
      <c r="U93" s="107"/>
      <c r="V93" s="117">
        <f t="shared" si="27"/>
        <v>168.24186579775005</v>
      </c>
      <c r="W93" s="114">
        <f>O2+P2+Q2+R2+T2</f>
        <v>0.25441204284323521</v>
      </c>
      <c r="X93" s="107">
        <f t="shared" si="28"/>
        <v>225.64992390612889</v>
      </c>
      <c r="Y93" s="107">
        <v>234.38270586215847</v>
      </c>
      <c r="Z93" s="9">
        <f t="shared" si="29"/>
        <v>28.781878049251134</v>
      </c>
      <c r="AA93" s="9">
        <f t="shared" si="29"/>
        <v>29.895753298744705</v>
      </c>
    </row>
    <row r="94" spans="1:27" x14ac:dyDescent="0.2">
      <c r="A94" s="9">
        <v>1743</v>
      </c>
      <c r="B94" s="56">
        <v>0.60712377146309149</v>
      </c>
      <c r="C94" s="56">
        <v>1.6394432956156044</v>
      </c>
      <c r="D94" s="56">
        <v>0.63270551627112592</v>
      </c>
      <c r="E94" s="57"/>
      <c r="F94" s="57"/>
      <c r="G94" s="55"/>
      <c r="H94" s="109"/>
      <c r="I94" s="113"/>
      <c r="J94" s="109"/>
      <c r="K94" s="107"/>
      <c r="L94" s="9">
        <f t="shared" si="19"/>
        <v>108.67515509189337</v>
      </c>
      <c r="M94" s="9">
        <f t="shared" si="20"/>
        <v>32.78886591231209</v>
      </c>
      <c r="N94" s="9">
        <f t="shared" si="21"/>
        <v>3.1635275813556296</v>
      </c>
      <c r="O94" s="9">
        <f t="shared" si="22"/>
        <v>0</v>
      </c>
      <c r="P94" s="9">
        <f t="shared" si="23"/>
        <v>0</v>
      </c>
      <c r="Q94" s="9">
        <f t="shared" si="24"/>
        <v>0</v>
      </c>
      <c r="R94" s="9">
        <f t="shared" si="25"/>
        <v>0</v>
      </c>
      <c r="S94" s="9">
        <f t="shared" si="25"/>
        <v>0</v>
      </c>
      <c r="T94" s="9">
        <f t="shared" si="26"/>
        <v>0</v>
      </c>
      <c r="U94" s="107"/>
      <c r="V94" s="117">
        <f t="shared" si="27"/>
        <v>144.62754858556107</v>
      </c>
      <c r="W94" s="114">
        <f t="shared" ref="W94:W95" si="31">$O$2+$P$2+$Q$2+$R$2+$S$2+$T$2</f>
        <v>0.25847153238297094</v>
      </c>
      <c r="X94" s="107">
        <f t="shared" si="28"/>
        <v>195.03977918789172</v>
      </c>
      <c r="Y94" s="107">
        <v>212.79247696936267</v>
      </c>
      <c r="Z94" s="9">
        <f t="shared" si="29"/>
        <v>24.877522855598436</v>
      </c>
      <c r="AA94" s="9">
        <f t="shared" si="29"/>
        <v>27.141897572622788</v>
      </c>
    </row>
    <row r="95" spans="1:27" x14ac:dyDescent="0.2">
      <c r="A95" s="9">
        <v>1744</v>
      </c>
      <c r="B95" s="56">
        <v>0.49815283812356226</v>
      </c>
      <c r="C95" s="56">
        <v>1.3115546364924835</v>
      </c>
      <c r="D95" s="56">
        <v>0.50860323886639669</v>
      </c>
      <c r="E95" s="57"/>
      <c r="F95" s="57"/>
      <c r="G95" s="55"/>
      <c r="H95" s="109"/>
      <c r="I95" s="113"/>
      <c r="J95" s="109"/>
      <c r="K95" s="107"/>
      <c r="L95" s="9">
        <f t="shared" si="19"/>
        <v>89.169358024117642</v>
      </c>
      <c r="M95" s="9">
        <f t="shared" si="20"/>
        <v>26.231092729849671</v>
      </c>
      <c r="N95" s="9">
        <f t="shared" si="21"/>
        <v>2.5430161943319836</v>
      </c>
      <c r="O95" s="9">
        <f t="shared" si="22"/>
        <v>0</v>
      </c>
      <c r="P95" s="9">
        <f t="shared" si="23"/>
        <v>0</v>
      </c>
      <c r="Q95" s="9">
        <f t="shared" si="24"/>
        <v>0</v>
      </c>
      <c r="R95" s="9">
        <f t="shared" si="25"/>
        <v>0</v>
      </c>
      <c r="S95" s="9">
        <f t="shared" si="25"/>
        <v>0</v>
      </c>
      <c r="T95" s="9">
        <f t="shared" si="26"/>
        <v>0</v>
      </c>
      <c r="U95" s="107"/>
      <c r="V95" s="117">
        <f t="shared" si="27"/>
        <v>117.94346694829929</v>
      </c>
      <c r="W95" s="114">
        <f t="shared" si="31"/>
        <v>0.25847153238297094</v>
      </c>
      <c r="X95" s="107">
        <f t="shared" si="28"/>
        <v>159.05453681005886</v>
      </c>
      <c r="Y95" s="107">
        <v>187.29940031816082</v>
      </c>
      <c r="Z95" s="9">
        <f t="shared" si="29"/>
        <v>20.287568470670774</v>
      </c>
      <c r="AA95" s="9">
        <f t="shared" si="29"/>
        <v>23.890229632418471</v>
      </c>
    </row>
    <row r="96" spans="1:27" x14ac:dyDescent="0.2">
      <c r="A96" s="9">
        <v>1745</v>
      </c>
      <c r="B96" s="56">
        <v>0.44833755431120609</v>
      </c>
      <c r="C96" s="56">
        <v>0.87436975766165559</v>
      </c>
      <c r="D96" s="56">
        <v>0.50860323886639669</v>
      </c>
      <c r="E96" s="57"/>
      <c r="F96" s="57"/>
      <c r="G96" s="109">
        <v>4.6848250795093094</v>
      </c>
      <c r="H96" s="109"/>
      <c r="I96" s="113"/>
      <c r="J96" s="109"/>
      <c r="K96" s="107"/>
      <c r="L96" s="9">
        <f t="shared" si="19"/>
        <v>80.252422221705885</v>
      </c>
      <c r="M96" s="9">
        <f t="shared" si="20"/>
        <v>17.487395153233113</v>
      </c>
      <c r="N96" s="9">
        <f t="shared" si="21"/>
        <v>2.5430161943319836</v>
      </c>
      <c r="O96" s="9">
        <f t="shared" si="22"/>
        <v>0</v>
      </c>
      <c r="P96" s="9">
        <f t="shared" si="23"/>
        <v>0</v>
      </c>
      <c r="Q96" s="9">
        <f t="shared" si="24"/>
        <v>14.054475238527928</v>
      </c>
      <c r="R96" s="9">
        <f t="shared" si="25"/>
        <v>0</v>
      </c>
      <c r="S96" s="9">
        <f t="shared" si="25"/>
        <v>0</v>
      </c>
      <c r="T96" s="9">
        <f t="shared" si="26"/>
        <v>0</v>
      </c>
      <c r="U96" s="107"/>
      <c r="V96" s="117">
        <f t="shared" si="27"/>
        <v>114.33730880779891</v>
      </c>
      <c r="W96" s="114">
        <f>T2+S2+R2+P2+O2</f>
        <v>0.22829010320854642</v>
      </c>
      <c r="X96" s="107">
        <f t="shared" si="28"/>
        <v>148.16099843112076</v>
      </c>
      <c r="Y96" s="107">
        <v>170.8297719251924</v>
      </c>
      <c r="Z96" s="9">
        <f t="shared" si="29"/>
        <v>18.898086534581729</v>
      </c>
      <c r="AA96" s="9">
        <f t="shared" si="29"/>
        <v>21.789511725152092</v>
      </c>
    </row>
    <row r="97" spans="1:27" x14ac:dyDescent="0.2">
      <c r="A97" s="9">
        <v>1746</v>
      </c>
      <c r="B97" s="56">
        <v>0.57910267431864115</v>
      </c>
      <c r="C97" s="56">
        <v>0.87436975766165559</v>
      </c>
      <c r="D97" s="57">
        <v>0.69508284326763004</v>
      </c>
      <c r="E97" s="57"/>
      <c r="F97" s="57"/>
      <c r="G97" s="55">
        <f>G96+($G$98-$G$96)/2</f>
        <v>4.3522391968297214</v>
      </c>
      <c r="H97" s="109"/>
      <c r="I97" s="113"/>
      <c r="J97" s="109"/>
      <c r="K97" s="107"/>
      <c r="L97" s="9">
        <f t="shared" si="19"/>
        <v>103.65937870303677</v>
      </c>
      <c r="M97" s="9">
        <f t="shared" si="20"/>
        <v>17.487395153233113</v>
      </c>
      <c r="N97" s="9">
        <f t="shared" si="21"/>
        <v>3.4754142163381503</v>
      </c>
      <c r="O97" s="9">
        <f t="shared" si="22"/>
        <v>0</v>
      </c>
      <c r="P97" s="9">
        <f t="shared" si="23"/>
        <v>0</v>
      </c>
      <c r="Q97" s="9">
        <f t="shared" si="24"/>
        <v>13.056717590489164</v>
      </c>
      <c r="R97" s="9">
        <f t="shared" si="25"/>
        <v>0</v>
      </c>
      <c r="S97" s="9">
        <f t="shared" si="25"/>
        <v>0</v>
      </c>
      <c r="T97" s="9">
        <f t="shared" si="26"/>
        <v>0</v>
      </c>
      <c r="U97" s="107"/>
      <c r="V97" s="117">
        <f t="shared" si="27"/>
        <v>137.6789056630972</v>
      </c>
      <c r="W97" s="114">
        <f>O2+P2+R2+S2+T2</f>
        <v>0.2282901032085464</v>
      </c>
      <c r="X97" s="107">
        <f t="shared" si="28"/>
        <v>178.40759362491818</v>
      </c>
      <c r="Y97" s="107">
        <v>194.93303693312475</v>
      </c>
      <c r="Z97" s="9">
        <f t="shared" si="29"/>
        <v>22.756070615423237</v>
      </c>
      <c r="AA97" s="9">
        <f t="shared" si="29"/>
        <v>24.863907772082239</v>
      </c>
    </row>
    <row r="98" spans="1:27" x14ac:dyDescent="0.2">
      <c r="A98" s="9">
        <v>1747</v>
      </c>
      <c r="B98" s="56">
        <v>0.51955784288668416</v>
      </c>
      <c r="C98" s="56">
        <v>0.87436975766165559</v>
      </c>
      <c r="D98" s="57">
        <v>0.88156244766886338</v>
      </c>
      <c r="E98" s="57"/>
      <c r="F98" s="56">
        <v>7.3327915718142824</v>
      </c>
      <c r="G98" s="109">
        <v>4.0196533141501334</v>
      </c>
      <c r="H98" s="109"/>
      <c r="I98" s="113"/>
      <c r="J98" s="109"/>
      <c r="K98" s="107"/>
      <c r="L98" s="9">
        <f t="shared" si="19"/>
        <v>93.000853876716462</v>
      </c>
      <c r="M98" s="9">
        <f t="shared" si="20"/>
        <v>17.487395153233113</v>
      </c>
      <c r="N98" s="9">
        <f t="shared" si="21"/>
        <v>4.4078122383443166</v>
      </c>
      <c r="O98" s="9">
        <f t="shared" si="22"/>
        <v>0</v>
      </c>
      <c r="P98" s="9">
        <f t="shared" si="23"/>
        <v>9.5326290433585683</v>
      </c>
      <c r="Q98" s="9">
        <f t="shared" si="24"/>
        <v>12.0589599424504</v>
      </c>
      <c r="R98" s="9">
        <f t="shared" si="25"/>
        <v>0</v>
      </c>
      <c r="S98" s="9">
        <f t="shared" si="25"/>
        <v>0</v>
      </c>
      <c r="T98" s="9">
        <f t="shared" si="26"/>
        <v>0</v>
      </c>
      <c r="U98" s="107"/>
      <c r="V98" s="117">
        <f t="shared" si="27"/>
        <v>136.48765025410285</v>
      </c>
      <c r="W98" s="114">
        <f>O2+R2+S2+T2</f>
        <v>0.19965526609435938</v>
      </c>
      <c r="X98" s="107">
        <f t="shared" si="28"/>
        <v>170.5360758582745</v>
      </c>
      <c r="Y98" s="107">
        <v>184.97082063340585</v>
      </c>
      <c r="Z98" s="9">
        <f t="shared" si="29"/>
        <v>21.752050492126848</v>
      </c>
      <c r="AA98" s="9">
        <f t="shared" si="29"/>
        <v>23.593216917526256</v>
      </c>
    </row>
    <row r="99" spans="1:27" x14ac:dyDescent="0.2">
      <c r="A99" s="9">
        <v>1748</v>
      </c>
      <c r="B99" s="56">
        <v>0.45184019145426235</v>
      </c>
      <c r="C99" s="56">
        <v>0.87436975766165559</v>
      </c>
      <c r="D99" s="56">
        <v>1.0680420520700966</v>
      </c>
      <c r="E99" s="56">
        <v>5.6454959514170033</v>
      </c>
      <c r="F99" s="56">
        <v>7.0287950404858286</v>
      </c>
      <c r="G99" s="109">
        <v>3.7043242128998601</v>
      </c>
      <c r="H99" s="109"/>
      <c r="I99" s="113"/>
      <c r="J99" s="109"/>
      <c r="K99" s="107"/>
      <c r="L99" s="9">
        <f t="shared" si="19"/>
        <v>80.879394270312957</v>
      </c>
      <c r="M99" s="9">
        <f t="shared" si="20"/>
        <v>17.487395153233113</v>
      </c>
      <c r="N99" s="9">
        <f t="shared" si="21"/>
        <v>5.3402102603504833</v>
      </c>
      <c r="O99" s="9">
        <f t="shared" si="22"/>
        <v>16.936487854251009</v>
      </c>
      <c r="P99" s="9">
        <f t="shared" si="23"/>
        <v>9.1374335526315775</v>
      </c>
      <c r="Q99" s="9">
        <f t="shared" si="24"/>
        <v>11.112972638699581</v>
      </c>
      <c r="R99" s="9">
        <f t="shared" si="25"/>
        <v>0</v>
      </c>
      <c r="S99" s="9">
        <f t="shared" si="25"/>
        <v>0</v>
      </c>
      <c r="T99" s="9">
        <f t="shared" si="26"/>
        <v>0</v>
      </c>
      <c r="U99" s="107"/>
      <c r="V99" s="117">
        <f t="shared" si="27"/>
        <v>140.89389372947872</v>
      </c>
      <c r="W99" s="119">
        <f>T2+S2+R2</f>
        <v>9.2842025492617733E-2</v>
      </c>
      <c r="X99" s="107">
        <f t="shared" si="28"/>
        <v>155.31351505341604</v>
      </c>
      <c r="Y99" s="107">
        <v>173.11097143500817</v>
      </c>
      <c r="Z99" s="9">
        <f t="shared" si="29"/>
        <v>19.810397328241841</v>
      </c>
      <c r="AA99" s="9">
        <f t="shared" si="29"/>
        <v>22.080481050383696</v>
      </c>
    </row>
    <row r="100" spans="1:27" x14ac:dyDescent="0.2">
      <c r="A100" s="9">
        <v>1749</v>
      </c>
      <c r="B100" s="56">
        <v>0.72223488240075395</v>
      </c>
      <c r="C100" s="56">
        <v>0.87436975766165559</v>
      </c>
      <c r="D100" s="56">
        <v>0.71209849762132327</v>
      </c>
      <c r="E100" s="57"/>
      <c r="F100" s="56">
        <v>5.9376015989340436</v>
      </c>
      <c r="G100" s="109">
        <v>3.7438900878388601</v>
      </c>
      <c r="H100" s="109"/>
      <c r="I100" s="113"/>
      <c r="J100" s="109"/>
      <c r="K100" s="107"/>
      <c r="L100" s="9">
        <f t="shared" si="19"/>
        <v>129.28004394973496</v>
      </c>
      <c r="M100" s="9">
        <f t="shared" si="20"/>
        <v>17.487395153233113</v>
      </c>
      <c r="N100" s="9">
        <f t="shared" si="21"/>
        <v>3.5604924881066164</v>
      </c>
      <c r="O100" s="9">
        <f t="shared" si="22"/>
        <v>0</v>
      </c>
      <c r="P100" s="9">
        <f t="shared" si="23"/>
        <v>7.7188820786142571</v>
      </c>
      <c r="Q100" s="9">
        <f t="shared" si="24"/>
        <v>11.23167026351658</v>
      </c>
      <c r="R100" s="9">
        <f t="shared" si="25"/>
        <v>0</v>
      </c>
      <c r="S100" s="9">
        <f t="shared" si="25"/>
        <v>0</v>
      </c>
      <c r="T100" s="9">
        <f t="shared" si="26"/>
        <v>0</v>
      </c>
      <c r="U100" s="107"/>
      <c r="V100" s="117">
        <f t="shared" si="27"/>
        <v>169.27848393320551</v>
      </c>
      <c r="W100" s="114">
        <f>$O$2+$R$2+$S$2+$T$2</f>
        <v>0.19965526609435938</v>
      </c>
      <c r="X100" s="107">
        <f t="shared" si="28"/>
        <v>211.50696288977289</v>
      </c>
      <c r="Y100" s="107">
        <v>219.10903265784742</v>
      </c>
      <c r="Z100" s="9">
        <f t="shared" si="29"/>
        <v>26.977928940022053</v>
      </c>
      <c r="AA100" s="9">
        <f t="shared" si="29"/>
        <v>27.947580696154009</v>
      </c>
    </row>
    <row r="101" spans="1:27" x14ac:dyDescent="0.2">
      <c r="A101" s="9">
        <v>1750</v>
      </c>
      <c r="B101" s="56">
        <v>0.53918228286413128</v>
      </c>
      <c r="C101" s="56">
        <v>0.87436975766165559</v>
      </c>
      <c r="D101" s="56">
        <v>1.1192436835385622</v>
      </c>
      <c r="E101" s="57"/>
      <c r="F101" s="57">
        <f>F100+($F$102-$F$100)/2</f>
        <v>9.4789222569569009</v>
      </c>
      <c r="G101" s="55">
        <f>G100+($G$103-$G$100)/3</f>
        <v>4.1194311928921188</v>
      </c>
      <c r="H101" s="109"/>
      <c r="I101" s="113"/>
      <c r="J101" s="109"/>
      <c r="K101" s="107"/>
      <c r="L101" s="9">
        <f t="shared" si="19"/>
        <v>96.513628632679499</v>
      </c>
      <c r="M101" s="9">
        <f t="shared" si="20"/>
        <v>17.487395153233113</v>
      </c>
      <c r="N101" s="9">
        <f t="shared" si="21"/>
        <v>5.5962184176928105</v>
      </c>
      <c r="O101" s="9">
        <f t="shared" si="22"/>
        <v>0</v>
      </c>
      <c r="P101" s="9">
        <f t="shared" si="23"/>
        <v>12.322598934043972</v>
      </c>
      <c r="Q101" s="9">
        <f t="shared" si="24"/>
        <v>12.358293578676356</v>
      </c>
      <c r="R101" s="9">
        <f t="shared" si="25"/>
        <v>0</v>
      </c>
      <c r="S101" s="9">
        <f t="shared" si="25"/>
        <v>0</v>
      </c>
      <c r="T101" s="9">
        <f t="shared" si="26"/>
        <v>0</v>
      </c>
      <c r="U101" s="107"/>
      <c r="V101" s="117">
        <f t="shared" si="27"/>
        <v>144.27813471632575</v>
      </c>
      <c r="W101" s="114">
        <f t="shared" ref="W101:W109" si="32">$O$2+$R$2+$S$2+$T$2</f>
        <v>0.19965526609435938</v>
      </c>
      <c r="X101" s="107">
        <f t="shared" si="28"/>
        <v>180.26998692457931</v>
      </c>
      <c r="Y101" s="107">
        <v>194.78566660582919</v>
      </c>
      <c r="Z101" s="9">
        <f t="shared" si="29"/>
        <v>22.993620781196341</v>
      </c>
      <c r="AA101" s="9">
        <f t="shared" si="29"/>
        <v>24.845110536457806</v>
      </c>
    </row>
    <row r="102" spans="1:27" x14ac:dyDescent="0.2">
      <c r="A102" s="9">
        <v>1751</v>
      </c>
      <c r="B102" s="56">
        <v>0.637997705769068</v>
      </c>
      <c r="C102" s="56">
        <v>0.87436975766165559</v>
      </c>
      <c r="D102" s="56">
        <v>1.1189271255060729</v>
      </c>
      <c r="E102" s="57"/>
      <c r="F102" s="56">
        <v>13.020242914979757</v>
      </c>
      <c r="G102" s="55">
        <f>G101+($G$103-$G$100)/3</f>
        <v>4.4949722979453774</v>
      </c>
      <c r="H102" s="109"/>
      <c r="I102" s="113"/>
      <c r="J102" s="109"/>
      <c r="K102" s="107"/>
      <c r="L102" s="9">
        <f t="shared" si="19"/>
        <v>114.20158933266318</v>
      </c>
      <c r="M102" s="9">
        <f t="shared" si="20"/>
        <v>17.487395153233113</v>
      </c>
      <c r="N102" s="9">
        <f t="shared" si="21"/>
        <v>5.5946356275303639</v>
      </c>
      <c r="O102" s="9">
        <f t="shared" si="22"/>
        <v>0</v>
      </c>
      <c r="P102" s="9">
        <f t="shared" si="23"/>
        <v>16.926315789473684</v>
      </c>
      <c r="Q102" s="9">
        <f t="shared" si="24"/>
        <v>13.484916893836132</v>
      </c>
      <c r="R102" s="9">
        <f t="shared" si="25"/>
        <v>0</v>
      </c>
      <c r="S102" s="9">
        <f t="shared" si="25"/>
        <v>0</v>
      </c>
      <c r="T102" s="9">
        <f t="shared" si="26"/>
        <v>0</v>
      </c>
      <c r="U102" s="107"/>
      <c r="V102" s="117">
        <f t="shared" si="27"/>
        <v>167.69485279673646</v>
      </c>
      <c r="W102" s="114">
        <f t="shared" si="32"/>
        <v>0.19965526609435938</v>
      </c>
      <c r="X102" s="107">
        <f t="shared" si="28"/>
        <v>209.52827661949408</v>
      </c>
      <c r="Y102" s="107">
        <v>218.87936785110139</v>
      </c>
      <c r="Z102" s="9">
        <f t="shared" si="29"/>
        <v>26.725545487180369</v>
      </c>
      <c r="AA102" s="9">
        <f t="shared" si="29"/>
        <v>27.918286715701708</v>
      </c>
    </row>
    <row r="103" spans="1:27" x14ac:dyDescent="0.2">
      <c r="A103" s="9">
        <v>1752</v>
      </c>
      <c r="B103" s="56">
        <v>0.52404701800327924</v>
      </c>
      <c r="C103" s="56">
        <v>0.87436975766165559</v>
      </c>
      <c r="D103" s="56">
        <v>1.1189493692514856</v>
      </c>
      <c r="E103" s="57"/>
      <c r="F103" s="56">
        <v>9.1730506462161312</v>
      </c>
      <c r="G103" s="109">
        <v>4.8705134029986361</v>
      </c>
      <c r="H103" s="109"/>
      <c r="I103" s="113"/>
      <c r="J103" s="109"/>
      <c r="K103" s="107"/>
      <c r="L103" s="9">
        <f t="shared" si="19"/>
        <v>93.80441622258698</v>
      </c>
      <c r="M103" s="9">
        <f t="shared" si="20"/>
        <v>17.487395153233113</v>
      </c>
      <c r="N103" s="9">
        <f t="shared" si="21"/>
        <v>5.5947468462574275</v>
      </c>
      <c r="O103" s="9">
        <f t="shared" si="22"/>
        <v>0</v>
      </c>
      <c r="P103" s="9">
        <f t="shared" si="23"/>
        <v>11.92496584008097</v>
      </c>
      <c r="Q103" s="9">
        <f t="shared" si="24"/>
        <v>14.611540208995908</v>
      </c>
      <c r="R103" s="9">
        <f t="shared" si="25"/>
        <v>0</v>
      </c>
      <c r="S103" s="9">
        <f t="shared" si="25"/>
        <v>0</v>
      </c>
      <c r="T103" s="9">
        <f t="shared" si="26"/>
        <v>0</v>
      </c>
      <c r="U103" s="107"/>
      <c r="V103" s="117">
        <f t="shared" si="27"/>
        <v>143.42306427115437</v>
      </c>
      <c r="W103" s="114">
        <f t="shared" si="32"/>
        <v>0.19965526609435938</v>
      </c>
      <c r="X103" s="107">
        <f t="shared" si="28"/>
        <v>179.20160925062538</v>
      </c>
      <c r="Y103" s="107">
        <v>195.28456249038078</v>
      </c>
      <c r="Z103" s="9">
        <f t="shared" si="29"/>
        <v>22.857348118702216</v>
      </c>
      <c r="AA103" s="9">
        <f t="shared" si="29"/>
        <v>24.908745215609795</v>
      </c>
    </row>
    <row r="104" spans="1:27" x14ac:dyDescent="0.2">
      <c r="A104" s="9">
        <v>1753</v>
      </c>
      <c r="B104" s="56">
        <v>0.50994140206367322</v>
      </c>
      <c r="C104" s="56">
        <v>0.87436975766165559</v>
      </c>
      <c r="D104" s="56">
        <v>1.1189271255060729</v>
      </c>
      <c r="E104" s="57"/>
      <c r="F104" s="57">
        <f>F103+($F$106-$F$103)/3</f>
        <v>8.5867093584553089</v>
      </c>
      <c r="G104" s="55">
        <f>G103+($G$105-$G$103)/2</f>
        <v>4.9956056905951831</v>
      </c>
      <c r="H104" s="109"/>
      <c r="I104" s="113"/>
      <c r="J104" s="109"/>
      <c r="K104" s="107"/>
      <c r="L104" s="9">
        <f t="shared" si="19"/>
        <v>91.279510969397506</v>
      </c>
      <c r="M104" s="9">
        <f t="shared" si="20"/>
        <v>17.487395153233113</v>
      </c>
      <c r="N104" s="9">
        <f t="shared" si="21"/>
        <v>5.5946356275303639</v>
      </c>
      <c r="O104" s="9">
        <f t="shared" si="22"/>
        <v>0</v>
      </c>
      <c r="P104" s="9">
        <f t="shared" si="23"/>
        <v>11.162722165991902</v>
      </c>
      <c r="Q104" s="9">
        <f t="shared" si="24"/>
        <v>14.986817071785548</v>
      </c>
      <c r="R104" s="9">
        <f t="shared" si="25"/>
        <v>0</v>
      </c>
      <c r="S104" s="9">
        <f t="shared" si="25"/>
        <v>0</v>
      </c>
      <c r="T104" s="9">
        <f t="shared" si="26"/>
        <v>0</v>
      </c>
      <c r="U104" s="107"/>
      <c r="V104" s="117">
        <f t="shared" si="27"/>
        <v>140.51108098793841</v>
      </c>
      <c r="W104" s="114">
        <f t="shared" si="32"/>
        <v>0.19965526609435938</v>
      </c>
      <c r="X104" s="107">
        <f t="shared" si="28"/>
        <v>175.56319800125584</v>
      </c>
      <c r="Y104" s="107">
        <v>193.04956237202634</v>
      </c>
      <c r="Z104" s="9">
        <f t="shared" si="29"/>
        <v>22.393265051180592</v>
      </c>
      <c r="AA104" s="9">
        <f t="shared" si="29"/>
        <v>24.623668669901321</v>
      </c>
    </row>
    <row r="105" spans="1:27" x14ac:dyDescent="0.2">
      <c r="A105" s="9">
        <v>1754</v>
      </c>
      <c r="B105" s="56">
        <v>0.62190105132232454</v>
      </c>
      <c r="C105" s="56">
        <v>0.87436975766165559</v>
      </c>
      <c r="D105" s="56">
        <v>1.1189404519370663</v>
      </c>
      <c r="E105" s="57"/>
      <c r="F105" s="57">
        <f>F104+($F$106-$F$103)/3</f>
        <v>8.0003680706944866</v>
      </c>
      <c r="G105" s="109">
        <v>5.1206979781917301</v>
      </c>
      <c r="H105" s="109"/>
      <c r="I105" s="113"/>
      <c r="J105" s="109"/>
      <c r="K105" s="107"/>
      <c r="L105" s="9">
        <f t="shared" si="19"/>
        <v>111.32028818669609</v>
      </c>
      <c r="M105" s="9">
        <f t="shared" si="20"/>
        <v>17.487395153233113</v>
      </c>
      <c r="N105" s="9">
        <f t="shared" si="21"/>
        <v>5.5947022596853309</v>
      </c>
      <c r="O105" s="9">
        <f t="shared" si="22"/>
        <v>0</v>
      </c>
      <c r="P105" s="9">
        <f t="shared" si="23"/>
        <v>10.400478491902833</v>
      </c>
      <c r="Q105" s="9">
        <f t="shared" si="24"/>
        <v>15.36209393457519</v>
      </c>
      <c r="R105" s="9">
        <f t="shared" si="25"/>
        <v>0</v>
      </c>
      <c r="S105" s="9">
        <f t="shared" si="25"/>
        <v>0</v>
      </c>
      <c r="T105" s="9">
        <f t="shared" si="26"/>
        <v>0</v>
      </c>
      <c r="U105" s="107"/>
      <c r="V105" s="117">
        <f t="shared" si="27"/>
        <v>160.16495802609259</v>
      </c>
      <c r="W105" s="114">
        <f t="shared" si="32"/>
        <v>0.19965526609435938</v>
      </c>
      <c r="X105" s="107">
        <f t="shared" si="28"/>
        <v>200.11996236233844</v>
      </c>
      <c r="Y105" s="107">
        <v>213.38042257504196</v>
      </c>
      <c r="Z105" s="9">
        <f t="shared" si="29"/>
        <v>25.525505403359496</v>
      </c>
      <c r="AA105" s="9">
        <f t="shared" si="29"/>
        <v>27.21689063457168</v>
      </c>
    </row>
    <row r="106" spans="1:27" x14ac:dyDescent="0.2">
      <c r="A106" s="9">
        <v>1755</v>
      </c>
      <c r="B106" s="56">
        <v>0.61446417889599481</v>
      </c>
      <c r="C106" s="56">
        <v>0.87436975766165559</v>
      </c>
      <c r="D106" s="56">
        <v>0.50862102530594444</v>
      </c>
      <c r="E106" s="57"/>
      <c r="F106" s="56">
        <v>7.4140267829336635</v>
      </c>
      <c r="G106" s="55">
        <f>G105+($G$107-$G$105)/2</f>
        <v>5.3392783911792208</v>
      </c>
      <c r="H106" s="109"/>
      <c r="I106" s="113"/>
      <c r="J106" s="109"/>
      <c r="K106" s="107"/>
      <c r="L106" s="9">
        <f t="shared" si="19"/>
        <v>109.98908802238307</v>
      </c>
      <c r="M106" s="9">
        <f t="shared" si="20"/>
        <v>17.487395153233113</v>
      </c>
      <c r="N106" s="9">
        <f t="shared" si="21"/>
        <v>2.5431051265297224</v>
      </c>
      <c r="O106" s="9">
        <f t="shared" si="22"/>
        <v>0</v>
      </c>
      <c r="P106" s="9">
        <f t="shared" si="23"/>
        <v>9.6382348178137622</v>
      </c>
      <c r="Q106" s="9">
        <f t="shared" si="24"/>
        <v>16.017835173537662</v>
      </c>
      <c r="R106" s="9">
        <f t="shared" si="25"/>
        <v>0</v>
      </c>
      <c r="S106" s="9">
        <f t="shared" si="25"/>
        <v>0</v>
      </c>
      <c r="T106" s="9">
        <f t="shared" si="26"/>
        <v>0</v>
      </c>
      <c r="U106" s="107"/>
      <c r="V106" s="117">
        <f t="shared" si="27"/>
        <v>155.67565829349732</v>
      </c>
      <c r="W106" s="114">
        <f t="shared" si="32"/>
        <v>0.19965526609435938</v>
      </c>
      <c r="X106" s="107">
        <f t="shared" si="28"/>
        <v>194.5107548016318</v>
      </c>
      <c r="Y106" s="107">
        <v>209.56810600730822</v>
      </c>
      <c r="Z106" s="9">
        <f t="shared" si="29"/>
        <v>24.810045255310179</v>
      </c>
      <c r="AA106" s="9">
        <f t="shared" si="29"/>
        <v>26.730625766238294</v>
      </c>
    </row>
    <row r="107" spans="1:27" x14ac:dyDescent="0.2">
      <c r="A107" s="9">
        <v>1756</v>
      </c>
      <c r="B107" s="56">
        <v>0.6118050987770659</v>
      </c>
      <c r="C107" s="56">
        <v>0.87436975766165559</v>
      </c>
      <c r="D107" s="56">
        <v>0.50857308154419889</v>
      </c>
      <c r="E107" s="57"/>
      <c r="F107" s="56">
        <v>8.2515789473684205</v>
      </c>
      <c r="G107" s="109">
        <v>5.5578588041667114</v>
      </c>
      <c r="H107" s="109"/>
      <c r="I107" s="113"/>
      <c r="J107" s="109"/>
      <c r="K107" s="107"/>
      <c r="L107" s="9">
        <f t="shared" si="19"/>
        <v>109.5131126810948</v>
      </c>
      <c r="M107" s="9">
        <f t="shared" si="20"/>
        <v>17.487395153233113</v>
      </c>
      <c r="N107" s="9">
        <f t="shared" si="21"/>
        <v>2.5428654077209947</v>
      </c>
      <c r="O107" s="9">
        <f t="shared" si="22"/>
        <v>0</v>
      </c>
      <c r="P107" s="9">
        <f t="shared" si="23"/>
        <v>10.727052631578948</v>
      </c>
      <c r="Q107" s="9">
        <f t="shared" si="24"/>
        <v>16.673576412500132</v>
      </c>
      <c r="R107" s="9">
        <f t="shared" si="25"/>
        <v>0</v>
      </c>
      <c r="S107" s="9">
        <f t="shared" si="25"/>
        <v>0</v>
      </c>
      <c r="T107" s="9">
        <f t="shared" si="26"/>
        <v>0</v>
      </c>
      <c r="U107" s="107"/>
      <c r="V107" s="117">
        <f t="shared" si="27"/>
        <v>156.94400228612795</v>
      </c>
      <c r="W107" s="114">
        <f t="shared" si="32"/>
        <v>0.19965526609435938</v>
      </c>
      <c r="X107" s="107">
        <f t="shared" si="28"/>
        <v>196.0955018973504</v>
      </c>
      <c r="Y107" s="107">
        <v>211.51343316480032</v>
      </c>
      <c r="Z107" s="9">
        <f t="shared" si="29"/>
        <v>25.012181364457959</v>
      </c>
      <c r="AA107" s="9">
        <f t="shared" si="29"/>
        <v>26.978754230204121</v>
      </c>
    </row>
    <row r="108" spans="1:27" x14ac:dyDescent="0.2">
      <c r="A108" s="9">
        <v>1757</v>
      </c>
      <c r="B108" s="56">
        <v>0.60573819820525554</v>
      </c>
      <c r="C108" s="56">
        <v>0.87436975766165559</v>
      </c>
      <c r="D108" s="56">
        <v>0.50862584847914916</v>
      </c>
      <c r="E108" s="57"/>
      <c r="F108" s="56">
        <v>9.6665538461538425</v>
      </c>
      <c r="G108" s="109">
        <v>4.5305520090753939</v>
      </c>
      <c r="H108" s="109"/>
      <c r="I108" s="113"/>
      <c r="J108" s="109"/>
      <c r="K108" s="107"/>
      <c r="L108" s="9">
        <f t="shared" si="19"/>
        <v>108.42713747874075</v>
      </c>
      <c r="M108" s="9">
        <f t="shared" si="20"/>
        <v>17.487395153233113</v>
      </c>
      <c r="N108" s="9">
        <f t="shared" si="21"/>
        <v>2.5431292423957457</v>
      </c>
      <c r="O108" s="9">
        <f t="shared" si="22"/>
        <v>0</v>
      </c>
      <c r="P108" s="9">
        <f t="shared" si="23"/>
        <v>12.566519999999995</v>
      </c>
      <c r="Q108" s="9">
        <f t="shared" si="24"/>
        <v>13.591656027226183</v>
      </c>
      <c r="R108" s="9">
        <f t="shared" si="25"/>
        <v>0</v>
      </c>
      <c r="S108" s="9">
        <f t="shared" si="25"/>
        <v>0</v>
      </c>
      <c r="T108" s="9">
        <f t="shared" si="26"/>
        <v>0</v>
      </c>
      <c r="U108" s="107"/>
      <c r="V108" s="117">
        <f t="shared" si="27"/>
        <v>154.61583790159577</v>
      </c>
      <c r="W108" s="114">
        <f t="shared" si="32"/>
        <v>0.19965526609435938</v>
      </c>
      <c r="X108" s="107">
        <f t="shared" si="28"/>
        <v>193.18654993464943</v>
      </c>
      <c r="Y108" s="107">
        <v>209.86225194512963</v>
      </c>
      <c r="Z108" s="9">
        <f t="shared" si="29"/>
        <v>24.641141573297123</v>
      </c>
      <c r="AA108" s="9">
        <f t="shared" si="29"/>
        <v>26.768144380756329</v>
      </c>
    </row>
    <row r="109" spans="1:27" x14ac:dyDescent="0.2">
      <c r="A109" s="9">
        <v>1758</v>
      </c>
      <c r="B109" s="56">
        <v>0.6094513359419883</v>
      </c>
      <c r="C109" s="56">
        <v>0.87436975766165559</v>
      </c>
      <c r="D109" s="57">
        <v>0.50858917692769223</v>
      </c>
      <c r="E109" s="57"/>
      <c r="F109" s="56">
        <v>7.4739545129792795</v>
      </c>
      <c r="G109" s="109">
        <v>4.9574335370279092</v>
      </c>
      <c r="H109" s="109"/>
      <c r="I109" s="113"/>
      <c r="J109" s="109"/>
      <c r="K109" s="107"/>
      <c r="L109" s="9">
        <f t="shared" si="19"/>
        <v>109.0917891336159</v>
      </c>
      <c r="M109" s="9">
        <f t="shared" si="20"/>
        <v>17.487395153233113</v>
      </c>
      <c r="N109" s="9">
        <f t="shared" si="21"/>
        <v>2.5429458846384612</v>
      </c>
      <c r="O109" s="9">
        <f t="shared" si="22"/>
        <v>0</v>
      </c>
      <c r="P109" s="9">
        <f t="shared" si="23"/>
        <v>9.7161408668730633</v>
      </c>
      <c r="Q109" s="9">
        <f t="shared" si="24"/>
        <v>14.872300611083727</v>
      </c>
      <c r="R109" s="9">
        <f t="shared" si="25"/>
        <v>0</v>
      </c>
      <c r="S109" s="9">
        <f t="shared" si="25"/>
        <v>0</v>
      </c>
      <c r="T109" s="9">
        <f t="shared" si="26"/>
        <v>0</v>
      </c>
      <c r="U109" s="107"/>
      <c r="V109" s="117">
        <f t="shared" si="27"/>
        <v>153.71057164944426</v>
      </c>
      <c r="W109" s="114">
        <f t="shared" si="32"/>
        <v>0.19965526609435938</v>
      </c>
      <c r="X109" s="107">
        <f t="shared" si="28"/>
        <v>192.05545452813149</v>
      </c>
      <c r="Y109" s="107">
        <v>209.63396885783965</v>
      </c>
      <c r="Z109" s="9">
        <f t="shared" si="29"/>
        <v>24.496869200016771</v>
      </c>
      <c r="AA109" s="9">
        <f t="shared" si="29"/>
        <v>26.739026640030566</v>
      </c>
    </row>
    <row r="110" spans="1:27" x14ac:dyDescent="0.2">
      <c r="A110" s="9">
        <v>1759</v>
      </c>
      <c r="B110" s="56">
        <v>0.52312067913034466</v>
      </c>
      <c r="C110" s="56">
        <v>0.87436975766165559</v>
      </c>
      <c r="D110" s="56">
        <v>0.50855250537623542</v>
      </c>
      <c r="E110" s="57"/>
      <c r="F110" s="56">
        <v>8.3090850202429145</v>
      </c>
      <c r="G110" s="109">
        <v>4.9348235338737076</v>
      </c>
      <c r="H110" s="109">
        <v>15.46153846153846</v>
      </c>
      <c r="I110" s="113">
        <v>1.7150477272727274</v>
      </c>
      <c r="J110" s="109"/>
      <c r="K110" s="107"/>
      <c r="L110" s="9">
        <f t="shared" si="19"/>
        <v>93.638601564331694</v>
      </c>
      <c r="M110" s="9">
        <f t="shared" si="20"/>
        <v>17.487395153233113</v>
      </c>
      <c r="N110" s="9">
        <f t="shared" si="21"/>
        <v>2.5427625268811771</v>
      </c>
      <c r="O110" s="9">
        <f t="shared" si="22"/>
        <v>0</v>
      </c>
      <c r="P110" s="9">
        <f t="shared" si="23"/>
        <v>10.801810526315789</v>
      </c>
      <c r="Q110" s="9">
        <f t="shared" si="24"/>
        <v>14.804470601621123</v>
      </c>
      <c r="R110" s="9">
        <f t="shared" si="25"/>
        <v>20.099999999999998</v>
      </c>
      <c r="S110" s="9">
        <f t="shared" si="25"/>
        <v>2.2295620454545455</v>
      </c>
      <c r="T110" s="9">
        <f t="shared" si="26"/>
        <v>0</v>
      </c>
      <c r="U110" s="107"/>
      <c r="V110" s="117">
        <f t="shared" si="27"/>
        <v>161.60460241783744</v>
      </c>
      <c r="W110" s="114">
        <f>T2+O2</f>
        <v>0.14863917462782497</v>
      </c>
      <c r="X110" s="107">
        <f t="shared" si="28"/>
        <v>189.81916668198997</v>
      </c>
      <c r="Y110" s="107">
        <v>195.8754207456397</v>
      </c>
      <c r="Z110" s="9">
        <f t="shared" si="29"/>
        <v>24.211628403315046</v>
      </c>
      <c r="AA110" s="9">
        <f t="shared" si="29"/>
        <v>24.984109788984657</v>
      </c>
    </row>
    <row r="111" spans="1:27" x14ac:dyDescent="0.2">
      <c r="A111" s="9">
        <v>1760</v>
      </c>
      <c r="B111" s="56">
        <v>0.6072649220057158</v>
      </c>
      <c r="C111" s="56">
        <v>0.87436975766165559</v>
      </c>
      <c r="D111" s="56">
        <v>0.60262506750830203</v>
      </c>
      <c r="E111" s="56">
        <v>6.5101214574898778</v>
      </c>
      <c r="F111" s="56">
        <v>9.847643724696356</v>
      </c>
      <c r="G111" s="55">
        <f>G110+($G$113-$G$110)/3</f>
        <v>5.0479260729998794</v>
      </c>
      <c r="H111" s="109"/>
      <c r="I111" s="113"/>
      <c r="J111" s="109"/>
      <c r="K111" s="107"/>
      <c r="L111" s="9">
        <f t="shared" si="19"/>
        <v>108.70042103902313</v>
      </c>
      <c r="M111" s="9">
        <f t="shared" si="20"/>
        <v>17.487395153233113</v>
      </c>
      <c r="N111" s="9">
        <f t="shared" si="21"/>
        <v>3.0131253375415099</v>
      </c>
      <c r="O111" s="9">
        <f t="shared" si="22"/>
        <v>19.530364372469634</v>
      </c>
      <c r="P111" s="9">
        <f t="shared" si="23"/>
        <v>12.801936842105263</v>
      </c>
      <c r="Q111" s="9">
        <f t="shared" si="24"/>
        <v>15.143778218999639</v>
      </c>
      <c r="R111" s="9">
        <f t="shared" si="25"/>
        <v>0</v>
      </c>
      <c r="S111" s="9">
        <f t="shared" si="25"/>
        <v>0</v>
      </c>
      <c r="T111" s="9">
        <f t="shared" si="26"/>
        <v>0</v>
      </c>
      <c r="U111" s="107"/>
      <c r="V111" s="117">
        <f t="shared" si="27"/>
        <v>176.67702096337226</v>
      </c>
      <c r="W111" s="114">
        <f>$R$2+$S$2+$T$2</f>
        <v>9.2842025492617733E-2</v>
      </c>
      <c r="X111" s="107">
        <f t="shared" si="28"/>
        <v>194.75882473426299</v>
      </c>
      <c r="Y111" s="107">
        <v>213.25989283263291</v>
      </c>
      <c r="Z111" s="9">
        <f t="shared" si="29"/>
        <v>24.841686828349872</v>
      </c>
      <c r="AA111" s="9">
        <f t="shared" si="29"/>
        <v>27.201516942937872</v>
      </c>
    </row>
    <row r="112" spans="1:27" x14ac:dyDescent="0.2">
      <c r="A112" s="9">
        <v>1761</v>
      </c>
      <c r="B112" s="56">
        <v>0.60268446574911827</v>
      </c>
      <c r="C112" s="56">
        <v>0.87436975766165559</v>
      </c>
      <c r="D112" s="56">
        <v>0.61186979314078971</v>
      </c>
      <c r="E112" s="56">
        <v>9.8375168690958148</v>
      </c>
      <c r="F112" s="57">
        <f>F111+($F$113-$F$111)/2</f>
        <v>9.0996258927352933</v>
      </c>
      <c r="G112" s="55">
        <f>G111+($G$113-$G$110)/3</f>
        <v>5.1610286121260511</v>
      </c>
      <c r="H112" s="109"/>
      <c r="I112" s="113"/>
      <c r="J112" s="109"/>
      <c r="K112" s="107"/>
      <c r="L112" s="9">
        <f t="shared" si="19"/>
        <v>107.88051936909217</v>
      </c>
      <c r="M112" s="9">
        <f t="shared" si="20"/>
        <v>17.487395153233113</v>
      </c>
      <c r="N112" s="9">
        <f t="shared" si="21"/>
        <v>3.0593489657039488</v>
      </c>
      <c r="O112" s="9">
        <f t="shared" si="22"/>
        <v>29.512550607287444</v>
      </c>
      <c r="P112" s="9">
        <f t="shared" si="23"/>
        <v>11.829513660555882</v>
      </c>
      <c r="Q112" s="9">
        <f t="shared" si="24"/>
        <v>15.483085836378153</v>
      </c>
      <c r="R112" s="9">
        <f t="shared" si="25"/>
        <v>0</v>
      </c>
      <c r="S112" s="9">
        <f t="shared" si="25"/>
        <v>0</v>
      </c>
      <c r="T112" s="9">
        <f t="shared" si="26"/>
        <v>0</v>
      </c>
      <c r="U112" s="107"/>
      <c r="V112" s="117">
        <f t="shared" si="27"/>
        <v>185.25241359225072</v>
      </c>
      <c r="W112" s="114">
        <f t="shared" ref="W112:W119" si="33">$R$2+$S$2+$T$2</f>
        <v>9.2842025492617733E-2</v>
      </c>
      <c r="X112" s="107">
        <f t="shared" si="28"/>
        <v>204.21185592602998</v>
      </c>
      <c r="Y112" s="107">
        <v>221.1319849534666</v>
      </c>
      <c r="Z112" s="9">
        <f t="shared" si="29"/>
        <v>26.047430602809946</v>
      </c>
      <c r="AA112" s="9">
        <f t="shared" si="29"/>
        <v>28.205610325697272</v>
      </c>
    </row>
    <row r="113" spans="1:27" x14ac:dyDescent="0.2">
      <c r="A113" s="9">
        <v>1762</v>
      </c>
      <c r="B113" s="56">
        <v>0.41748315045790674</v>
      </c>
      <c r="C113" s="56">
        <v>0.87436975766165559</v>
      </c>
      <c r="D113" s="56">
        <v>0.61044320704762123</v>
      </c>
      <c r="E113" s="56">
        <v>9.7651821862348154</v>
      </c>
      <c r="F113" s="56">
        <v>8.3516080607742325</v>
      </c>
      <c r="G113" s="109">
        <v>5.274131151252222</v>
      </c>
      <c r="H113" s="109"/>
      <c r="I113" s="113"/>
      <c r="J113" s="109"/>
      <c r="K113" s="107"/>
      <c r="L113" s="9">
        <f t="shared" si="19"/>
        <v>74.729483931965305</v>
      </c>
      <c r="M113" s="9">
        <f t="shared" si="20"/>
        <v>17.487395153233113</v>
      </c>
      <c r="N113" s="9">
        <f t="shared" si="21"/>
        <v>3.0522160352381063</v>
      </c>
      <c r="O113" s="9">
        <f t="shared" si="22"/>
        <v>29.295546558704444</v>
      </c>
      <c r="P113" s="9">
        <f t="shared" si="23"/>
        <v>10.857090479006503</v>
      </c>
      <c r="Q113" s="9">
        <f t="shared" si="24"/>
        <v>15.822393453756666</v>
      </c>
      <c r="R113" s="9">
        <f t="shared" si="25"/>
        <v>0</v>
      </c>
      <c r="S113" s="9">
        <f t="shared" si="25"/>
        <v>0</v>
      </c>
      <c r="T113" s="9">
        <f t="shared" si="26"/>
        <v>0</v>
      </c>
      <c r="U113" s="107"/>
      <c r="V113" s="117">
        <f t="shared" si="27"/>
        <v>151.24412561190414</v>
      </c>
      <c r="W113" s="114">
        <f t="shared" si="33"/>
        <v>9.2842025492617733E-2</v>
      </c>
      <c r="X113" s="107">
        <f t="shared" si="28"/>
        <v>166.72302935333272</v>
      </c>
      <c r="Y113" s="107">
        <v>186.42039646507527</v>
      </c>
      <c r="Z113" s="9">
        <f t="shared" si="29"/>
        <v>21.265692519557746</v>
      </c>
      <c r="AA113" s="9">
        <f t="shared" si="29"/>
        <v>23.778111794014702</v>
      </c>
    </row>
    <row r="114" spans="1:27" x14ac:dyDescent="0.2">
      <c r="A114" s="9">
        <v>1763</v>
      </c>
      <c r="B114" s="56">
        <v>0.60506785820796427</v>
      </c>
      <c r="C114" s="56">
        <v>0.87436975766165559</v>
      </c>
      <c r="D114" s="56">
        <v>0.61032388663967596</v>
      </c>
      <c r="E114" s="56">
        <v>7.3238866396761129</v>
      </c>
      <c r="F114" s="57">
        <f>F113+($F$115-$F$113)/2</f>
        <v>8.6330957414461409</v>
      </c>
      <c r="G114" s="109">
        <v>5.1331897737010479</v>
      </c>
      <c r="H114" s="109"/>
      <c r="I114" s="113"/>
      <c r="J114" s="109"/>
      <c r="K114" s="107"/>
      <c r="L114" s="9">
        <f t="shared" si="19"/>
        <v>108.30714661922561</v>
      </c>
      <c r="M114" s="9">
        <f t="shared" si="20"/>
        <v>17.487395153233113</v>
      </c>
      <c r="N114" s="9">
        <f t="shared" si="21"/>
        <v>3.0516194331983799</v>
      </c>
      <c r="O114" s="9">
        <f t="shared" si="22"/>
        <v>21.97165991902834</v>
      </c>
      <c r="P114" s="9">
        <f t="shared" si="23"/>
        <v>11.223024463879984</v>
      </c>
      <c r="Q114" s="9">
        <f t="shared" si="24"/>
        <v>15.399569321103144</v>
      </c>
      <c r="R114" s="9">
        <f t="shared" si="25"/>
        <v>0</v>
      </c>
      <c r="S114" s="9">
        <f t="shared" si="25"/>
        <v>0</v>
      </c>
      <c r="T114" s="9">
        <f t="shared" si="26"/>
        <v>0</v>
      </c>
      <c r="U114" s="107"/>
      <c r="V114" s="117">
        <f t="shared" si="27"/>
        <v>177.44041490966859</v>
      </c>
      <c r="W114" s="114">
        <f t="shared" si="33"/>
        <v>9.2842025492617733E-2</v>
      </c>
      <c r="X114" s="107">
        <f t="shared" si="28"/>
        <v>195.60034734415999</v>
      </c>
      <c r="Y114" s="107">
        <v>211.91338525479497</v>
      </c>
      <c r="Z114" s="9">
        <f t="shared" si="29"/>
        <v>24.949023895938772</v>
      </c>
      <c r="AA114" s="9">
        <f t="shared" si="29"/>
        <v>27.029768527397319</v>
      </c>
    </row>
    <row r="115" spans="1:27" x14ac:dyDescent="0.2">
      <c r="A115" s="9">
        <v>1764</v>
      </c>
      <c r="B115" s="56">
        <v>0.62429494883780512</v>
      </c>
      <c r="C115" s="56">
        <v>0.87436975766165559</v>
      </c>
      <c r="D115" s="56">
        <v>0.71214004675828235</v>
      </c>
      <c r="E115" s="56">
        <v>6.5101214574898778</v>
      </c>
      <c r="F115" s="56">
        <v>8.9145834221180476</v>
      </c>
      <c r="G115" s="109">
        <v>4.8055484710359879</v>
      </c>
      <c r="H115" s="109">
        <v>13.576315789473682</v>
      </c>
      <c r="I115" s="99">
        <v>1.0743463157894737</v>
      </c>
      <c r="J115" s="109"/>
      <c r="K115" s="107"/>
      <c r="L115" s="9">
        <f t="shared" si="19"/>
        <v>111.74879584196712</v>
      </c>
      <c r="M115" s="9">
        <f t="shared" si="20"/>
        <v>17.487395153233113</v>
      </c>
      <c r="N115" s="9">
        <f t="shared" si="21"/>
        <v>3.5607002337914118</v>
      </c>
      <c r="O115" s="9">
        <f t="shared" si="22"/>
        <v>19.530364372469634</v>
      </c>
      <c r="P115" s="9">
        <f t="shared" si="23"/>
        <v>11.588958448753463</v>
      </c>
      <c r="Q115" s="9">
        <f t="shared" si="24"/>
        <v>14.416645413107965</v>
      </c>
      <c r="R115" s="9">
        <f t="shared" si="25"/>
        <v>17.649210526315787</v>
      </c>
      <c r="S115" s="9">
        <f t="shared" si="25"/>
        <v>1.3966502105263159</v>
      </c>
      <c r="T115" s="9">
        <f t="shared" si="26"/>
        <v>0</v>
      </c>
      <c r="U115" s="107"/>
      <c r="V115" s="117">
        <f t="shared" si="27"/>
        <v>197.37872020016479</v>
      </c>
      <c r="W115" s="114">
        <f>T2</f>
        <v>4.1825934026083311E-2</v>
      </c>
      <c r="X115" s="107">
        <f t="shared" si="28"/>
        <v>205.9946383536724</v>
      </c>
      <c r="Y115" s="107">
        <v>212.10252930040431</v>
      </c>
      <c r="Z115" s="9">
        <f t="shared" si="29"/>
        <v>26.274826320621479</v>
      </c>
      <c r="AA115" s="9">
        <f t="shared" si="29"/>
        <v>27.053894043418918</v>
      </c>
    </row>
    <row r="116" spans="1:27" x14ac:dyDescent="0.2">
      <c r="A116" s="9">
        <v>1765</v>
      </c>
      <c r="B116" s="56">
        <v>0.65168744403016909</v>
      </c>
      <c r="C116" s="56">
        <v>0.87436975766165559</v>
      </c>
      <c r="D116" s="56">
        <v>0.81376518218623473</v>
      </c>
      <c r="E116" s="57">
        <v>6.5698380566801609</v>
      </c>
      <c r="F116" s="56">
        <v>7.7127956345713775</v>
      </c>
      <c r="G116" s="109">
        <v>5.0688419243988889</v>
      </c>
      <c r="H116" s="109"/>
      <c r="I116" s="113"/>
      <c r="J116" s="109"/>
      <c r="K116" s="107"/>
      <c r="L116" s="9">
        <f t="shared" si="19"/>
        <v>116.65205248140026</v>
      </c>
      <c r="M116" s="9">
        <f t="shared" si="20"/>
        <v>17.487395153233113</v>
      </c>
      <c r="N116" s="9">
        <f t="shared" si="21"/>
        <v>4.0688259109311735</v>
      </c>
      <c r="O116" s="9">
        <f t="shared" si="22"/>
        <v>19.709514170040482</v>
      </c>
      <c r="P116" s="9">
        <f t="shared" si="23"/>
        <v>10.02663432494279</v>
      </c>
      <c r="Q116" s="9">
        <f t="shared" si="24"/>
        <v>15.206525773196667</v>
      </c>
      <c r="R116" s="9">
        <f t="shared" si="25"/>
        <v>0</v>
      </c>
      <c r="S116" s="9">
        <f t="shared" si="25"/>
        <v>0</v>
      </c>
      <c r="T116" s="9">
        <f t="shared" si="26"/>
        <v>0</v>
      </c>
      <c r="U116" s="107"/>
      <c r="V116" s="117">
        <f t="shared" si="27"/>
        <v>183.15094781374447</v>
      </c>
      <c r="W116" s="114">
        <f t="shared" si="33"/>
        <v>9.2842025492617733E-2</v>
      </c>
      <c r="X116" s="107">
        <f t="shared" si="28"/>
        <v>201.89531808194894</v>
      </c>
      <c r="Y116" s="107">
        <v>217.28478422017872</v>
      </c>
      <c r="Z116" s="9">
        <f t="shared" si="29"/>
        <v>25.751953836983283</v>
      </c>
      <c r="AA116" s="9">
        <f t="shared" si="29"/>
        <v>27.714895946451367</v>
      </c>
    </row>
    <row r="117" spans="1:27" x14ac:dyDescent="0.2">
      <c r="A117" s="9">
        <v>1766</v>
      </c>
      <c r="B117" s="56">
        <v>0.47297907291404656</v>
      </c>
      <c r="C117" s="56">
        <v>0.87436975766165559</v>
      </c>
      <c r="D117" s="56">
        <v>0.81376518218623473</v>
      </c>
      <c r="E117" s="57">
        <v>6.6295546558704439</v>
      </c>
      <c r="F117" s="57">
        <f>F116+($F$118-$F$116)/2</f>
        <v>7.9164601031779327</v>
      </c>
      <c r="G117" s="109">
        <v>4.7366190569873705</v>
      </c>
      <c r="H117" s="109"/>
      <c r="I117" s="113"/>
      <c r="J117" s="109"/>
      <c r="K117" s="107"/>
      <c r="L117" s="9">
        <f t="shared" si="19"/>
        <v>84.663254051614331</v>
      </c>
      <c r="M117" s="9">
        <f t="shared" si="20"/>
        <v>17.487395153233113</v>
      </c>
      <c r="N117" s="9">
        <f t="shared" si="21"/>
        <v>4.0688259109311735</v>
      </c>
      <c r="O117" s="9">
        <f t="shared" si="22"/>
        <v>19.888663967611333</v>
      </c>
      <c r="P117" s="9">
        <f t="shared" si="23"/>
        <v>10.291398134131313</v>
      </c>
      <c r="Q117" s="9">
        <f t="shared" si="24"/>
        <v>14.209857170962112</v>
      </c>
      <c r="R117" s="9">
        <f t="shared" si="25"/>
        <v>0</v>
      </c>
      <c r="S117" s="9">
        <f t="shared" si="25"/>
        <v>0</v>
      </c>
      <c r="T117" s="9">
        <f t="shared" si="26"/>
        <v>0</v>
      </c>
      <c r="U117" s="107"/>
      <c r="V117" s="117">
        <f t="shared" si="27"/>
        <v>150.60939438848337</v>
      </c>
      <c r="W117" s="114">
        <f t="shared" si="33"/>
        <v>9.2842025492617733E-2</v>
      </c>
      <c r="X117" s="107">
        <f t="shared" si="28"/>
        <v>166.02333730271116</v>
      </c>
      <c r="Y117" s="107">
        <v>185.1073973642703</v>
      </c>
      <c r="Z117" s="9">
        <f t="shared" si="29"/>
        <v>21.176446084529484</v>
      </c>
      <c r="AA117" s="9">
        <f t="shared" si="29"/>
        <v>23.610637418912027</v>
      </c>
    </row>
    <row r="118" spans="1:27" x14ac:dyDescent="0.2">
      <c r="A118" s="9">
        <v>1767</v>
      </c>
      <c r="B118" s="56">
        <v>0.61022288619067755</v>
      </c>
      <c r="C118" s="56">
        <v>0.87436975766165559</v>
      </c>
      <c r="D118" s="56">
        <v>0.81376518218623461</v>
      </c>
      <c r="E118" s="57">
        <v>6.689271255060727</v>
      </c>
      <c r="F118" s="56">
        <v>8.1201245717844888</v>
      </c>
      <c r="G118" s="109">
        <v>4.365170648678145</v>
      </c>
      <c r="H118" s="109"/>
      <c r="I118" s="113"/>
      <c r="J118" s="109"/>
      <c r="K118" s="107"/>
      <c r="L118" s="9">
        <f t="shared" si="19"/>
        <v>109.22989662813129</v>
      </c>
      <c r="M118" s="9">
        <f t="shared" si="20"/>
        <v>17.487395153233113</v>
      </c>
      <c r="N118" s="9">
        <f t="shared" si="21"/>
        <v>4.0688259109311726</v>
      </c>
      <c r="O118" s="9">
        <f t="shared" si="22"/>
        <v>20.06781376518218</v>
      </c>
      <c r="P118" s="9">
        <f t="shared" si="23"/>
        <v>10.556161943319836</v>
      </c>
      <c r="Q118" s="9">
        <f t="shared" si="24"/>
        <v>13.095511946034435</v>
      </c>
      <c r="R118" s="9">
        <f t="shared" si="25"/>
        <v>0</v>
      </c>
      <c r="S118" s="9">
        <f t="shared" si="25"/>
        <v>0</v>
      </c>
      <c r="T118" s="9">
        <f t="shared" si="26"/>
        <v>0</v>
      </c>
      <c r="U118" s="107"/>
      <c r="V118" s="117">
        <f t="shared" si="27"/>
        <v>174.50560534683203</v>
      </c>
      <c r="W118" s="114">
        <f t="shared" si="33"/>
        <v>9.2842025492617733E-2</v>
      </c>
      <c r="X118" s="107">
        <f t="shared" si="28"/>
        <v>192.36517811750983</v>
      </c>
      <c r="Y118" s="107">
        <v>209.36777489197161</v>
      </c>
      <c r="Z118" s="9">
        <f t="shared" si="29"/>
        <v>24.536374759886456</v>
      </c>
      <c r="AA118" s="9">
        <f t="shared" si="29"/>
        <v>26.705073328057605</v>
      </c>
    </row>
    <row r="119" spans="1:27" x14ac:dyDescent="0.2">
      <c r="A119" s="9">
        <v>1768</v>
      </c>
      <c r="B119" s="56">
        <v>0.60735301461497759</v>
      </c>
      <c r="C119" s="56">
        <v>0.87436975766165559</v>
      </c>
      <c r="D119" s="56">
        <v>0.81376518218623461</v>
      </c>
      <c r="E119" s="57">
        <v>6.74898785425101</v>
      </c>
      <c r="F119" s="56">
        <v>7.6717712550607287</v>
      </c>
      <c r="G119" s="109">
        <v>4.4379476654638097</v>
      </c>
      <c r="H119" s="109"/>
      <c r="I119" s="113"/>
      <c r="J119" s="109"/>
      <c r="K119" s="107"/>
      <c r="L119" s="9">
        <f t="shared" si="19"/>
        <v>108.716189616081</v>
      </c>
      <c r="M119" s="9">
        <f t="shared" si="20"/>
        <v>17.487395153233113</v>
      </c>
      <c r="N119" s="9">
        <f t="shared" si="21"/>
        <v>4.0688259109311726</v>
      </c>
      <c r="O119" s="9">
        <f t="shared" si="22"/>
        <v>20.246963562753031</v>
      </c>
      <c r="P119" s="9">
        <f t="shared" si="23"/>
        <v>9.9733026315789477</v>
      </c>
      <c r="Q119" s="9">
        <f t="shared" si="24"/>
        <v>13.313842996391429</v>
      </c>
      <c r="R119" s="9">
        <f t="shared" si="25"/>
        <v>0</v>
      </c>
      <c r="S119" s="9">
        <f t="shared" si="25"/>
        <v>0</v>
      </c>
      <c r="T119" s="9">
        <f t="shared" si="26"/>
        <v>0</v>
      </c>
      <c r="U119" s="107"/>
      <c r="V119" s="117">
        <f t="shared" si="27"/>
        <v>173.80651987096869</v>
      </c>
      <c r="W119" s="114">
        <f t="shared" si="33"/>
        <v>9.2842025492617733E-2</v>
      </c>
      <c r="X119" s="107">
        <f t="shared" si="28"/>
        <v>191.59454555349257</v>
      </c>
      <c r="Y119" s="107">
        <v>209.03285598546091</v>
      </c>
      <c r="Z119" s="9">
        <f t="shared" si="29"/>
        <v>24.438079789986297</v>
      </c>
      <c r="AA119" s="9">
        <f t="shared" si="29"/>
        <v>26.662354079778179</v>
      </c>
    </row>
    <row r="120" spans="1:27" x14ac:dyDescent="0.2">
      <c r="A120" s="9">
        <v>1769</v>
      </c>
      <c r="B120" s="56">
        <v>0.72687507998736833</v>
      </c>
      <c r="C120" s="56">
        <v>0.87436975766165559</v>
      </c>
      <c r="D120" s="56">
        <v>0.97267206477732793</v>
      </c>
      <c r="E120" s="56">
        <v>6.8087044534412939</v>
      </c>
      <c r="F120" s="57">
        <f>F119+($F$121-$F$119)/2</f>
        <v>8.2761336032388666</v>
      </c>
      <c r="G120" s="55">
        <f>G119+($G$121-$G$119)/2</f>
        <v>5.0682799244564354</v>
      </c>
      <c r="H120" s="109"/>
      <c r="I120" s="113">
        <v>1.7502749140893472</v>
      </c>
      <c r="J120" s="109"/>
      <c r="K120" s="107"/>
      <c r="L120" s="9">
        <f t="shared" si="19"/>
        <v>130.11063931773893</v>
      </c>
      <c r="M120" s="9">
        <f t="shared" si="20"/>
        <v>17.487395153233113</v>
      </c>
      <c r="N120" s="9">
        <f t="shared" si="21"/>
        <v>4.8633603238866394</v>
      </c>
      <c r="O120" s="9">
        <f t="shared" si="22"/>
        <v>20.426113360323882</v>
      </c>
      <c r="P120" s="9">
        <f t="shared" si="23"/>
        <v>10.758973684210527</v>
      </c>
      <c r="Q120" s="9">
        <f t="shared" si="24"/>
        <v>15.204839773369306</v>
      </c>
      <c r="R120" s="9">
        <f t="shared" si="25"/>
        <v>0</v>
      </c>
      <c r="S120" s="9">
        <f t="shared" si="25"/>
        <v>2.2753573883161513</v>
      </c>
      <c r="T120" s="9">
        <f t="shared" si="26"/>
        <v>0</v>
      </c>
      <c r="U120" s="107"/>
      <c r="V120" s="117">
        <f t="shared" si="27"/>
        <v>201.12667900107854</v>
      </c>
      <c r="W120" s="114">
        <f>T2+R2</f>
        <v>8.8782535952882033E-2</v>
      </c>
      <c r="X120" s="107">
        <f t="shared" si="28"/>
        <v>220.72302928412543</v>
      </c>
      <c r="Y120" s="107">
        <v>234.44182429660731</v>
      </c>
      <c r="Z120" s="9">
        <f t="shared" si="29"/>
        <v>28.153447612771103</v>
      </c>
      <c r="AA120" s="9">
        <f t="shared" si="29"/>
        <v>29.903293915383585</v>
      </c>
    </row>
    <row r="121" spans="1:27" x14ac:dyDescent="0.2">
      <c r="A121" s="9">
        <v>1770</v>
      </c>
      <c r="B121" s="56">
        <v>0.6625205503992414</v>
      </c>
      <c r="C121" s="56">
        <v>0.80150561118985109</v>
      </c>
      <c r="D121" s="56">
        <v>0.55725253748160752</v>
      </c>
      <c r="E121" s="57"/>
      <c r="F121" s="56">
        <v>8.8804959514170037</v>
      </c>
      <c r="G121" s="109">
        <v>5.6986121834490602</v>
      </c>
      <c r="H121" s="109"/>
      <c r="I121" s="55">
        <f>I120+($I$123-$I$120)/3</f>
        <v>1.7007388316151204</v>
      </c>
      <c r="J121" s="109"/>
      <c r="K121" s="107"/>
      <c r="L121" s="9">
        <f t="shared" si="19"/>
        <v>118.59117852146422</v>
      </c>
      <c r="M121" s="9">
        <f t="shared" si="20"/>
        <v>16.030112223797023</v>
      </c>
      <c r="N121" s="9">
        <f t="shared" si="21"/>
        <v>2.7862626874080378</v>
      </c>
      <c r="O121" s="9">
        <f t="shared" si="22"/>
        <v>0</v>
      </c>
      <c r="P121" s="9">
        <f t="shared" si="23"/>
        <v>11.544644736842105</v>
      </c>
      <c r="Q121" s="9">
        <f t="shared" si="24"/>
        <v>17.09583655034718</v>
      </c>
      <c r="R121" s="9">
        <f t="shared" si="25"/>
        <v>0</v>
      </c>
      <c r="S121" s="9">
        <f t="shared" si="25"/>
        <v>2.2109604810996566</v>
      </c>
      <c r="T121" s="9">
        <f t="shared" si="26"/>
        <v>0</v>
      </c>
      <c r="U121" s="107"/>
      <c r="V121" s="117">
        <f t="shared" si="27"/>
        <v>168.2589952009582</v>
      </c>
      <c r="W121" s="114">
        <f>O2+R2+T2</f>
        <v>0.19559577655462368</v>
      </c>
      <c r="X121" s="107">
        <f t="shared" si="28"/>
        <v>209.17219265741952</v>
      </c>
      <c r="Y121" s="107">
        <v>221.51855776606646</v>
      </c>
      <c r="Z121" s="9">
        <f t="shared" si="29"/>
        <v>26.680126614466776</v>
      </c>
      <c r="AA121" s="9">
        <f t="shared" si="29"/>
        <v>28.254918082406437</v>
      </c>
    </row>
    <row r="122" spans="1:27" x14ac:dyDescent="0.2">
      <c r="A122" s="9">
        <v>1771</v>
      </c>
      <c r="B122" s="56">
        <v>0.44709063265140836</v>
      </c>
      <c r="C122" s="56">
        <v>0.80150561118985109</v>
      </c>
      <c r="D122" s="56">
        <v>0.55727611733238636</v>
      </c>
      <c r="E122" s="57"/>
      <c r="F122" s="56">
        <v>9.4721343073402586</v>
      </c>
      <c r="G122" s="109">
        <v>5.5226828629794662</v>
      </c>
      <c r="H122" s="109"/>
      <c r="I122" s="55">
        <f>I121+($I$123-$I$120)/3</f>
        <v>1.6512027491408936</v>
      </c>
      <c r="J122" s="109"/>
      <c r="K122" s="107"/>
      <c r="L122" s="9">
        <f t="shared" si="19"/>
        <v>80.029223244602093</v>
      </c>
      <c r="M122" s="9">
        <f t="shared" si="20"/>
        <v>16.030112223797023</v>
      </c>
      <c r="N122" s="9">
        <f t="shared" si="21"/>
        <v>2.7863805866619318</v>
      </c>
      <c r="O122" s="9">
        <f t="shared" si="22"/>
        <v>0</v>
      </c>
      <c r="P122" s="9">
        <f t="shared" si="23"/>
        <v>12.313774599542336</v>
      </c>
      <c r="Q122" s="9">
        <f t="shared" si="24"/>
        <v>16.568048588938399</v>
      </c>
      <c r="R122" s="9">
        <f t="shared" si="25"/>
        <v>0</v>
      </c>
      <c r="S122" s="9">
        <f t="shared" si="25"/>
        <v>2.1465635738831619</v>
      </c>
      <c r="T122" s="9">
        <f t="shared" si="26"/>
        <v>0</v>
      </c>
      <c r="U122" s="107"/>
      <c r="V122" s="117">
        <f t="shared" si="27"/>
        <v>129.87410281742495</v>
      </c>
      <c r="W122" s="114">
        <f>T2+R2+O2</f>
        <v>0.19559577655462368</v>
      </c>
      <c r="X122" s="107">
        <f t="shared" si="28"/>
        <v>161.45378036574189</v>
      </c>
      <c r="Y122" s="107">
        <v>182.6519692917889</v>
      </c>
      <c r="Z122" s="9">
        <f t="shared" si="29"/>
        <v>20.593594434405855</v>
      </c>
      <c r="AA122" s="9">
        <f t="shared" si="29"/>
        <v>23.297445062728176</v>
      </c>
    </row>
    <row r="123" spans="1:27" x14ac:dyDescent="0.2">
      <c r="A123" s="9">
        <v>1772</v>
      </c>
      <c r="B123" s="56">
        <v>0.6562177256379641</v>
      </c>
      <c r="C123" s="56">
        <v>0.80150561118985109</v>
      </c>
      <c r="D123" s="56">
        <v>0.55729405994839343</v>
      </c>
      <c r="E123" s="57"/>
      <c r="F123" s="57">
        <f>F122+($F$124-$F$122)/2</f>
        <v>9.4244815992391793</v>
      </c>
      <c r="G123" s="109">
        <v>5.6859565431308372</v>
      </c>
      <c r="H123" s="109">
        <v>15.022379667116509</v>
      </c>
      <c r="I123" s="113">
        <v>1.6016666666666666</v>
      </c>
      <c r="J123" s="109"/>
      <c r="K123" s="107"/>
      <c r="L123" s="9">
        <f t="shared" si="19"/>
        <v>117.46297288919557</v>
      </c>
      <c r="M123" s="9">
        <f t="shared" si="20"/>
        <v>16.030112223797023</v>
      </c>
      <c r="N123" s="9">
        <f t="shared" si="21"/>
        <v>2.7864702997419672</v>
      </c>
      <c r="O123" s="9">
        <f t="shared" si="22"/>
        <v>0</v>
      </c>
      <c r="P123" s="9">
        <f t="shared" si="23"/>
        <v>12.251826079010934</v>
      </c>
      <c r="Q123" s="9">
        <f t="shared" si="24"/>
        <v>17.057869629392513</v>
      </c>
      <c r="R123" s="9">
        <f t="shared" si="25"/>
        <v>19.529093567251461</v>
      </c>
      <c r="S123" s="9">
        <f t="shared" si="25"/>
        <v>2.0821666666666667</v>
      </c>
      <c r="T123" s="9">
        <f t="shared" si="26"/>
        <v>0</v>
      </c>
      <c r="U123" s="107"/>
      <c r="V123" s="117">
        <f t="shared" si="27"/>
        <v>187.20051135505614</v>
      </c>
      <c r="W123" s="114">
        <f>T2+O2</f>
        <v>0.14863917462782497</v>
      </c>
      <c r="X123" s="107">
        <f t="shared" si="28"/>
        <v>219.88386801004245</v>
      </c>
      <c r="Y123" s="107">
        <v>219.96758817142427</v>
      </c>
      <c r="Z123" s="9">
        <f t="shared" si="29"/>
        <v>28.046411735974804</v>
      </c>
      <c r="AA123" s="9">
        <f t="shared" si="29"/>
        <v>28.05709032798779</v>
      </c>
    </row>
    <row r="124" spans="1:27" x14ac:dyDescent="0.2">
      <c r="A124" s="9">
        <v>1773</v>
      </c>
      <c r="B124" s="56">
        <v>0.6077540303108393</v>
      </c>
      <c r="C124" s="56">
        <v>0.80150561118985109</v>
      </c>
      <c r="D124" s="56">
        <v>0.55722385139531527</v>
      </c>
      <c r="E124" s="57"/>
      <c r="F124" s="56">
        <v>9.3768288911381017</v>
      </c>
      <c r="G124" s="109">
        <v>5.3493552667866364</v>
      </c>
      <c r="H124" s="109"/>
      <c r="I124" s="113"/>
      <c r="J124" s="109"/>
      <c r="K124" s="107"/>
      <c r="L124" s="9">
        <f t="shared" si="19"/>
        <v>108.78797142564024</v>
      </c>
      <c r="M124" s="9">
        <f t="shared" si="20"/>
        <v>16.030112223797023</v>
      </c>
      <c r="N124" s="9">
        <f t="shared" si="21"/>
        <v>2.7861192569765763</v>
      </c>
      <c r="O124" s="9">
        <f t="shared" si="22"/>
        <v>0</v>
      </c>
      <c r="P124" s="9">
        <f t="shared" si="23"/>
        <v>12.189877558479532</v>
      </c>
      <c r="Q124" s="9">
        <f t="shared" si="24"/>
        <v>16.048065800359907</v>
      </c>
      <c r="R124" s="9">
        <f t="shared" si="25"/>
        <v>0</v>
      </c>
      <c r="S124" s="9">
        <f t="shared" si="25"/>
        <v>0</v>
      </c>
      <c r="T124" s="9">
        <f t="shared" si="26"/>
        <v>0</v>
      </c>
      <c r="U124" s="107"/>
      <c r="V124" s="117">
        <f t="shared" si="27"/>
        <v>155.84214626525329</v>
      </c>
      <c r="W124" s="114">
        <f t="shared" ref="W124:W126" si="34">$O$2+$R$2+$S$2+$T$2</f>
        <v>0.19965526609435938</v>
      </c>
      <c r="X124" s="107">
        <f t="shared" si="28"/>
        <v>194.71877512675286</v>
      </c>
      <c r="Y124" s="107">
        <v>209.32231043126359</v>
      </c>
      <c r="Z124" s="9">
        <f t="shared" si="29"/>
        <v>24.836578460045008</v>
      </c>
      <c r="AA124" s="9">
        <f t="shared" si="29"/>
        <v>26.699274289701989</v>
      </c>
    </row>
    <row r="125" spans="1:27" x14ac:dyDescent="0.2">
      <c r="A125" s="9">
        <v>1774</v>
      </c>
      <c r="B125" s="56">
        <v>0.70893410830698911</v>
      </c>
      <c r="C125" s="56">
        <v>0.80150561118985109</v>
      </c>
      <c r="D125" s="56">
        <v>0.33436829356394615</v>
      </c>
      <c r="E125" s="57"/>
      <c r="F125" s="56">
        <v>10.057429149797569</v>
      </c>
      <c r="G125" s="109">
        <v>5.7650334563569388</v>
      </c>
      <c r="H125" s="109"/>
      <c r="I125" s="113"/>
      <c r="J125" s="109"/>
      <c r="K125" s="107"/>
      <c r="L125" s="9">
        <f t="shared" si="19"/>
        <v>126.89920538695105</v>
      </c>
      <c r="M125" s="9">
        <f t="shared" si="20"/>
        <v>16.030112223797023</v>
      </c>
      <c r="N125" s="9">
        <f t="shared" si="21"/>
        <v>1.6718414678197306</v>
      </c>
      <c r="O125" s="9">
        <f t="shared" si="22"/>
        <v>0</v>
      </c>
      <c r="P125" s="9">
        <f t="shared" si="23"/>
        <v>13.074657894736839</v>
      </c>
      <c r="Q125" s="9">
        <f t="shared" si="24"/>
        <v>17.295100369070816</v>
      </c>
      <c r="R125" s="9">
        <f t="shared" si="25"/>
        <v>0</v>
      </c>
      <c r="S125" s="9">
        <f t="shared" si="25"/>
        <v>0</v>
      </c>
      <c r="T125" s="9">
        <f t="shared" si="26"/>
        <v>0</v>
      </c>
      <c r="U125" s="107"/>
      <c r="V125" s="117">
        <f t="shared" si="27"/>
        <v>174.97091734237546</v>
      </c>
      <c r="W125" s="114">
        <f t="shared" si="34"/>
        <v>0.19965526609435938</v>
      </c>
      <c r="X125" s="107">
        <f t="shared" si="28"/>
        <v>218.61943976132196</v>
      </c>
      <c r="Y125" s="107">
        <v>227.55290862410973</v>
      </c>
      <c r="Z125" s="9">
        <f t="shared" si="29"/>
        <v>27.885132622617597</v>
      </c>
      <c r="AA125" s="9">
        <f t="shared" si="29"/>
        <v>29.024605691850731</v>
      </c>
    </row>
    <row r="126" spans="1:27" x14ac:dyDescent="0.2">
      <c r="A126" s="9">
        <v>1775</v>
      </c>
      <c r="B126" s="56">
        <v>0.58331447569220873</v>
      </c>
      <c r="C126" s="56">
        <v>0.80150561118985109</v>
      </c>
      <c r="D126" s="56">
        <v>0.33427984181100523</v>
      </c>
      <c r="E126" s="57"/>
      <c r="F126" s="56">
        <v>10.271417004048583</v>
      </c>
      <c r="G126" s="109">
        <v>7.0344287949921736</v>
      </c>
      <c r="H126" s="109"/>
      <c r="I126" s="113"/>
      <c r="J126" s="109"/>
      <c r="K126" s="107"/>
      <c r="L126" s="9">
        <f t="shared" si="19"/>
        <v>104.41329114890536</v>
      </c>
      <c r="M126" s="9">
        <f t="shared" si="20"/>
        <v>16.030112223797023</v>
      </c>
      <c r="N126" s="9">
        <f t="shared" si="21"/>
        <v>1.6713992090550263</v>
      </c>
      <c r="O126" s="9">
        <f t="shared" si="22"/>
        <v>0</v>
      </c>
      <c r="P126" s="9">
        <f t="shared" si="23"/>
        <v>13.352842105263159</v>
      </c>
      <c r="Q126" s="9">
        <f t="shared" si="24"/>
        <v>21.103286384976521</v>
      </c>
      <c r="R126" s="9">
        <f t="shared" si="25"/>
        <v>0</v>
      </c>
      <c r="S126" s="9">
        <f t="shared" si="25"/>
        <v>0</v>
      </c>
      <c r="T126" s="9">
        <f t="shared" si="26"/>
        <v>0</v>
      </c>
      <c r="U126" s="107"/>
      <c r="V126" s="117">
        <f t="shared" si="27"/>
        <v>156.57093107199708</v>
      </c>
      <c r="W126" s="114">
        <f t="shared" si="34"/>
        <v>0.19965526609435938</v>
      </c>
      <c r="X126" s="107">
        <f t="shared" si="28"/>
        <v>195.62936374671835</v>
      </c>
      <c r="Y126" s="107">
        <v>208.25474946945536</v>
      </c>
      <c r="Z126" s="9">
        <f t="shared" si="29"/>
        <v>24.952724967693669</v>
      </c>
      <c r="AA126" s="9">
        <f t="shared" si="29"/>
        <v>26.56310579967543</v>
      </c>
    </row>
    <row r="127" spans="1:27" x14ac:dyDescent="0.2">
      <c r="A127" s="9">
        <v>1776</v>
      </c>
      <c r="B127" s="56">
        <v>0.61476918064852615</v>
      </c>
      <c r="C127" s="56">
        <v>0.80150561118985109</v>
      </c>
      <c r="D127" s="56">
        <v>0.33436074434302193</v>
      </c>
      <c r="E127" s="57"/>
      <c r="F127" s="57"/>
      <c r="G127" s="55">
        <f>G126+($G$131-$G$126)/5</f>
        <v>6.3269431403234204</v>
      </c>
      <c r="H127" s="109"/>
      <c r="I127" s="113"/>
      <c r="J127" s="109"/>
      <c r="K127" s="107"/>
      <c r="L127" s="9">
        <f t="shared" si="19"/>
        <v>110.04368333608618</v>
      </c>
      <c r="M127" s="9">
        <f t="shared" si="20"/>
        <v>16.030112223797023</v>
      </c>
      <c r="N127" s="9">
        <f t="shared" si="21"/>
        <v>1.6718037217151096</v>
      </c>
      <c r="O127" s="9">
        <f t="shared" si="22"/>
        <v>0</v>
      </c>
      <c r="P127" s="9">
        <f t="shared" si="23"/>
        <v>0</v>
      </c>
      <c r="Q127" s="9">
        <f t="shared" si="24"/>
        <v>18.980829420970259</v>
      </c>
      <c r="R127" s="9">
        <f t="shared" si="25"/>
        <v>0</v>
      </c>
      <c r="S127" s="9">
        <f t="shared" si="25"/>
        <v>0</v>
      </c>
      <c r="T127" s="9">
        <f t="shared" si="26"/>
        <v>0</v>
      </c>
      <c r="U127" s="107"/>
      <c r="V127" s="117">
        <f t="shared" si="27"/>
        <v>146.72642870256857</v>
      </c>
      <c r="W127" s="114">
        <f>$O$2+$R$2+$S$2+$T$2+$P$2</f>
        <v>0.2282901032085464</v>
      </c>
      <c r="X127" s="107">
        <f t="shared" si="28"/>
        <v>190.13158871308323</v>
      </c>
      <c r="Y127" s="107">
        <v>209.98610711048772</v>
      </c>
      <c r="Z127" s="9">
        <f t="shared" si="29"/>
        <v>24.251478152178983</v>
      </c>
      <c r="AA127" s="9">
        <f t="shared" si="29"/>
        <v>26.783942233480577</v>
      </c>
    </row>
    <row r="128" spans="1:27" x14ac:dyDescent="0.2">
      <c r="A128" s="9">
        <v>1777</v>
      </c>
      <c r="B128" s="56">
        <v>0.63261549278145546</v>
      </c>
      <c r="C128" s="56">
        <v>0.80150561118985109</v>
      </c>
      <c r="D128" s="56">
        <v>0.33418797932918598</v>
      </c>
      <c r="E128" s="57"/>
      <c r="F128" s="57"/>
      <c r="G128" s="55">
        <f>G127+($G$131-$G$126)/5</f>
        <v>5.6194574856546673</v>
      </c>
      <c r="H128" s="109"/>
      <c r="I128" s="113"/>
      <c r="J128" s="109"/>
      <c r="K128" s="107"/>
      <c r="L128" s="9">
        <f t="shared" si="19"/>
        <v>113.23817320788052</v>
      </c>
      <c r="M128" s="9">
        <f t="shared" si="20"/>
        <v>16.030112223797023</v>
      </c>
      <c r="N128" s="9">
        <f t="shared" si="21"/>
        <v>1.6709398966459299</v>
      </c>
      <c r="O128" s="9">
        <f t="shared" si="22"/>
        <v>0</v>
      </c>
      <c r="P128" s="9">
        <f t="shared" si="23"/>
        <v>0</v>
      </c>
      <c r="Q128" s="9">
        <f t="shared" si="24"/>
        <v>16.858372456964002</v>
      </c>
      <c r="R128" s="9">
        <f t="shared" si="25"/>
        <v>0</v>
      </c>
      <c r="S128" s="9">
        <f t="shared" si="25"/>
        <v>0</v>
      </c>
      <c r="T128" s="9">
        <f t="shared" si="26"/>
        <v>0</v>
      </c>
      <c r="U128" s="107"/>
      <c r="V128" s="117">
        <f t="shared" si="27"/>
        <v>147.79759778528748</v>
      </c>
      <c r="W128" s="114">
        <f>$O$2+$R$2+$S$2+$T$2+$P$2</f>
        <v>0.2282901032085464</v>
      </c>
      <c r="X128" s="107">
        <f t="shared" si="28"/>
        <v>191.51963503356262</v>
      </c>
      <c r="Y128" s="107">
        <v>209.28029409840434</v>
      </c>
      <c r="Z128" s="9">
        <f t="shared" si="29"/>
        <v>24.428524876729927</v>
      </c>
      <c r="AA128" s="9">
        <f t="shared" si="29"/>
        <v>26.693915063571982</v>
      </c>
    </row>
    <row r="129" spans="1:27" x14ac:dyDescent="0.2">
      <c r="A129" s="9">
        <v>1778</v>
      </c>
      <c r="B129" s="56">
        <v>0.66359491461301856</v>
      </c>
      <c r="C129" s="56">
        <v>0.80150561118985109</v>
      </c>
      <c r="D129" s="56">
        <v>0.33438054176332715</v>
      </c>
      <c r="E129" s="57"/>
      <c r="F129" s="57"/>
      <c r="G129" s="55">
        <f>G128+($G$131-$G$126)/5</f>
        <v>4.9119718309859142</v>
      </c>
      <c r="H129" s="109"/>
      <c r="I129" s="113"/>
      <c r="J129" s="109"/>
      <c r="K129" s="107"/>
      <c r="L129" s="9">
        <f t="shared" si="19"/>
        <v>118.78348971573033</v>
      </c>
      <c r="M129" s="9">
        <f t="shared" si="20"/>
        <v>16.030112223797023</v>
      </c>
      <c r="N129" s="9">
        <f t="shared" si="21"/>
        <v>1.6719027088166358</v>
      </c>
      <c r="O129" s="9">
        <f t="shared" si="22"/>
        <v>0</v>
      </c>
      <c r="P129" s="9">
        <f t="shared" si="23"/>
        <v>0</v>
      </c>
      <c r="Q129" s="9">
        <f t="shared" si="24"/>
        <v>14.735915492957743</v>
      </c>
      <c r="R129" s="9">
        <f t="shared" si="25"/>
        <v>0</v>
      </c>
      <c r="S129" s="9">
        <f t="shared" si="25"/>
        <v>0</v>
      </c>
      <c r="T129" s="9">
        <f t="shared" si="26"/>
        <v>0</v>
      </c>
      <c r="U129" s="107"/>
      <c r="V129" s="117">
        <f t="shared" si="27"/>
        <v>151.22142014130173</v>
      </c>
      <c r="W129" s="114">
        <f>$O$2+$R$2+$S$2+$T$2+$P$2</f>
        <v>0.2282901032085464</v>
      </c>
      <c r="X129" s="107">
        <f t="shared" si="28"/>
        <v>195.95630530337453</v>
      </c>
      <c r="Y129" s="107">
        <v>210.92713435961628</v>
      </c>
      <c r="Z129" s="9">
        <f t="shared" si="29"/>
        <v>24.994426696858998</v>
      </c>
      <c r="AA129" s="9">
        <f t="shared" si="29"/>
        <v>26.903971219338811</v>
      </c>
    </row>
    <row r="130" spans="1:27" x14ac:dyDescent="0.2">
      <c r="A130" s="9">
        <v>1779</v>
      </c>
      <c r="B130" s="56">
        <v>0.60571956604825961</v>
      </c>
      <c r="C130" s="56">
        <v>0.80150561118985109</v>
      </c>
      <c r="D130" s="56">
        <v>0.44548380566801615</v>
      </c>
      <c r="E130" s="57"/>
      <c r="F130" s="57"/>
      <c r="G130" s="55">
        <f>G129+($G$131-$G$126)/5</f>
        <v>4.204486176317161</v>
      </c>
      <c r="H130" s="109"/>
      <c r="I130" s="113"/>
      <c r="J130" s="109">
        <v>4.675135135135136</v>
      </c>
      <c r="K130" s="107"/>
      <c r="L130" s="9">
        <f t="shared" si="19"/>
        <v>108.42380232263847</v>
      </c>
      <c r="M130" s="9">
        <f t="shared" si="20"/>
        <v>16.030112223797023</v>
      </c>
      <c r="N130" s="9">
        <f t="shared" si="21"/>
        <v>2.2274190283400808</v>
      </c>
      <c r="O130" s="9">
        <f t="shared" si="22"/>
        <v>0</v>
      </c>
      <c r="P130" s="9">
        <f t="shared" si="23"/>
        <v>0</v>
      </c>
      <c r="Q130" s="9">
        <f t="shared" si="24"/>
        <v>12.613458528951483</v>
      </c>
      <c r="R130" s="9">
        <f t="shared" si="25"/>
        <v>0</v>
      </c>
      <c r="S130" s="9">
        <f t="shared" si="25"/>
        <v>0</v>
      </c>
      <c r="T130" s="9">
        <f t="shared" si="26"/>
        <v>14.025405405405408</v>
      </c>
      <c r="U130" s="107"/>
      <c r="V130" s="117">
        <f t="shared" si="27"/>
        <v>153.32019750913247</v>
      </c>
      <c r="W130" s="114">
        <f>$O$2+$R$2+$S$2+$P$2</f>
        <v>0.18646416918246309</v>
      </c>
      <c r="X130" s="107">
        <f t="shared" si="28"/>
        <v>188.46151785970906</v>
      </c>
      <c r="Y130" s="107">
        <v>197.22352422723924</v>
      </c>
      <c r="Z130" s="9">
        <f t="shared" si="29"/>
        <v>24.038458910677178</v>
      </c>
      <c r="AA130" s="9">
        <f t="shared" si="29"/>
        <v>25.156061763678476</v>
      </c>
    </row>
    <row r="131" spans="1:27" x14ac:dyDescent="0.2">
      <c r="A131" s="9">
        <v>1780</v>
      </c>
      <c r="B131" s="56">
        <v>0.61095190038648317</v>
      </c>
      <c r="C131" s="56">
        <v>0.80150561118985109</v>
      </c>
      <c r="D131" s="56">
        <v>0.44585812610827247</v>
      </c>
      <c r="E131" s="57"/>
      <c r="F131" s="57"/>
      <c r="G131" s="109">
        <v>3.4970005216484084</v>
      </c>
      <c r="H131" s="109"/>
      <c r="I131" s="113"/>
      <c r="J131" s="109"/>
      <c r="K131" s="107"/>
      <c r="L131" s="9">
        <f t="shared" si="19"/>
        <v>109.36039016918049</v>
      </c>
      <c r="M131" s="9">
        <f t="shared" si="20"/>
        <v>16.030112223797023</v>
      </c>
      <c r="N131" s="9">
        <f t="shared" si="21"/>
        <v>2.2292906305413625</v>
      </c>
      <c r="O131" s="9">
        <f t="shared" si="22"/>
        <v>0</v>
      </c>
      <c r="P131" s="9">
        <f t="shared" si="23"/>
        <v>0</v>
      </c>
      <c r="Q131" s="9">
        <f t="shared" si="24"/>
        <v>10.491001564945226</v>
      </c>
      <c r="R131" s="9">
        <f t="shared" si="25"/>
        <v>0</v>
      </c>
      <c r="S131" s="9">
        <f t="shared" si="25"/>
        <v>0</v>
      </c>
      <c r="T131" s="9">
        <f t="shared" si="26"/>
        <v>0</v>
      </c>
      <c r="U131" s="107"/>
      <c r="V131" s="117">
        <f t="shared" si="27"/>
        <v>138.1107945884641</v>
      </c>
      <c r="W131" s="114">
        <f>$O$2+$R$2+$S$2+$T$2+$P$2</f>
        <v>0.2282901032085464</v>
      </c>
      <c r="X131" s="107">
        <f t="shared" si="28"/>
        <v>178.96724554484632</v>
      </c>
      <c r="Y131" s="107">
        <v>198.10247400478946</v>
      </c>
      <c r="Z131" s="9">
        <f t="shared" si="29"/>
        <v>22.827454788883461</v>
      </c>
      <c r="AA131" s="9">
        <f t="shared" si="29"/>
        <v>25.268172704692532</v>
      </c>
    </row>
    <row r="132" spans="1:27" x14ac:dyDescent="0.2">
      <c r="A132" s="9">
        <v>1781</v>
      </c>
      <c r="B132" s="56">
        <v>0.60216771947782144</v>
      </c>
      <c r="C132" s="56">
        <v>0.80150561118985109</v>
      </c>
      <c r="D132" s="56">
        <v>0.44616726259024486</v>
      </c>
      <c r="E132" s="57"/>
      <c r="F132" s="57"/>
      <c r="G132" s="109">
        <v>3.4767866458007295</v>
      </c>
      <c r="H132" s="109"/>
      <c r="I132" s="113"/>
      <c r="J132" s="109"/>
      <c r="K132" s="107"/>
      <c r="L132" s="9">
        <f t="shared" ref="L132:L195" si="35">B132*179</f>
        <v>107.78802178653004</v>
      </c>
      <c r="M132" s="9">
        <f t="shared" ref="M132:M195" si="36">C132*20</f>
        <v>16.030112223797023</v>
      </c>
      <c r="N132" s="9">
        <f t="shared" ref="N132:N195" si="37">D132*5</f>
        <v>2.2308363129512241</v>
      </c>
      <c r="O132" s="9">
        <f t="shared" ref="O132:O195" si="38">E132*3</f>
        <v>0</v>
      </c>
      <c r="P132" s="9">
        <f t="shared" ref="P132:P195" si="39">F132*1.3</f>
        <v>0</v>
      </c>
      <c r="Q132" s="9">
        <f t="shared" ref="Q132:Q195" si="40">G132*3</f>
        <v>10.430359937402189</v>
      </c>
      <c r="R132" s="9">
        <f t="shared" ref="R132:S195" si="41">H132*1.3</f>
        <v>0</v>
      </c>
      <c r="S132" s="9">
        <f t="shared" si="41"/>
        <v>0</v>
      </c>
      <c r="T132" s="9">
        <f t="shared" ref="T132:T195" si="42">J132*3</f>
        <v>0</v>
      </c>
      <c r="U132" s="107"/>
      <c r="V132" s="117">
        <f t="shared" si="27"/>
        <v>136.47933026068048</v>
      </c>
      <c r="W132" s="114">
        <f>$O$2+$R$2+$S$2+$T$2+$P$2</f>
        <v>0.2282901032085464</v>
      </c>
      <c r="X132" s="107">
        <f t="shared" si="28"/>
        <v>176.85315534778294</v>
      </c>
      <c r="Y132" s="107">
        <v>198.53395696981897</v>
      </c>
      <c r="Z132" s="9">
        <f t="shared" si="29"/>
        <v>22.557800427013131</v>
      </c>
      <c r="AA132" s="9">
        <f t="shared" si="29"/>
        <v>25.323208797170789</v>
      </c>
    </row>
    <row r="133" spans="1:27" x14ac:dyDescent="0.2">
      <c r="A133" s="9">
        <v>1782</v>
      </c>
      <c r="B133" s="56">
        <v>0.69866538500300956</v>
      </c>
      <c r="C133" s="56">
        <v>0.80150561118985109</v>
      </c>
      <c r="D133" s="57">
        <v>0.44599515967398295</v>
      </c>
      <c r="E133" s="57"/>
      <c r="F133" s="57"/>
      <c r="G133" s="55"/>
      <c r="H133" s="109"/>
      <c r="I133" s="113"/>
      <c r="J133" s="109"/>
      <c r="K133" s="107"/>
      <c r="L133" s="9">
        <f t="shared" si="35"/>
        <v>125.06110391553871</v>
      </c>
      <c r="M133" s="9">
        <f t="shared" si="36"/>
        <v>16.030112223797023</v>
      </c>
      <c r="N133" s="9">
        <f t="shared" si="37"/>
        <v>2.2299757983699147</v>
      </c>
      <c r="O133" s="9">
        <f t="shared" si="38"/>
        <v>0</v>
      </c>
      <c r="P133" s="9">
        <f t="shared" si="39"/>
        <v>0</v>
      </c>
      <c r="Q133" s="9">
        <f t="shared" si="40"/>
        <v>0</v>
      </c>
      <c r="R133" s="9">
        <f t="shared" si="41"/>
        <v>0</v>
      </c>
      <c r="S133" s="9">
        <f t="shared" si="41"/>
        <v>0</v>
      </c>
      <c r="T133" s="9">
        <f t="shared" si="42"/>
        <v>0</v>
      </c>
      <c r="U133" s="107"/>
      <c r="V133" s="117">
        <f t="shared" ref="V133:V196" si="43">SUM(L133:T133)</f>
        <v>143.32119193770563</v>
      </c>
      <c r="W133" s="114">
        <f>$O$2+$P$2+$Q$2+$R$2+$S$2+$T$2</f>
        <v>0.25847153238297094</v>
      </c>
      <c r="X133" s="107">
        <f t="shared" ref="X133:X196" si="44">V133/(1-W133)</f>
        <v>193.27807116870599</v>
      </c>
      <c r="Y133" s="107">
        <v>217.86306171430516</v>
      </c>
      <c r="Z133" s="9">
        <f t="shared" ref="Z133:AA150" si="45">X133/7.84</f>
        <v>24.65281520009005</v>
      </c>
      <c r="AA133" s="9">
        <f t="shared" si="45"/>
        <v>27.788655830906272</v>
      </c>
    </row>
    <row r="134" spans="1:27" x14ac:dyDescent="0.2">
      <c r="A134" s="9">
        <v>1783</v>
      </c>
      <c r="B134" s="56">
        <v>0.66413447153974881</v>
      </c>
      <c r="C134" s="56">
        <v>0.80150561118985109</v>
      </c>
      <c r="D134" s="56">
        <v>0.44582305675772099</v>
      </c>
      <c r="E134" s="56">
        <v>3.6814720722591363</v>
      </c>
      <c r="F134" s="56">
        <v>4.8633603238866394</v>
      </c>
      <c r="G134" s="55"/>
      <c r="H134" s="109"/>
      <c r="I134" s="113"/>
      <c r="J134" s="109"/>
      <c r="K134" s="107"/>
      <c r="L134" s="9">
        <f t="shared" si="35"/>
        <v>118.88007040561503</v>
      </c>
      <c r="M134" s="9">
        <f t="shared" si="36"/>
        <v>16.030112223797023</v>
      </c>
      <c r="N134" s="9">
        <f t="shared" si="37"/>
        <v>2.2291152837886048</v>
      </c>
      <c r="O134" s="9">
        <f t="shared" si="38"/>
        <v>11.044416216777408</v>
      </c>
      <c r="P134" s="9">
        <f t="shared" si="39"/>
        <v>6.3223684210526319</v>
      </c>
      <c r="Q134" s="9">
        <f t="shared" si="40"/>
        <v>0</v>
      </c>
      <c r="R134" s="9">
        <f t="shared" si="41"/>
        <v>0</v>
      </c>
      <c r="S134" s="9">
        <f t="shared" si="41"/>
        <v>0</v>
      </c>
      <c r="T134" s="9">
        <f t="shared" si="42"/>
        <v>0</v>
      </c>
      <c r="U134" s="107"/>
      <c r="V134" s="117">
        <f t="shared" si="43"/>
        <v>154.50608255103072</v>
      </c>
      <c r="W134" s="114">
        <f>$O$2+$Q$2+$R$2+$S$2+$T$2</f>
        <v>0.22983669526878389</v>
      </c>
      <c r="X134" s="107">
        <f t="shared" si="44"/>
        <v>200.61470288428339</v>
      </c>
      <c r="Y134" s="107">
        <v>213.7380508198591</v>
      </c>
      <c r="Z134" s="9">
        <f t="shared" si="45"/>
        <v>25.58861006177084</v>
      </c>
      <c r="AA134" s="9">
        <f t="shared" si="45"/>
        <v>27.262506482124884</v>
      </c>
    </row>
    <row r="135" spans="1:27" x14ac:dyDescent="0.2">
      <c r="A135" s="9">
        <v>1784</v>
      </c>
      <c r="B135" s="56">
        <v>0.64885380628160383</v>
      </c>
      <c r="C135" s="56">
        <v>0.80150561118985109</v>
      </c>
      <c r="D135" s="56">
        <v>0.5572546814629602</v>
      </c>
      <c r="E135" s="56">
        <v>8.2251954434812831</v>
      </c>
      <c r="F135" s="57"/>
      <c r="G135" s="55"/>
      <c r="H135" s="109">
        <v>12.680189537669012</v>
      </c>
      <c r="I135" s="113">
        <v>2.2685514415170913</v>
      </c>
      <c r="J135" s="109"/>
      <c r="K135" s="107"/>
      <c r="L135" s="9">
        <f t="shared" si="35"/>
        <v>116.14483132440708</v>
      </c>
      <c r="M135" s="9">
        <f t="shared" si="36"/>
        <v>16.030112223797023</v>
      </c>
      <c r="N135" s="9">
        <f t="shared" si="37"/>
        <v>2.786273407314801</v>
      </c>
      <c r="O135" s="9">
        <f t="shared" si="38"/>
        <v>24.675586330443849</v>
      </c>
      <c r="P135" s="9">
        <f t="shared" si="39"/>
        <v>0</v>
      </c>
      <c r="Q135" s="9">
        <f t="shared" si="40"/>
        <v>0</v>
      </c>
      <c r="R135" s="9">
        <f t="shared" si="41"/>
        <v>16.484246398969717</v>
      </c>
      <c r="S135" s="9">
        <f t="shared" si="41"/>
        <v>2.9491168739722187</v>
      </c>
      <c r="T135" s="9">
        <f t="shared" si="42"/>
        <v>0</v>
      </c>
      <c r="U135" s="107"/>
      <c r="V135" s="117">
        <f t="shared" si="43"/>
        <v>179.0701665589047</v>
      </c>
      <c r="W135" s="114">
        <f>T2+Q2+P2</f>
        <v>0.10064220031469483</v>
      </c>
      <c r="X135" s="107">
        <f t="shared" si="44"/>
        <v>199.10892708281759</v>
      </c>
      <c r="Y135" s="107">
        <v>229.09592136719604</v>
      </c>
      <c r="Z135" s="9">
        <f t="shared" si="45"/>
        <v>25.396546821787958</v>
      </c>
      <c r="AA135" s="9">
        <f t="shared" si="45"/>
        <v>29.221418541734188</v>
      </c>
    </row>
    <row r="136" spans="1:27" x14ac:dyDescent="0.2">
      <c r="A136" s="9">
        <v>1785</v>
      </c>
      <c r="B136" s="56">
        <v>0.68306922913460488</v>
      </c>
      <c r="C136" s="56">
        <v>0.82579366001378607</v>
      </c>
      <c r="D136" s="56">
        <v>0.51448159576986585</v>
      </c>
      <c r="E136" s="56">
        <v>7.3555470814088313</v>
      </c>
      <c r="F136" s="57"/>
      <c r="G136" s="55"/>
      <c r="H136" s="109">
        <v>11.726102114260009</v>
      </c>
      <c r="I136" s="113">
        <v>3.2033333333333331</v>
      </c>
      <c r="J136" s="109">
        <v>12.261873417721519</v>
      </c>
      <c r="K136" s="107"/>
      <c r="L136" s="9">
        <f t="shared" si="35"/>
        <v>122.26939201509427</v>
      </c>
      <c r="M136" s="9">
        <f t="shared" si="36"/>
        <v>16.51587320027572</v>
      </c>
      <c r="N136" s="9">
        <f t="shared" si="37"/>
        <v>2.5724079788493293</v>
      </c>
      <c r="O136" s="9">
        <f t="shared" si="38"/>
        <v>22.066641244226496</v>
      </c>
      <c r="P136" s="9">
        <f t="shared" si="39"/>
        <v>0</v>
      </c>
      <c r="Q136" s="9">
        <f t="shared" si="40"/>
        <v>0</v>
      </c>
      <c r="R136" s="9">
        <f t="shared" si="41"/>
        <v>15.243932748538011</v>
      </c>
      <c r="S136" s="9">
        <f t="shared" si="41"/>
        <v>4.1643333333333334</v>
      </c>
      <c r="T136" s="9">
        <f t="shared" si="42"/>
        <v>36.785620253164559</v>
      </c>
      <c r="U136" s="107"/>
      <c r="V136" s="117">
        <f t="shared" si="43"/>
        <v>219.6182007734817</v>
      </c>
      <c r="W136" s="114">
        <f>P2+Q2</f>
        <v>5.8816266288611516E-2</v>
      </c>
      <c r="X136" s="107">
        <f t="shared" si="44"/>
        <v>233.34253760151262</v>
      </c>
      <c r="Y136" s="107">
        <v>236.94460813337543</v>
      </c>
      <c r="Z136" s="9">
        <f t="shared" si="45"/>
        <v>29.763078775703139</v>
      </c>
      <c r="AA136" s="9">
        <f t="shared" si="45"/>
        <v>30.222526547624415</v>
      </c>
    </row>
    <row r="137" spans="1:27" x14ac:dyDescent="0.2">
      <c r="A137" s="9">
        <v>1786</v>
      </c>
      <c r="B137" s="56">
        <v>1.0271149422616694</v>
      </c>
      <c r="C137" s="56">
        <v>0.83793768442575334</v>
      </c>
      <c r="D137" s="56">
        <v>0.61289928132376292</v>
      </c>
      <c r="E137" s="56">
        <v>2.4316801619433197</v>
      </c>
      <c r="F137" s="57"/>
      <c r="G137" s="55"/>
      <c r="H137" s="55">
        <f>H136+($H$139-$H$136)/3</f>
        <v>13.026600689758585</v>
      </c>
      <c r="I137" s="55">
        <f>I136+($I$139-$I$136)/3</f>
        <v>2.554115438596491</v>
      </c>
      <c r="J137" s="109">
        <v>8.4300379746835432</v>
      </c>
      <c r="K137" s="107"/>
      <c r="L137" s="9">
        <f t="shared" si="35"/>
        <v>183.85357466483882</v>
      </c>
      <c r="M137" s="9">
        <f t="shared" si="36"/>
        <v>16.758753688515068</v>
      </c>
      <c r="N137" s="9">
        <f t="shared" si="37"/>
        <v>3.0644964066188147</v>
      </c>
      <c r="O137" s="9">
        <f t="shared" si="38"/>
        <v>7.2950404858299596</v>
      </c>
      <c r="P137" s="9">
        <f t="shared" si="39"/>
        <v>0</v>
      </c>
      <c r="Q137" s="9">
        <f t="shared" si="40"/>
        <v>0</v>
      </c>
      <c r="R137" s="9">
        <f t="shared" si="41"/>
        <v>16.93458089668616</v>
      </c>
      <c r="S137" s="9">
        <f t="shared" si="41"/>
        <v>3.3203500701754383</v>
      </c>
      <c r="T137" s="9">
        <f t="shared" si="42"/>
        <v>25.29011392405063</v>
      </c>
      <c r="U137" s="107"/>
      <c r="V137" s="117">
        <f t="shared" si="43"/>
        <v>256.5169101367149</v>
      </c>
      <c r="W137" s="114">
        <f>P2+Q2</f>
        <v>5.8816266288611516E-2</v>
      </c>
      <c r="X137" s="107">
        <f t="shared" si="44"/>
        <v>272.54711375555405</v>
      </c>
      <c r="Y137" s="107">
        <v>274.13622116008241</v>
      </c>
      <c r="Z137" s="9">
        <f t="shared" si="45"/>
        <v>34.763662468820669</v>
      </c>
      <c r="AA137" s="9">
        <f t="shared" si="45"/>
        <v>34.966354739806434</v>
      </c>
    </row>
    <row r="138" spans="1:27" x14ac:dyDescent="0.2">
      <c r="A138" s="9">
        <v>1787</v>
      </c>
      <c r="B138" s="56">
        <v>1.6471883295271665</v>
      </c>
      <c r="C138" s="56">
        <v>2.0037640279746274</v>
      </c>
      <c r="D138" s="56">
        <v>0.61293521138838858</v>
      </c>
      <c r="E138" s="57">
        <v>4.4295177045177043</v>
      </c>
      <c r="F138" s="57"/>
      <c r="G138" s="55"/>
      <c r="H138" s="55">
        <f>H137+($H$139-$H$136)/3</f>
        <v>14.327099265257161</v>
      </c>
      <c r="I138" s="55">
        <f>I137+($I$139-$I$136)/3</f>
        <v>1.9048975438596489</v>
      </c>
      <c r="J138" s="109"/>
      <c r="K138" s="107"/>
      <c r="L138" s="9">
        <f t="shared" si="35"/>
        <v>294.84671098536279</v>
      </c>
      <c r="M138" s="9">
        <f t="shared" si="36"/>
        <v>40.075280559492548</v>
      </c>
      <c r="N138" s="9">
        <f t="shared" si="37"/>
        <v>3.0646760569419431</v>
      </c>
      <c r="O138" s="9">
        <f t="shared" si="38"/>
        <v>13.288553113553114</v>
      </c>
      <c r="P138" s="9">
        <f t="shared" si="39"/>
        <v>0</v>
      </c>
      <c r="Q138" s="9">
        <f t="shared" si="40"/>
        <v>0</v>
      </c>
      <c r="R138" s="9">
        <f t="shared" si="41"/>
        <v>18.62522904483431</v>
      </c>
      <c r="S138" s="9">
        <f t="shared" si="41"/>
        <v>2.4763668070175435</v>
      </c>
      <c r="T138" s="9">
        <f t="shared" si="42"/>
        <v>0</v>
      </c>
      <c r="U138" s="107"/>
      <c r="V138" s="117">
        <f t="shared" si="43"/>
        <v>372.3768165672023</v>
      </c>
      <c r="W138" s="114">
        <f>$P$2+$Q$2+$T$2</f>
        <v>0.10064220031469483</v>
      </c>
      <c r="X138" s="107">
        <f t="shared" si="44"/>
        <v>414.04746442128027</v>
      </c>
      <c r="Y138" s="107">
        <v>416.78343631733475</v>
      </c>
      <c r="Z138" s="9">
        <f t="shared" si="45"/>
        <v>52.812176584346972</v>
      </c>
      <c r="AA138" s="9">
        <f t="shared" si="45"/>
        <v>53.16115259149678</v>
      </c>
    </row>
    <row r="139" spans="1:27" x14ac:dyDescent="0.2">
      <c r="A139" s="9">
        <v>1788</v>
      </c>
      <c r="B139" s="56">
        <v>0.70528189189163526</v>
      </c>
      <c r="C139" s="56">
        <v>0.80150561118985109</v>
      </c>
      <c r="D139" s="56">
        <v>0.61281902982307834</v>
      </c>
      <c r="E139" s="57">
        <v>6.4273552470920894</v>
      </c>
      <c r="F139" s="57"/>
      <c r="G139" s="55"/>
      <c r="H139" s="109">
        <v>15.627597840755735</v>
      </c>
      <c r="I139" s="99">
        <v>1.2556796491228071</v>
      </c>
      <c r="J139" s="109"/>
      <c r="K139" s="107"/>
      <c r="L139" s="9">
        <f t="shared" si="35"/>
        <v>126.24545864860271</v>
      </c>
      <c r="M139" s="9">
        <f t="shared" si="36"/>
        <v>16.030112223797023</v>
      </c>
      <c r="N139" s="9">
        <f t="shared" si="37"/>
        <v>3.0640951491153916</v>
      </c>
      <c r="O139" s="9">
        <f t="shared" si="38"/>
        <v>19.28206574127627</v>
      </c>
      <c r="P139" s="9">
        <f t="shared" si="39"/>
        <v>0</v>
      </c>
      <c r="Q139" s="9">
        <f t="shared" si="40"/>
        <v>0</v>
      </c>
      <c r="R139" s="9">
        <f t="shared" si="41"/>
        <v>20.315877192982455</v>
      </c>
      <c r="S139" s="9">
        <f t="shared" si="41"/>
        <v>1.6323835438596492</v>
      </c>
      <c r="T139" s="9">
        <f t="shared" si="42"/>
        <v>0</v>
      </c>
      <c r="U139" s="107"/>
      <c r="V139" s="117">
        <f t="shared" si="43"/>
        <v>186.56999249963349</v>
      </c>
      <c r="W139" s="114">
        <f t="shared" ref="W139:W140" si="46">$P$2+$Q$2+$T$2</f>
        <v>0.10064220031469483</v>
      </c>
      <c r="X139" s="107">
        <f t="shared" si="44"/>
        <v>207.44801742411786</v>
      </c>
      <c r="Y139" s="107">
        <v>232.47380705248017</v>
      </c>
      <c r="Z139" s="9">
        <f t="shared" si="45"/>
        <v>26.460206304096666</v>
      </c>
      <c r="AA139" s="9">
        <f t="shared" si="45"/>
        <v>29.652271307714308</v>
      </c>
    </row>
    <row r="140" spans="1:27" x14ac:dyDescent="0.2">
      <c r="A140" s="9">
        <v>1789</v>
      </c>
      <c r="B140" s="56">
        <v>1.4307192156956323</v>
      </c>
      <c r="C140" s="56">
        <v>0.80150561118985109</v>
      </c>
      <c r="D140" s="56">
        <v>0.75235854950767223</v>
      </c>
      <c r="E140" s="56">
        <v>8.4251927896664736</v>
      </c>
      <c r="F140" s="57"/>
      <c r="G140" s="55"/>
      <c r="H140" s="55">
        <f>H139+($H$144-$H$139)/5</f>
        <v>16.052331309041836</v>
      </c>
      <c r="I140" s="55">
        <f>I139+($I$144-$I$139)/5</f>
        <v>1.2932260877192983</v>
      </c>
      <c r="J140" s="109"/>
      <c r="K140" s="107"/>
      <c r="L140" s="9">
        <f t="shared" si="35"/>
        <v>256.09873960951819</v>
      </c>
      <c r="M140" s="9">
        <f t="shared" si="36"/>
        <v>16.030112223797023</v>
      </c>
      <c r="N140" s="9">
        <f t="shared" si="37"/>
        <v>3.7617927475383612</v>
      </c>
      <c r="O140" s="9">
        <f t="shared" si="38"/>
        <v>25.275578368999419</v>
      </c>
      <c r="P140" s="9">
        <f t="shared" si="39"/>
        <v>0</v>
      </c>
      <c r="Q140" s="9">
        <f t="shared" si="40"/>
        <v>0</v>
      </c>
      <c r="R140" s="9">
        <f t="shared" si="41"/>
        <v>20.868030701754389</v>
      </c>
      <c r="S140" s="9">
        <f t="shared" si="41"/>
        <v>1.6811939140350878</v>
      </c>
      <c r="T140" s="9">
        <f t="shared" si="42"/>
        <v>0</v>
      </c>
      <c r="U140" s="107"/>
      <c r="V140" s="117">
        <f t="shared" si="43"/>
        <v>323.71544756564248</v>
      </c>
      <c r="W140" s="114">
        <f t="shared" si="46"/>
        <v>0.10064220031469483</v>
      </c>
      <c r="X140" s="107">
        <f t="shared" si="44"/>
        <v>359.94066841796888</v>
      </c>
      <c r="Y140" s="107">
        <v>371.11645692120345</v>
      </c>
      <c r="Z140" s="9">
        <f t="shared" si="45"/>
        <v>45.910799543108276</v>
      </c>
      <c r="AA140" s="9">
        <f t="shared" si="45"/>
        <v>47.336282770561667</v>
      </c>
    </row>
    <row r="141" spans="1:27" x14ac:dyDescent="0.2">
      <c r="A141" s="9">
        <v>1790</v>
      </c>
      <c r="B141" s="56">
        <v>0.68371967997645566</v>
      </c>
      <c r="C141" s="56">
        <v>0.80150561118985109</v>
      </c>
      <c r="D141" s="56">
        <v>0.86266748602274912</v>
      </c>
      <c r="E141" s="56">
        <v>8.0245445344129553</v>
      </c>
      <c r="F141" s="57"/>
      <c r="G141" s="55"/>
      <c r="H141" s="55">
        <f>H140+($H$144-$H$139)/5</f>
        <v>16.477064777327936</v>
      </c>
      <c r="I141" s="55">
        <f>I140+($I$144-$I$139)/5</f>
        <v>1.3307725263157895</v>
      </c>
      <c r="J141" s="109"/>
      <c r="K141" s="107"/>
      <c r="L141" s="9">
        <f t="shared" si="35"/>
        <v>122.38582271578557</v>
      </c>
      <c r="M141" s="9">
        <f t="shared" si="36"/>
        <v>16.030112223797023</v>
      </c>
      <c r="N141" s="9">
        <f t="shared" si="37"/>
        <v>4.3133374301137453</v>
      </c>
      <c r="O141" s="9">
        <f t="shared" si="38"/>
        <v>24.073633603238868</v>
      </c>
      <c r="P141" s="9">
        <f t="shared" si="39"/>
        <v>0</v>
      </c>
      <c r="Q141" s="9">
        <f t="shared" si="40"/>
        <v>0</v>
      </c>
      <c r="R141" s="9">
        <f t="shared" si="41"/>
        <v>21.420184210526319</v>
      </c>
      <c r="S141" s="9">
        <f t="shared" si="41"/>
        <v>1.7300042842105263</v>
      </c>
      <c r="T141" s="9">
        <f t="shared" si="42"/>
        <v>0</v>
      </c>
      <c r="U141" s="107"/>
      <c r="V141" s="117">
        <f t="shared" si="43"/>
        <v>189.95309446767206</v>
      </c>
      <c r="W141" s="114">
        <f>$P$2+$Q$2+$T$2</f>
        <v>0.10064220031469483</v>
      </c>
      <c r="X141" s="107">
        <f t="shared" si="44"/>
        <v>211.2097037843433</v>
      </c>
      <c r="Y141" s="107">
        <v>238.85129862594729</v>
      </c>
      <c r="Z141" s="9">
        <f t="shared" si="45"/>
        <v>26.94001323779889</v>
      </c>
      <c r="AA141" s="9">
        <f t="shared" si="45"/>
        <v>30.465726865554501</v>
      </c>
    </row>
    <row r="142" spans="1:27" x14ac:dyDescent="0.2">
      <c r="A142" s="9">
        <v>1791</v>
      </c>
      <c r="B142" s="56">
        <v>0.6573145064063507</v>
      </c>
      <c r="C142" s="56">
        <v>0.80150561118985109</v>
      </c>
      <c r="D142" s="56">
        <v>0.89074915023057433</v>
      </c>
      <c r="E142" s="56">
        <v>8.0245445344129536</v>
      </c>
      <c r="F142" s="57"/>
      <c r="G142" s="109">
        <v>3.456572769953052</v>
      </c>
      <c r="H142" s="55">
        <f>H141+($H$144-$H$139)/5</f>
        <v>16.901798245614035</v>
      </c>
      <c r="I142" s="55">
        <f>I141+($I$144-$I$139)/5</f>
        <v>1.3683189649122807</v>
      </c>
      <c r="J142" s="109"/>
      <c r="K142" s="107"/>
      <c r="L142" s="9">
        <f t="shared" si="35"/>
        <v>117.65929664673678</v>
      </c>
      <c r="M142" s="9">
        <f t="shared" si="36"/>
        <v>16.030112223797023</v>
      </c>
      <c r="N142" s="9">
        <f t="shared" si="37"/>
        <v>4.453745751152872</v>
      </c>
      <c r="O142" s="9">
        <f t="shared" si="38"/>
        <v>24.073633603238861</v>
      </c>
      <c r="P142" s="9">
        <f t="shared" si="39"/>
        <v>0</v>
      </c>
      <c r="Q142" s="9">
        <f t="shared" si="40"/>
        <v>10.369718309859156</v>
      </c>
      <c r="R142" s="9">
        <f t="shared" si="41"/>
        <v>21.972337719298245</v>
      </c>
      <c r="S142" s="9">
        <f t="shared" si="41"/>
        <v>1.7788146543859649</v>
      </c>
      <c r="T142" s="9">
        <f t="shared" si="42"/>
        <v>0</v>
      </c>
      <c r="U142" s="107"/>
      <c r="V142" s="117">
        <f t="shared" si="43"/>
        <v>196.33765890846894</v>
      </c>
      <c r="W142" s="114">
        <f>$P$2+$T$2</f>
        <v>7.0460771140270329E-2</v>
      </c>
      <c r="X142" s="107">
        <f t="shared" si="44"/>
        <v>211.220412019961</v>
      </c>
      <c r="Y142" s="107">
        <v>236.3633395595993</v>
      </c>
      <c r="Z142" s="9">
        <f t="shared" si="45"/>
        <v>26.941379084178699</v>
      </c>
      <c r="AA142" s="9">
        <f t="shared" si="45"/>
        <v>30.148385147908073</v>
      </c>
    </row>
    <row r="143" spans="1:27" x14ac:dyDescent="0.2">
      <c r="A143" s="9">
        <v>1792</v>
      </c>
      <c r="B143" s="56">
        <v>0.66077876319579987</v>
      </c>
      <c r="C143" s="56">
        <v>0.80150561118985109</v>
      </c>
      <c r="D143" s="56">
        <v>0.89242661943319845</v>
      </c>
      <c r="E143" s="57">
        <v>7.077354147979344</v>
      </c>
      <c r="F143" s="57"/>
      <c r="G143" s="55">
        <f>G142+($G$145-$G$142)/3</f>
        <v>3.4548882802990786</v>
      </c>
      <c r="H143" s="55">
        <f>H142+($H$144-$H$139)/5</f>
        <v>17.326531713900135</v>
      </c>
      <c r="I143" s="55">
        <f>I142+($I$144-$I$139)/5</f>
        <v>1.4058654035087719</v>
      </c>
      <c r="J143" s="109"/>
      <c r="K143" s="107"/>
      <c r="L143" s="9">
        <f t="shared" si="35"/>
        <v>118.27939861204818</v>
      </c>
      <c r="M143" s="9">
        <f t="shared" si="36"/>
        <v>16.030112223797023</v>
      </c>
      <c r="N143" s="9">
        <f t="shared" si="37"/>
        <v>4.4621330971659923</v>
      </c>
      <c r="O143" s="9">
        <f t="shared" si="38"/>
        <v>21.232062443938034</v>
      </c>
      <c r="P143" s="9">
        <f t="shared" si="39"/>
        <v>0</v>
      </c>
      <c r="Q143" s="9">
        <f t="shared" si="40"/>
        <v>10.364664840897236</v>
      </c>
      <c r="R143" s="9">
        <f t="shared" si="41"/>
        <v>22.524491228070175</v>
      </c>
      <c r="S143" s="9">
        <f t="shared" si="41"/>
        <v>1.8276250245614034</v>
      </c>
      <c r="T143" s="9">
        <f t="shared" si="42"/>
        <v>0</v>
      </c>
      <c r="U143" s="107"/>
      <c r="V143" s="117">
        <f t="shared" si="43"/>
        <v>194.72048747047805</v>
      </c>
      <c r="W143" s="114">
        <f>$P$2+$T$2</f>
        <v>7.0460771140270329E-2</v>
      </c>
      <c r="X143" s="107">
        <f t="shared" si="44"/>
        <v>209.48065603357333</v>
      </c>
      <c r="Y143" s="107">
        <v>236.24942708707698</v>
      </c>
      <c r="Z143" s="9">
        <f t="shared" si="45"/>
        <v>26.719471432853741</v>
      </c>
      <c r="AA143" s="9">
        <f t="shared" si="45"/>
        <v>30.133855495800635</v>
      </c>
    </row>
    <row r="144" spans="1:27" x14ac:dyDescent="0.2">
      <c r="A144" s="9">
        <v>1793</v>
      </c>
      <c r="B144" s="56">
        <v>0.71400995885128182</v>
      </c>
      <c r="C144" s="56">
        <v>0.80150561118985109</v>
      </c>
      <c r="D144" s="56">
        <v>0.7802920360202652</v>
      </c>
      <c r="E144" s="56">
        <v>6.1301637615457354</v>
      </c>
      <c r="F144" s="56">
        <v>7.1631128333333338</v>
      </c>
      <c r="G144" s="55">
        <f>G143+($G$145-$G$142)/3</f>
        <v>3.4532037906451052</v>
      </c>
      <c r="H144" s="109">
        <v>17.751265182186238</v>
      </c>
      <c r="I144" s="99">
        <v>1.4434118421052635</v>
      </c>
      <c r="J144" s="109">
        <v>11.240050632911395</v>
      </c>
      <c r="K144" s="107"/>
      <c r="L144" s="9">
        <f t="shared" si="35"/>
        <v>127.80778263437945</v>
      </c>
      <c r="M144" s="9">
        <f t="shared" si="36"/>
        <v>16.030112223797023</v>
      </c>
      <c r="N144" s="9">
        <f t="shared" si="37"/>
        <v>3.901460180101326</v>
      </c>
      <c r="O144" s="9">
        <f t="shared" si="38"/>
        <v>18.390491284637207</v>
      </c>
      <c r="P144" s="9">
        <f t="shared" si="39"/>
        <v>9.3120466833333335</v>
      </c>
      <c r="Q144" s="9">
        <f t="shared" si="40"/>
        <v>10.359611371935316</v>
      </c>
      <c r="R144" s="9">
        <f t="shared" si="41"/>
        <v>23.076644736842109</v>
      </c>
      <c r="S144" s="9">
        <f t="shared" si="41"/>
        <v>1.8764353947368426</v>
      </c>
      <c r="T144" s="9">
        <f t="shared" si="42"/>
        <v>33.720151898734187</v>
      </c>
      <c r="U144" s="107"/>
      <c r="V144" s="117">
        <f t="shared" si="43"/>
        <v>244.47473640849677</v>
      </c>
      <c r="W144" s="119">
        <v>0</v>
      </c>
      <c r="X144" s="107">
        <f t="shared" si="44"/>
        <v>244.47473640849677</v>
      </c>
      <c r="Y144" s="107">
        <v>244.47473640849677</v>
      </c>
      <c r="Z144" s="9">
        <f t="shared" si="45"/>
        <v>31.183002092920507</v>
      </c>
      <c r="AA144" s="9">
        <f t="shared" si="45"/>
        <v>31.183002092920507</v>
      </c>
    </row>
    <row r="145" spans="1:27" x14ac:dyDescent="0.2">
      <c r="A145" s="9">
        <v>1794</v>
      </c>
      <c r="B145" s="56">
        <v>0.64250292904744688</v>
      </c>
      <c r="C145" s="56">
        <v>0.80150561118985109</v>
      </c>
      <c r="D145" s="57">
        <v>1.1577625713434663</v>
      </c>
      <c r="E145" s="57">
        <v>6.9000519461593015</v>
      </c>
      <c r="F145" s="57">
        <f>F144+($F$147-$F$144)/3</f>
        <v>8.6142209712100772</v>
      </c>
      <c r="G145" s="109">
        <v>3.4515193009911314</v>
      </c>
      <c r="H145" s="55">
        <f>H144+($H$148-$H$144)/4</f>
        <v>14.891991396761135</v>
      </c>
      <c r="I145" s="55">
        <f>I144+($I$148-$I$144)/4</f>
        <v>1.1906520394736846</v>
      </c>
      <c r="J145" s="55">
        <f>J144+($J$148-$J$144)/4</f>
        <v>10.404215189873419</v>
      </c>
      <c r="K145" s="107"/>
      <c r="L145" s="9">
        <f t="shared" si="35"/>
        <v>115.00802429949299</v>
      </c>
      <c r="M145" s="9">
        <f t="shared" si="36"/>
        <v>16.030112223797023</v>
      </c>
      <c r="N145" s="9">
        <f t="shared" si="37"/>
        <v>5.7888128567173318</v>
      </c>
      <c r="O145" s="9">
        <f t="shared" si="38"/>
        <v>20.700155838477905</v>
      </c>
      <c r="P145" s="9">
        <f t="shared" si="39"/>
        <v>11.198487262573101</v>
      </c>
      <c r="Q145" s="9">
        <f t="shared" si="40"/>
        <v>10.354557902973394</v>
      </c>
      <c r="R145" s="9">
        <f t="shared" si="41"/>
        <v>19.359588815789476</v>
      </c>
      <c r="S145" s="9">
        <f t="shared" si="41"/>
        <v>1.5478476513157899</v>
      </c>
      <c r="T145" s="9">
        <f t="shared" si="42"/>
        <v>31.212645569620257</v>
      </c>
      <c r="U145" s="107"/>
      <c r="V145" s="117">
        <f t="shared" si="43"/>
        <v>231.20023242075726</v>
      </c>
      <c r="W145" s="119">
        <v>0</v>
      </c>
      <c r="X145" s="107">
        <f t="shared" si="44"/>
        <v>231.20023242075726</v>
      </c>
      <c r="Y145" s="107">
        <v>231.20023242075726</v>
      </c>
      <c r="Z145" s="9">
        <f t="shared" si="45"/>
        <v>29.489825563872099</v>
      </c>
      <c r="AA145" s="9">
        <f t="shared" si="45"/>
        <v>29.489825563872099</v>
      </c>
    </row>
    <row r="146" spans="1:27" x14ac:dyDescent="0.2">
      <c r="A146" s="9">
        <v>1795</v>
      </c>
      <c r="B146" s="56">
        <v>0.59994165498475538</v>
      </c>
      <c r="C146" s="56">
        <v>1.0353400404284501</v>
      </c>
      <c r="D146" s="56">
        <v>1.5352331066666671</v>
      </c>
      <c r="E146" s="57">
        <v>7.6699401307728676</v>
      </c>
      <c r="F146" s="57">
        <f>F145+($F$147-$F$144)/3</f>
        <v>10.06532910908682</v>
      </c>
      <c r="G146" s="55"/>
      <c r="H146" s="55">
        <f>H145+($H$148-$H$144)/4</f>
        <v>12.032717611336032</v>
      </c>
      <c r="I146" s="55">
        <f>I145+($I$148-$I$144)/4</f>
        <v>0.93789223684210565</v>
      </c>
      <c r="J146" s="55">
        <f>J145+($J$148-$J$144)/4</f>
        <v>9.5683797468354435</v>
      </c>
      <c r="K146" s="107"/>
      <c r="L146" s="9">
        <f t="shared" si="35"/>
        <v>107.38955624227121</v>
      </c>
      <c r="M146" s="9">
        <f t="shared" si="36"/>
        <v>20.706800808569</v>
      </c>
      <c r="N146" s="9">
        <f t="shared" si="37"/>
        <v>7.6761655333333358</v>
      </c>
      <c r="O146" s="9">
        <f t="shared" si="38"/>
        <v>23.009820392318602</v>
      </c>
      <c r="P146" s="9">
        <f t="shared" si="39"/>
        <v>13.084927841812867</v>
      </c>
      <c r="Q146" s="9">
        <f t="shared" si="40"/>
        <v>0</v>
      </c>
      <c r="R146" s="9">
        <f t="shared" si="41"/>
        <v>15.642532894736842</v>
      </c>
      <c r="S146" s="9">
        <f t="shared" si="41"/>
        <v>1.2192599078947375</v>
      </c>
      <c r="T146" s="9">
        <f t="shared" si="42"/>
        <v>28.70513924050633</v>
      </c>
      <c r="U146" s="107"/>
      <c r="V146" s="117">
        <f t="shared" si="43"/>
        <v>217.43420286144288</v>
      </c>
      <c r="W146" s="114">
        <f t="shared" ref="W146:W147" si="47">$Q$2</f>
        <v>3.0181429174424502E-2</v>
      </c>
      <c r="X146" s="107">
        <f t="shared" si="44"/>
        <v>224.20090664622776</v>
      </c>
      <c r="Y146" s="107">
        <v>227.72862451011633</v>
      </c>
      <c r="Z146" s="9">
        <f t="shared" si="45"/>
        <v>28.597054419161704</v>
      </c>
      <c r="AA146" s="9">
        <f t="shared" si="45"/>
        <v>29.047018432412798</v>
      </c>
    </row>
    <row r="147" spans="1:27" x14ac:dyDescent="0.2">
      <c r="A147" s="9">
        <v>1796</v>
      </c>
      <c r="B147" s="56">
        <v>0.711723669230233</v>
      </c>
      <c r="C147" s="57">
        <v>1.0353400404284494</v>
      </c>
      <c r="D147" s="57">
        <v>1.5350929283333337</v>
      </c>
      <c r="E147" s="57">
        <v>8.4398283153864337</v>
      </c>
      <c r="F147" s="92">
        <v>11.516437246963562</v>
      </c>
      <c r="G147" s="55"/>
      <c r="H147" s="55">
        <f>H146+($H$148-$H$144)/4</f>
        <v>9.1734438259109297</v>
      </c>
      <c r="I147" s="55">
        <f>I146+($I$148-$I$144)/4</f>
        <v>0.68513243421052672</v>
      </c>
      <c r="J147" s="55">
        <f>J146+($J$148-$J$144)/4</f>
        <v>8.7325443037974679</v>
      </c>
      <c r="K147" s="107"/>
      <c r="L147" s="9">
        <f t="shared" si="35"/>
        <v>127.3985367922117</v>
      </c>
      <c r="M147" s="9">
        <f t="shared" si="36"/>
        <v>20.706800808568989</v>
      </c>
      <c r="N147" s="9">
        <f t="shared" si="37"/>
        <v>7.6754646416666681</v>
      </c>
      <c r="O147" s="9">
        <f t="shared" si="38"/>
        <v>25.319484946159299</v>
      </c>
      <c r="P147" s="9">
        <f t="shared" si="39"/>
        <v>14.971368421052631</v>
      </c>
      <c r="Q147" s="9">
        <f t="shared" si="40"/>
        <v>0</v>
      </c>
      <c r="R147" s="9">
        <f t="shared" si="41"/>
        <v>11.925476973684209</v>
      </c>
      <c r="S147" s="9">
        <f t="shared" si="41"/>
        <v>0.8906721644736848</v>
      </c>
      <c r="T147" s="9">
        <f t="shared" si="42"/>
        <v>26.197632911392404</v>
      </c>
      <c r="U147" s="107"/>
      <c r="V147" s="117">
        <f t="shared" si="43"/>
        <v>235.08543765920962</v>
      </c>
      <c r="W147" s="114">
        <f t="shared" si="47"/>
        <v>3.0181429174424502E-2</v>
      </c>
      <c r="X147" s="107">
        <f t="shared" si="44"/>
        <v>242.40146016083079</v>
      </c>
      <c r="Y147" s="107">
        <v>245.31972305358312</v>
      </c>
      <c r="Z147" s="9">
        <f t="shared" si="45"/>
        <v>30.918553591942704</v>
      </c>
      <c r="AA147" s="9">
        <f t="shared" si="45"/>
        <v>31.29078100173254</v>
      </c>
    </row>
    <row r="148" spans="1:27" x14ac:dyDescent="0.2">
      <c r="A148" s="9">
        <v>1797</v>
      </c>
      <c r="B148" s="56">
        <v>0.83337029769335369</v>
      </c>
      <c r="C148" s="56">
        <v>1.0353400404284487</v>
      </c>
      <c r="D148" s="56">
        <v>1.5349527500000002</v>
      </c>
      <c r="E148" s="56">
        <v>9.2097165000000007</v>
      </c>
      <c r="F148" s="56">
        <v>8.1864146666666677</v>
      </c>
      <c r="G148" s="55"/>
      <c r="H148" s="109">
        <v>6.3141700404858314</v>
      </c>
      <c r="I148" s="99">
        <v>0.43237263157894756</v>
      </c>
      <c r="J148" s="109">
        <v>7.8967088607594942</v>
      </c>
      <c r="K148" s="107"/>
      <c r="L148" s="9">
        <f t="shared" si="35"/>
        <v>149.17328328711031</v>
      </c>
      <c r="M148" s="9">
        <f t="shared" si="36"/>
        <v>20.706800808568975</v>
      </c>
      <c r="N148" s="9">
        <f t="shared" si="37"/>
        <v>7.6747637500000012</v>
      </c>
      <c r="O148" s="9">
        <f t="shared" si="38"/>
        <v>27.629149500000004</v>
      </c>
      <c r="P148" s="9">
        <f t="shared" si="39"/>
        <v>10.642339066666668</v>
      </c>
      <c r="Q148" s="9">
        <f t="shared" si="40"/>
        <v>0</v>
      </c>
      <c r="R148" s="9">
        <f t="shared" si="41"/>
        <v>8.2084210526315804</v>
      </c>
      <c r="S148" s="9">
        <f t="shared" si="41"/>
        <v>0.5620844210526319</v>
      </c>
      <c r="T148" s="9">
        <f t="shared" si="42"/>
        <v>23.690126582278481</v>
      </c>
      <c r="U148" s="107"/>
      <c r="V148" s="117">
        <f t="shared" si="43"/>
        <v>248.28696846830869</v>
      </c>
      <c r="W148" s="114">
        <f>$Q$2</f>
        <v>3.0181429174424502E-2</v>
      </c>
      <c r="X148" s="107">
        <f t="shared" si="44"/>
        <v>256.01383180046753</v>
      </c>
      <c r="Y148" s="107">
        <v>258.46111760838232</v>
      </c>
      <c r="Z148" s="9">
        <f t="shared" si="45"/>
        <v>32.654825484753509</v>
      </c>
      <c r="AA148" s="9">
        <f t="shared" si="45"/>
        <v>32.966979286783463</v>
      </c>
    </row>
    <row r="149" spans="1:27" x14ac:dyDescent="0.2">
      <c r="A149" s="9">
        <v>1798</v>
      </c>
      <c r="B149" s="56">
        <v>0.84121378284811454</v>
      </c>
      <c r="C149" s="57"/>
      <c r="D149" s="56">
        <v>3.0699055000000004</v>
      </c>
      <c r="E149" s="56">
        <v>27.629149500000004</v>
      </c>
      <c r="F149" s="56">
        <v>12.279622000000002</v>
      </c>
      <c r="G149" s="55"/>
      <c r="H149" s="109">
        <v>11.275303643724698</v>
      </c>
      <c r="I149" s="99">
        <v>0.87093684210526334</v>
      </c>
      <c r="J149" s="109">
        <v>13.819240506329114</v>
      </c>
      <c r="K149" s="107"/>
      <c r="L149" s="9">
        <f t="shared" si="35"/>
        <v>150.5772671298125</v>
      </c>
      <c r="M149" s="9">
        <f t="shared" si="36"/>
        <v>0</v>
      </c>
      <c r="N149" s="9">
        <f t="shared" si="37"/>
        <v>15.349527500000002</v>
      </c>
      <c r="O149" s="9">
        <f t="shared" si="38"/>
        <v>82.887448500000005</v>
      </c>
      <c r="P149" s="9">
        <f t="shared" si="39"/>
        <v>15.963508600000003</v>
      </c>
      <c r="Q149" s="9">
        <f t="shared" si="40"/>
        <v>0</v>
      </c>
      <c r="R149" s="9">
        <f t="shared" si="41"/>
        <v>14.657894736842108</v>
      </c>
      <c r="S149" s="9">
        <f t="shared" si="41"/>
        <v>1.1322178947368424</v>
      </c>
      <c r="T149" s="9">
        <f t="shared" si="42"/>
        <v>41.457721518987341</v>
      </c>
      <c r="U149" s="107"/>
      <c r="V149" s="117">
        <f t="shared" si="43"/>
        <v>322.0255858803788</v>
      </c>
      <c r="W149" s="114">
        <f>M2+Q2</f>
        <v>0.1447614964514278</v>
      </c>
      <c r="X149" s="107">
        <f t="shared" si="44"/>
        <v>376.53307766690108</v>
      </c>
      <c r="Y149" s="107">
        <v>352.8038880461159</v>
      </c>
      <c r="Z149" s="9">
        <f t="shared" si="45"/>
        <v>48.027178273839425</v>
      </c>
      <c r="AA149" s="9">
        <f t="shared" si="45"/>
        <v>45.000495924249478</v>
      </c>
    </row>
    <row r="150" spans="1:27" x14ac:dyDescent="0.2">
      <c r="A150" s="9">
        <v>1799</v>
      </c>
      <c r="B150" s="57">
        <v>0.91670732746268901</v>
      </c>
      <c r="C150" s="57"/>
      <c r="D150" s="57">
        <v>2.7629149500000008</v>
      </c>
      <c r="E150" s="57">
        <v>23.535942166666672</v>
      </c>
      <c r="F150" s="57">
        <f>F149+($F$152-$F$149)/3</f>
        <v>14.326225666666668</v>
      </c>
      <c r="G150" s="55"/>
      <c r="H150" s="109"/>
      <c r="I150" s="113"/>
      <c r="J150" s="109"/>
      <c r="K150" s="107"/>
      <c r="L150" s="9">
        <f t="shared" si="35"/>
        <v>164.09061161582133</v>
      </c>
      <c r="M150" s="9">
        <f t="shared" si="36"/>
        <v>0</v>
      </c>
      <c r="N150" s="9">
        <f t="shared" si="37"/>
        <v>13.814574750000004</v>
      </c>
      <c r="O150" s="9">
        <f t="shared" si="38"/>
        <v>70.607826500000016</v>
      </c>
      <c r="P150" s="9">
        <f t="shared" si="39"/>
        <v>18.624093366666667</v>
      </c>
      <c r="Q150" s="9">
        <f t="shared" si="40"/>
        <v>0</v>
      </c>
      <c r="R150" s="9">
        <f t="shared" si="41"/>
        <v>0</v>
      </c>
      <c r="S150" s="9">
        <f t="shared" si="41"/>
        <v>0</v>
      </c>
      <c r="T150" s="9">
        <f t="shared" si="42"/>
        <v>0</v>
      </c>
      <c r="U150" s="107"/>
      <c r="V150" s="117">
        <f t="shared" si="43"/>
        <v>267.13710623248801</v>
      </c>
      <c r="W150" s="114">
        <f t="shared" ref="W150:W153" si="48">$M$2+$Q$2+$R$2+$S$2+$T$2</f>
        <v>0.23760352194404552</v>
      </c>
      <c r="X150" s="107">
        <f t="shared" si="44"/>
        <v>350.3913172758414</v>
      </c>
      <c r="Y150" s="107">
        <v>352.52927786687383</v>
      </c>
      <c r="Z150" s="9">
        <f t="shared" si="45"/>
        <v>44.692770060694059</v>
      </c>
      <c r="AA150" s="9">
        <f t="shared" si="45"/>
        <v>44.965469115672683</v>
      </c>
    </row>
    <row r="151" spans="1:27" x14ac:dyDescent="0.2">
      <c r="A151" s="9">
        <v>1800</v>
      </c>
      <c r="B151" s="57">
        <v>0.99220087207726348</v>
      </c>
      <c r="C151" s="57"/>
      <c r="D151" s="56">
        <v>2.4559244000000007</v>
      </c>
      <c r="E151" s="57">
        <v>19.44273483333334</v>
      </c>
      <c r="F151" s="57">
        <f>F150+($F$152-$F$149)/3</f>
        <v>16.372829333333335</v>
      </c>
      <c r="G151" s="55"/>
      <c r="H151" s="109"/>
      <c r="I151" s="113"/>
      <c r="J151" s="109"/>
      <c r="K151" s="107"/>
      <c r="L151" s="9">
        <f t="shared" si="35"/>
        <v>177.60395610183016</v>
      </c>
      <c r="M151" s="9">
        <f t="shared" si="36"/>
        <v>0</v>
      </c>
      <c r="N151" s="9">
        <f t="shared" si="37"/>
        <v>12.279622000000003</v>
      </c>
      <c r="O151" s="9">
        <f t="shared" si="38"/>
        <v>58.32820450000002</v>
      </c>
      <c r="P151" s="9">
        <f t="shared" si="39"/>
        <v>21.284678133333337</v>
      </c>
      <c r="Q151" s="9">
        <f t="shared" si="40"/>
        <v>0</v>
      </c>
      <c r="R151" s="9">
        <f t="shared" si="41"/>
        <v>0</v>
      </c>
      <c r="S151" s="9">
        <f t="shared" si="41"/>
        <v>0</v>
      </c>
      <c r="T151" s="9">
        <f t="shared" si="42"/>
        <v>0</v>
      </c>
      <c r="U151" s="107"/>
      <c r="V151" s="117">
        <f t="shared" si="43"/>
        <v>269.49646073516351</v>
      </c>
      <c r="W151" s="114">
        <f t="shared" si="48"/>
        <v>0.23760352194404552</v>
      </c>
      <c r="X151" s="107">
        <f t="shared" si="44"/>
        <v>353.48597283969144</v>
      </c>
      <c r="Y151" s="107">
        <v>352.25466768763181</v>
      </c>
      <c r="Z151" s="9">
        <f>X151/7.84</f>
        <v>45.08749653567493</v>
      </c>
      <c r="AA151" s="9">
        <f>Y151/7.84</f>
        <v>44.930442307095895</v>
      </c>
    </row>
    <row r="152" spans="1:27" x14ac:dyDescent="0.2">
      <c r="A152" s="9">
        <v>1801</v>
      </c>
      <c r="B152" s="56">
        <v>1.0676944166918378</v>
      </c>
      <c r="C152" s="57"/>
      <c r="D152" s="56">
        <v>2.0466036666666669</v>
      </c>
      <c r="E152" s="56">
        <v>15.349527500000002</v>
      </c>
      <c r="F152" s="56">
        <v>18.419433000000001</v>
      </c>
      <c r="G152" s="55"/>
      <c r="H152" s="109"/>
      <c r="I152" s="113"/>
      <c r="J152" s="109"/>
      <c r="K152" s="107"/>
      <c r="L152" s="9">
        <f t="shared" si="35"/>
        <v>191.11730058783897</v>
      </c>
      <c r="M152" s="9">
        <f t="shared" si="36"/>
        <v>0</v>
      </c>
      <c r="N152" s="9">
        <f t="shared" si="37"/>
        <v>10.233018333333334</v>
      </c>
      <c r="O152" s="9">
        <f t="shared" si="38"/>
        <v>46.048582500000009</v>
      </c>
      <c r="P152" s="9">
        <f t="shared" si="39"/>
        <v>23.945262900000003</v>
      </c>
      <c r="Q152" s="9">
        <f t="shared" si="40"/>
        <v>0</v>
      </c>
      <c r="R152" s="9">
        <f t="shared" si="41"/>
        <v>0</v>
      </c>
      <c r="S152" s="9">
        <f t="shared" si="41"/>
        <v>0</v>
      </c>
      <c r="T152" s="9">
        <f t="shared" si="42"/>
        <v>0</v>
      </c>
      <c r="U152" s="107"/>
      <c r="V152" s="117">
        <f t="shared" si="43"/>
        <v>271.34416432117229</v>
      </c>
      <c r="W152" s="114">
        <f t="shared" si="48"/>
        <v>0.23760352194404552</v>
      </c>
      <c r="X152" s="107">
        <f t="shared" si="44"/>
        <v>355.90951969384304</v>
      </c>
      <c r="Y152" s="107">
        <v>351.46840659172301</v>
      </c>
    </row>
    <row r="153" spans="1:27" x14ac:dyDescent="0.2">
      <c r="A153" s="9">
        <v>1802</v>
      </c>
      <c r="B153" s="56">
        <v>1.1129905434605822</v>
      </c>
      <c r="C153" s="57"/>
      <c r="D153" s="57">
        <v>2.5582545833333334</v>
      </c>
      <c r="E153" s="57">
        <v>19.954385750000004</v>
      </c>
      <c r="F153" s="57">
        <f>F152+($F$154-$F$152)/2</f>
        <v>21.489338500000002</v>
      </c>
      <c r="G153" s="55"/>
      <c r="H153" s="109"/>
      <c r="I153" s="113"/>
      <c r="J153" s="109"/>
      <c r="K153" s="107"/>
      <c r="L153" s="9">
        <f t="shared" si="35"/>
        <v>199.22530727944422</v>
      </c>
      <c r="M153" s="9">
        <f t="shared" si="36"/>
        <v>0</v>
      </c>
      <c r="N153" s="9">
        <f t="shared" si="37"/>
        <v>12.791272916666667</v>
      </c>
      <c r="O153" s="9">
        <f t="shared" si="38"/>
        <v>59.863157250000015</v>
      </c>
      <c r="P153" s="9">
        <f t="shared" si="39"/>
        <v>27.936140050000002</v>
      </c>
      <c r="Q153" s="9">
        <f t="shared" si="40"/>
        <v>0</v>
      </c>
      <c r="R153" s="9">
        <f t="shared" si="41"/>
        <v>0</v>
      </c>
      <c r="S153" s="9">
        <f t="shared" si="41"/>
        <v>0</v>
      </c>
      <c r="T153" s="9">
        <f t="shared" si="42"/>
        <v>0</v>
      </c>
      <c r="U153" s="107"/>
      <c r="V153" s="117">
        <f t="shared" si="43"/>
        <v>299.81587749611089</v>
      </c>
      <c r="W153" s="114">
        <f t="shared" si="48"/>
        <v>0.23760352194404552</v>
      </c>
      <c r="X153" s="107">
        <f t="shared" si="44"/>
        <v>393.25454160099957</v>
      </c>
      <c r="Y153" s="107">
        <v>377.30615508474398</v>
      </c>
    </row>
    <row r="154" spans="1:27" x14ac:dyDescent="0.2">
      <c r="A154" s="9">
        <v>1803</v>
      </c>
      <c r="B154" s="57">
        <v>1.0690670265939208</v>
      </c>
      <c r="C154" s="57"/>
      <c r="D154" s="56">
        <v>3.0699055000000004</v>
      </c>
      <c r="E154" s="56">
        <v>24.559244000000003</v>
      </c>
      <c r="F154" s="56">
        <v>24.559244000000003</v>
      </c>
      <c r="G154" s="55"/>
      <c r="H154" s="109"/>
      <c r="I154" s="113"/>
      <c r="J154" s="109"/>
      <c r="K154" s="107"/>
      <c r="L154" s="9">
        <f t="shared" si="35"/>
        <v>191.36299776031183</v>
      </c>
      <c r="M154" s="9">
        <f t="shared" si="36"/>
        <v>0</v>
      </c>
      <c r="N154" s="9">
        <f t="shared" si="37"/>
        <v>15.349527500000002</v>
      </c>
      <c r="O154" s="9">
        <f t="shared" si="38"/>
        <v>73.677732000000006</v>
      </c>
      <c r="P154" s="9">
        <f t="shared" si="39"/>
        <v>31.927017200000005</v>
      </c>
      <c r="Q154" s="9">
        <f t="shared" si="40"/>
        <v>0</v>
      </c>
      <c r="R154" s="9">
        <f t="shared" si="41"/>
        <v>0</v>
      </c>
      <c r="S154" s="9">
        <f t="shared" si="41"/>
        <v>0</v>
      </c>
      <c r="T154" s="9">
        <f t="shared" si="42"/>
        <v>0</v>
      </c>
      <c r="U154" s="107"/>
      <c r="V154" s="117">
        <f t="shared" si="43"/>
        <v>312.31727446031186</v>
      </c>
      <c r="W154" s="114">
        <f>$M$2+$Q$2+$R$2+$S$2+$T$2</f>
        <v>0.23760352194404552</v>
      </c>
      <c r="X154" s="107">
        <f t="shared" si="44"/>
        <v>409.65204253919705</v>
      </c>
      <c r="Y154" s="107">
        <v>387.17358736702732</v>
      </c>
    </row>
    <row r="155" spans="1:27" x14ac:dyDescent="0.2">
      <c r="A155" s="9">
        <v>1804</v>
      </c>
      <c r="B155" s="57">
        <v>1.0251435097272594</v>
      </c>
      <c r="C155" s="57"/>
      <c r="D155" s="57"/>
      <c r="E155" s="57"/>
      <c r="F155" s="57"/>
      <c r="G155" s="55"/>
      <c r="H155" s="109"/>
      <c r="I155" s="113"/>
      <c r="J155" s="109"/>
      <c r="K155" s="107"/>
      <c r="L155" s="9">
        <f t="shared" si="35"/>
        <v>183.50068824117943</v>
      </c>
      <c r="M155" s="9">
        <f t="shared" si="36"/>
        <v>0</v>
      </c>
      <c r="N155" s="9">
        <f t="shared" si="37"/>
        <v>0</v>
      </c>
      <c r="O155" s="9">
        <f t="shared" si="38"/>
        <v>0</v>
      </c>
      <c r="P155" s="9">
        <f t="shared" si="39"/>
        <v>0</v>
      </c>
      <c r="Q155" s="9">
        <f t="shared" si="40"/>
        <v>0</v>
      </c>
      <c r="R155" s="9">
        <f t="shared" si="41"/>
        <v>0</v>
      </c>
      <c r="S155" s="9">
        <f t="shared" si="41"/>
        <v>0</v>
      </c>
      <c r="T155" s="9">
        <f t="shared" si="42"/>
        <v>0</v>
      </c>
      <c r="U155" s="107"/>
      <c r="V155" s="117">
        <f t="shared" si="43"/>
        <v>183.50068824117943</v>
      </c>
      <c r="W155" s="114">
        <f>T2+S2+R2+P2+O2+Q2+N2+M2</f>
        <v>0.4516994176367829</v>
      </c>
      <c r="X155" s="107">
        <f t="shared" si="44"/>
        <v>334.67170042073917</v>
      </c>
      <c r="Y155" s="107">
        <v>372.71700048643243</v>
      </c>
    </row>
    <row r="156" spans="1:27" x14ac:dyDescent="0.2">
      <c r="A156" s="9">
        <v>1805</v>
      </c>
      <c r="B156" s="56">
        <v>0.9812199928605978</v>
      </c>
      <c r="C156" s="57"/>
      <c r="D156" s="57"/>
      <c r="E156" s="57"/>
      <c r="F156" s="57"/>
      <c r="G156" s="55"/>
      <c r="H156" s="109"/>
      <c r="I156" s="113"/>
      <c r="J156" s="109">
        <v>7.5512278481012691</v>
      </c>
      <c r="K156" s="107"/>
      <c r="L156" s="9">
        <f t="shared" si="35"/>
        <v>175.63837872204701</v>
      </c>
      <c r="M156" s="9">
        <f t="shared" si="36"/>
        <v>0</v>
      </c>
      <c r="N156" s="9">
        <f t="shared" si="37"/>
        <v>0</v>
      </c>
      <c r="O156" s="9">
        <f t="shared" si="38"/>
        <v>0</v>
      </c>
      <c r="P156" s="9">
        <f t="shared" si="39"/>
        <v>0</v>
      </c>
      <c r="Q156" s="9">
        <f t="shared" si="40"/>
        <v>0</v>
      </c>
      <c r="R156" s="9">
        <f t="shared" si="41"/>
        <v>0</v>
      </c>
      <c r="S156" s="9">
        <f t="shared" si="41"/>
        <v>0</v>
      </c>
      <c r="T156" s="9">
        <f t="shared" si="42"/>
        <v>22.653683544303806</v>
      </c>
      <c r="U156" s="107"/>
      <c r="V156" s="117">
        <f t="shared" si="43"/>
        <v>198.29206226635083</v>
      </c>
      <c r="W156" s="114">
        <f>M2+N2+P2+O2+Q2+R2+S2</f>
        <v>0.40987348361069953</v>
      </c>
      <c r="X156" s="107">
        <f t="shared" si="44"/>
        <v>336.01618764668348</v>
      </c>
      <c r="Y156" s="107">
        <v>358.26041360583747</v>
      </c>
    </row>
    <row r="157" spans="1:27" x14ac:dyDescent="0.2">
      <c r="A157" s="9">
        <v>1806</v>
      </c>
      <c r="B157" s="57"/>
      <c r="C157" s="57"/>
      <c r="D157" s="57"/>
      <c r="E157" s="57"/>
      <c r="F157" s="57"/>
      <c r="G157" s="55"/>
      <c r="H157" s="109"/>
      <c r="I157" s="113"/>
      <c r="J157" s="109"/>
      <c r="K157" s="107"/>
      <c r="L157" s="9">
        <f t="shared" si="35"/>
        <v>0</v>
      </c>
      <c r="M157" s="9">
        <f t="shared" si="36"/>
        <v>0</v>
      </c>
      <c r="N157" s="9">
        <f t="shared" si="37"/>
        <v>0</v>
      </c>
      <c r="O157" s="9">
        <f t="shared" si="38"/>
        <v>0</v>
      </c>
      <c r="P157" s="9">
        <f t="shared" si="39"/>
        <v>0</v>
      </c>
      <c r="Q157" s="9">
        <f t="shared" si="40"/>
        <v>0</v>
      </c>
      <c r="R157" s="9">
        <f t="shared" si="41"/>
        <v>0</v>
      </c>
      <c r="S157" s="9">
        <f t="shared" si="41"/>
        <v>0</v>
      </c>
      <c r="T157" s="9">
        <f t="shared" si="42"/>
        <v>0</v>
      </c>
      <c r="U157" s="107"/>
      <c r="V157" s="117">
        <f t="shared" si="43"/>
        <v>0</v>
      </c>
      <c r="W157" s="119">
        <v>1</v>
      </c>
      <c r="X157" s="107"/>
      <c r="Y157" s="107">
        <v>363.6115701285002</v>
      </c>
    </row>
    <row r="158" spans="1:27" x14ac:dyDescent="0.2">
      <c r="A158" s="9">
        <v>1807</v>
      </c>
      <c r="B158" s="57"/>
      <c r="C158" s="57"/>
      <c r="D158" s="57"/>
      <c r="E158" s="57"/>
      <c r="F158" s="57"/>
      <c r="G158" s="55"/>
      <c r="H158" s="109"/>
      <c r="I158" s="113"/>
      <c r="J158" s="109"/>
      <c r="K158" s="107"/>
      <c r="L158" s="9">
        <f t="shared" si="35"/>
        <v>0</v>
      </c>
      <c r="M158" s="9">
        <f t="shared" si="36"/>
        <v>0</v>
      </c>
      <c r="N158" s="9">
        <f t="shared" si="37"/>
        <v>0</v>
      </c>
      <c r="O158" s="9">
        <f t="shared" si="38"/>
        <v>0</v>
      </c>
      <c r="P158" s="9">
        <f t="shared" si="39"/>
        <v>0</v>
      </c>
      <c r="Q158" s="9">
        <f t="shared" si="40"/>
        <v>0</v>
      </c>
      <c r="R158" s="9">
        <f t="shared" si="41"/>
        <v>0</v>
      </c>
      <c r="S158" s="9">
        <f t="shared" si="41"/>
        <v>0</v>
      </c>
      <c r="T158" s="9">
        <f t="shared" si="42"/>
        <v>0</v>
      </c>
      <c r="U158" s="107"/>
      <c r="V158" s="117">
        <f t="shared" si="43"/>
        <v>0</v>
      </c>
      <c r="W158" s="119">
        <v>1</v>
      </c>
      <c r="X158" s="107"/>
      <c r="Y158" s="107">
        <v>368.96272665116317</v>
      </c>
    </row>
    <row r="159" spans="1:27" x14ac:dyDescent="0.2">
      <c r="A159" s="9">
        <v>1808</v>
      </c>
      <c r="B159" s="57"/>
      <c r="C159" s="57"/>
      <c r="D159" s="57"/>
      <c r="E159" s="57"/>
      <c r="F159" s="57"/>
      <c r="G159" s="55"/>
      <c r="H159" s="109"/>
      <c r="I159" s="113"/>
      <c r="J159" s="109"/>
      <c r="K159" s="107"/>
      <c r="L159" s="9">
        <f t="shared" si="35"/>
        <v>0</v>
      </c>
      <c r="M159" s="9">
        <f t="shared" si="36"/>
        <v>0</v>
      </c>
      <c r="N159" s="9">
        <f t="shared" si="37"/>
        <v>0</v>
      </c>
      <c r="O159" s="9">
        <f t="shared" si="38"/>
        <v>0</v>
      </c>
      <c r="P159" s="9">
        <f t="shared" si="39"/>
        <v>0</v>
      </c>
      <c r="Q159" s="9">
        <f t="shared" si="40"/>
        <v>0</v>
      </c>
      <c r="R159" s="9">
        <f t="shared" si="41"/>
        <v>0</v>
      </c>
      <c r="S159" s="9">
        <f t="shared" si="41"/>
        <v>0</v>
      </c>
      <c r="T159" s="9">
        <f t="shared" si="42"/>
        <v>0</v>
      </c>
      <c r="U159" s="107"/>
      <c r="V159" s="117">
        <f t="shared" si="43"/>
        <v>0</v>
      </c>
      <c r="W159" s="119">
        <v>1</v>
      </c>
      <c r="X159" s="107"/>
      <c r="Y159" s="107">
        <v>374.31388317382596</v>
      </c>
    </row>
    <row r="160" spans="1:27" x14ac:dyDescent="0.2">
      <c r="A160" s="9">
        <v>1809</v>
      </c>
      <c r="B160" s="57"/>
      <c r="C160" s="57"/>
      <c r="D160" s="57"/>
      <c r="E160" s="57"/>
      <c r="F160" s="57"/>
      <c r="G160" s="55"/>
      <c r="H160" s="109"/>
      <c r="I160" s="113"/>
      <c r="J160" s="109"/>
      <c r="K160" s="107"/>
      <c r="L160" s="9">
        <f t="shared" si="35"/>
        <v>0</v>
      </c>
      <c r="M160" s="9">
        <f t="shared" si="36"/>
        <v>0</v>
      </c>
      <c r="N160" s="9">
        <f t="shared" si="37"/>
        <v>0</v>
      </c>
      <c r="O160" s="9">
        <f t="shared" si="38"/>
        <v>0</v>
      </c>
      <c r="P160" s="9">
        <f t="shared" si="39"/>
        <v>0</v>
      </c>
      <c r="Q160" s="9">
        <f t="shared" si="40"/>
        <v>0</v>
      </c>
      <c r="R160" s="9">
        <f t="shared" si="41"/>
        <v>0</v>
      </c>
      <c r="S160" s="9">
        <f t="shared" si="41"/>
        <v>0</v>
      </c>
      <c r="T160" s="9">
        <f t="shared" si="42"/>
        <v>0</v>
      </c>
      <c r="U160" s="107"/>
      <c r="V160" s="117">
        <f t="shared" si="43"/>
        <v>0</v>
      </c>
      <c r="W160" s="119">
        <v>1</v>
      </c>
      <c r="X160" s="107"/>
      <c r="Y160" s="107">
        <v>379.66503969648875</v>
      </c>
    </row>
    <row r="161" spans="1:25" x14ac:dyDescent="0.2">
      <c r="A161" s="9">
        <v>1810</v>
      </c>
      <c r="B161" s="57"/>
      <c r="C161" s="57"/>
      <c r="D161" s="57"/>
      <c r="E161" s="57"/>
      <c r="F161" s="57"/>
      <c r="G161" s="55"/>
      <c r="H161" s="109"/>
      <c r="I161" s="113"/>
      <c r="J161" s="109"/>
      <c r="K161" s="107"/>
      <c r="L161" s="9">
        <f t="shared" si="35"/>
        <v>0</v>
      </c>
      <c r="M161" s="9">
        <f t="shared" si="36"/>
        <v>0</v>
      </c>
      <c r="N161" s="9">
        <f t="shared" si="37"/>
        <v>0</v>
      </c>
      <c r="O161" s="9">
        <f t="shared" si="38"/>
        <v>0</v>
      </c>
      <c r="P161" s="9">
        <f t="shared" si="39"/>
        <v>0</v>
      </c>
      <c r="Q161" s="9">
        <f t="shared" si="40"/>
        <v>0</v>
      </c>
      <c r="R161" s="9">
        <f t="shared" si="41"/>
        <v>0</v>
      </c>
      <c r="S161" s="9">
        <f t="shared" si="41"/>
        <v>0</v>
      </c>
      <c r="T161" s="9">
        <f t="shared" si="42"/>
        <v>0</v>
      </c>
      <c r="U161" s="107"/>
      <c r="V161" s="117">
        <f t="shared" si="43"/>
        <v>0</v>
      </c>
      <c r="W161" s="119">
        <v>1</v>
      </c>
      <c r="X161" s="107"/>
      <c r="Y161" s="107">
        <v>385.0161962191516</v>
      </c>
    </row>
    <row r="162" spans="1:25" x14ac:dyDescent="0.2">
      <c r="A162" s="9">
        <v>1811</v>
      </c>
      <c r="B162" s="57"/>
      <c r="C162" s="57"/>
      <c r="D162" s="56">
        <v>1.9186909375000003</v>
      </c>
      <c r="E162" s="57"/>
      <c r="F162" s="57"/>
      <c r="G162" s="55"/>
      <c r="H162" s="109">
        <v>12.699175751666669</v>
      </c>
      <c r="I162" s="99">
        <v>0.99680713644733354</v>
      </c>
      <c r="J162" s="109"/>
      <c r="K162" s="107"/>
      <c r="L162" s="9">
        <f t="shared" si="35"/>
        <v>0</v>
      </c>
      <c r="M162" s="9">
        <f t="shared" si="36"/>
        <v>0</v>
      </c>
      <c r="N162" s="9">
        <f t="shared" si="37"/>
        <v>9.5934546875000013</v>
      </c>
      <c r="O162" s="9">
        <f t="shared" si="38"/>
        <v>0</v>
      </c>
      <c r="P162" s="9">
        <f t="shared" si="39"/>
        <v>0</v>
      </c>
      <c r="Q162" s="9">
        <f t="shared" si="40"/>
        <v>0</v>
      </c>
      <c r="R162" s="9">
        <f t="shared" si="41"/>
        <v>16.50892847716667</v>
      </c>
      <c r="S162" s="9">
        <f t="shared" si="41"/>
        <v>1.2958492773815335</v>
      </c>
      <c r="T162" s="9">
        <f t="shared" si="42"/>
        <v>0</v>
      </c>
      <c r="U162" s="107"/>
      <c r="V162" s="117">
        <f t="shared" si="43"/>
        <v>27.398232442048204</v>
      </c>
      <c r="W162" s="114">
        <f>T2+Q2+P2+O2+M2+L2</f>
        <v>0.87033609055665706</v>
      </c>
      <c r="X162" s="107">
        <f t="shared" si="44"/>
        <v>211.3019155420418</v>
      </c>
      <c r="Y162" s="107">
        <v>390.36735274181444</v>
      </c>
    </row>
    <row r="163" spans="1:25" x14ac:dyDescent="0.2">
      <c r="A163" s="9">
        <v>1812</v>
      </c>
      <c r="B163" s="57"/>
      <c r="C163" s="57"/>
      <c r="D163" s="56">
        <v>1.7907782083333337</v>
      </c>
      <c r="E163" s="57"/>
      <c r="F163" s="57"/>
      <c r="G163" s="55"/>
      <c r="H163" s="109">
        <v>10.785601323333335</v>
      </c>
      <c r="I163" s="99">
        <v>0.82764715698266689</v>
      </c>
      <c r="J163" s="109"/>
      <c r="K163" s="107"/>
      <c r="L163" s="9">
        <f t="shared" si="35"/>
        <v>0</v>
      </c>
      <c r="M163" s="9">
        <f t="shared" si="36"/>
        <v>0</v>
      </c>
      <c r="N163" s="9">
        <f t="shared" si="37"/>
        <v>8.9538910416666688</v>
      </c>
      <c r="O163" s="9">
        <f t="shared" si="38"/>
        <v>0</v>
      </c>
      <c r="P163" s="9">
        <f t="shared" si="39"/>
        <v>0</v>
      </c>
      <c r="Q163" s="9">
        <f t="shared" si="40"/>
        <v>0</v>
      </c>
      <c r="R163" s="9">
        <f t="shared" si="41"/>
        <v>14.021281720333336</v>
      </c>
      <c r="S163" s="9">
        <f t="shared" si="41"/>
        <v>1.075941304077467</v>
      </c>
      <c r="T163" s="9">
        <f t="shared" si="42"/>
        <v>0</v>
      </c>
      <c r="U163" s="107"/>
      <c r="V163" s="117">
        <f t="shared" si="43"/>
        <v>24.051114066077474</v>
      </c>
      <c r="W163" s="114">
        <f>T2+Q2+P2+O2+M2+L2</f>
        <v>0.87033609055665706</v>
      </c>
      <c r="X163" s="107">
        <f t="shared" si="44"/>
        <v>185.48811438225749</v>
      </c>
      <c r="Y163" s="107">
        <v>392.93592574984064</v>
      </c>
    </row>
    <row r="164" spans="1:25" x14ac:dyDescent="0.2">
      <c r="A164" s="9">
        <v>1813</v>
      </c>
      <c r="B164" s="56">
        <v>1.4191438288529048</v>
      </c>
      <c r="C164" s="57"/>
      <c r="D164" s="57">
        <v>1.801277488252315</v>
      </c>
      <c r="E164" s="57"/>
      <c r="F164" s="57"/>
      <c r="G164" s="55"/>
      <c r="H164" s="109"/>
      <c r="I164" s="113"/>
      <c r="J164" s="109"/>
      <c r="K164" s="107"/>
      <c r="L164" s="9">
        <f t="shared" si="35"/>
        <v>254.02674536466995</v>
      </c>
      <c r="M164" s="9">
        <f t="shared" si="36"/>
        <v>0</v>
      </c>
      <c r="N164" s="9">
        <f t="shared" si="37"/>
        <v>9.006387441261575</v>
      </c>
      <c r="O164" s="9">
        <f t="shared" si="38"/>
        <v>0</v>
      </c>
      <c r="P164" s="9">
        <f t="shared" si="39"/>
        <v>0</v>
      </c>
      <c r="Q164" s="9">
        <f t="shared" si="40"/>
        <v>0</v>
      </c>
      <c r="R164" s="9">
        <f t="shared" si="41"/>
        <v>0</v>
      </c>
      <c r="S164" s="9">
        <f t="shared" si="41"/>
        <v>0</v>
      </c>
      <c r="T164" s="9">
        <f t="shared" si="42"/>
        <v>0</v>
      </c>
      <c r="U164" s="107"/>
      <c r="V164" s="117">
        <f t="shared" si="43"/>
        <v>263.03313280593153</v>
      </c>
      <c r="W164" s="114">
        <f t="shared" ref="W164:W171" si="49">$T$2+$S$2+$R$2+$Q$2+$P$2+$O$2+$M$2</f>
        <v>0.37305159965997425</v>
      </c>
      <c r="X164" s="107">
        <f t="shared" si="44"/>
        <v>419.54510556734078</v>
      </c>
      <c r="Y164" s="107">
        <v>399.00944819752726</v>
      </c>
    </row>
    <row r="165" spans="1:25" x14ac:dyDescent="0.2">
      <c r="A165" s="9">
        <v>1814</v>
      </c>
      <c r="B165" s="56">
        <v>1.9396448569901774</v>
      </c>
      <c r="C165" s="57"/>
      <c r="D165" s="57">
        <v>1.8117767681712964</v>
      </c>
      <c r="E165" s="57"/>
      <c r="F165" s="57"/>
      <c r="G165" s="55"/>
      <c r="H165" s="109"/>
      <c r="I165" s="113"/>
      <c r="J165" s="109"/>
      <c r="K165" s="107"/>
      <c r="L165" s="9">
        <f t="shared" si="35"/>
        <v>347.19642940124174</v>
      </c>
      <c r="M165" s="9">
        <f t="shared" si="36"/>
        <v>0</v>
      </c>
      <c r="N165" s="9">
        <f t="shared" si="37"/>
        <v>9.0588838408564811</v>
      </c>
      <c r="O165" s="9">
        <f t="shared" si="38"/>
        <v>0</v>
      </c>
      <c r="P165" s="9">
        <f t="shared" si="39"/>
        <v>0</v>
      </c>
      <c r="Q165" s="9">
        <f t="shared" si="40"/>
        <v>0</v>
      </c>
      <c r="R165" s="9">
        <f t="shared" si="41"/>
        <v>0</v>
      </c>
      <c r="S165" s="9">
        <f t="shared" si="41"/>
        <v>0</v>
      </c>
      <c r="T165" s="9">
        <f t="shared" si="42"/>
        <v>0</v>
      </c>
      <c r="U165" s="107"/>
      <c r="V165" s="117">
        <f t="shared" si="43"/>
        <v>356.25531324209823</v>
      </c>
      <c r="W165" s="114">
        <f t="shared" si="49"/>
        <v>0.37305159965997425</v>
      </c>
      <c r="X165" s="107">
        <f t="shared" si="44"/>
        <v>568.23705595051047</v>
      </c>
      <c r="Y165" s="107">
        <v>488.45410885145787</v>
      </c>
    </row>
    <row r="166" spans="1:25" x14ac:dyDescent="0.2">
      <c r="A166" s="9">
        <v>1815</v>
      </c>
      <c r="B166" s="56">
        <v>1.3324081014146636</v>
      </c>
      <c r="C166" s="57"/>
      <c r="D166" s="57">
        <v>1.8222760480902778</v>
      </c>
      <c r="E166" s="57"/>
      <c r="F166" s="57"/>
      <c r="G166" s="55"/>
      <c r="H166" s="109"/>
      <c r="I166" s="113"/>
      <c r="J166" s="109"/>
      <c r="K166" s="107"/>
      <c r="L166" s="9">
        <f t="shared" si="35"/>
        <v>238.50105015322478</v>
      </c>
      <c r="M166" s="9">
        <f t="shared" si="36"/>
        <v>0</v>
      </c>
      <c r="N166" s="9">
        <f t="shared" si="37"/>
        <v>9.1113802404513891</v>
      </c>
      <c r="O166" s="9">
        <f t="shared" si="38"/>
        <v>0</v>
      </c>
      <c r="P166" s="9">
        <f t="shared" si="39"/>
        <v>0</v>
      </c>
      <c r="Q166" s="9">
        <f t="shared" si="40"/>
        <v>0</v>
      </c>
      <c r="R166" s="9">
        <f t="shared" si="41"/>
        <v>0</v>
      </c>
      <c r="S166" s="9">
        <f t="shared" si="41"/>
        <v>0</v>
      </c>
      <c r="T166" s="9">
        <f t="shared" si="42"/>
        <v>0</v>
      </c>
      <c r="U166" s="107"/>
      <c r="V166" s="117">
        <f t="shared" si="43"/>
        <v>247.61243039367616</v>
      </c>
      <c r="W166" s="114">
        <f t="shared" si="49"/>
        <v>0.37305159965997425</v>
      </c>
      <c r="X166" s="107">
        <f t="shared" si="44"/>
        <v>394.94865966542613</v>
      </c>
      <c r="Y166" s="107">
        <v>376.03370622079979</v>
      </c>
    </row>
    <row r="167" spans="1:25" x14ac:dyDescent="0.2">
      <c r="A167" s="9">
        <v>1816</v>
      </c>
      <c r="B167" s="56">
        <v>0.86075032722259937</v>
      </c>
      <c r="C167" s="57"/>
      <c r="D167" s="57">
        <v>1.8327753280092591</v>
      </c>
      <c r="E167" s="57"/>
      <c r="F167" s="57"/>
      <c r="G167" s="55"/>
      <c r="H167" s="109"/>
      <c r="I167" s="113"/>
      <c r="J167" s="109"/>
      <c r="K167" s="107"/>
      <c r="L167" s="9">
        <f t="shared" si="35"/>
        <v>154.0743085728453</v>
      </c>
      <c r="M167" s="9">
        <f t="shared" si="36"/>
        <v>0</v>
      </c>
      <c r="N167" s="9">
        <f t="shared" si="37"/>
        <v>9.1638766400462952</v>
      </c>
      <c r="O167" s="9">
        <f t="shared" si="38"/>
        <v>0</v>
      </c>
      <c r="P167" s="9">
        <f t="shared" si="39"/>
        <v>0</v>
      </c>
      <c r="Q167" s="9">
        <f t="shared" si="40"/>
        <v>0</v>
      </c>
      <c r="R167" s="9">
        <f t="shared" si="41"/>
        <v>0</v>
      </c>
      <c r="S167" s="9">
        <f t="shared" si="41"/>
        <v>0</v>
      </c>
      <c r="T167" s="9">
        <f t="shared" si="42"/>
        <v>0</v>
      </c>
      <c r="U167" s="107"/>
      <c r="V167" s="117">
        <f t="shared" si="43"/>
        <v>163.23818521289158</v>
      </c>
      <c r="W167" s="114">
        <f t="shared" si="49"/>
        <v>0.37305159965997425</v>
      </c>
      <c r="X167" s="107">
        <f t="shared" si="44"/>
        <v>260.36941018488807</v>
      </c>
      <c r="Y167" s="107">
        <v>287.8819412577792</v>
      </c>
    </row>
    <row r="168" spans="1:25" x14ac:dyDescent="0.2">
      <c r="A168" s="9">
        <v>1817</v>
      </c>
      <c r="B168" s="56">
        <v>1.0006222553962687</v>
      </c>
      <c r="C168" s="57"/>
      <c r="D168" s="56">
        <v>1.8432746079282407</v>
      </c>
      <c r="E168" s="57"/>
      <c r="F168" s="57"/>
      <c r="G168" s="55"/>
      <c r="H168" s="109"/>
      <c r="I168" s="113"/>
      <c r="J168" s="109"/>
      <c r="K168" s="107"/>
      <c r="L168" s="9">
        <f t="shared" si="35"/>
        <v>179.11138371593211</v>
      </c>
      <c r="M168" s="9">
        <f t="shared" si="36"/>
        <v>0</v>
      </c>
      <c r="N168" s="9">
        <f t="shared" si="37"/>
        <v>9.2163730396412031</v>
      </c>
      <c r="O168" s="9">
        <f t="shared" si="38"/>
        <v>0</v>
      </c>
      <c r="P168" s="9">
        <f t="shared" si="39"/>
        <v>0</v>
      </c>
      <c r="Q168" s="9">
        <f t="shared" si="40"/>
        <v>0</v>
      </c>
      <c r="R168" s="9">
        <f t="shared" si="41"/>
        <v>0</v>
      </c>
      <c r="S168" s="9">
        <f t="shared" si="41"/>
        <v>0</v>
      </c>
      <c r="T168" s="9">
        <f t="shared" si="42"/>
        <v>0</v>
      </c>
      <c r="U168" s="107"/>
      <c r="V168" s="117">
        <f t="shared" si="43"/>
        <v>188.32775675557332</v>
      </c>
      <c r="W168" s="114">
        <f t="shared" si="49"/>
        <v>0.37305159965997425</v>
      </c>
      <c r="X168" s="107">
        <f t="shared" si="44"/>
        <v>300.3879691748694</v>
      </c>
      <c r="Y168" s="107">
        <v>309.19399301822489</v>
      </c>
    </row>
    <row r="169" spans="1:25" x14ac:dyDescent="0.2">
      <c r="A169" s="9">
        <v>1818</v>
      </c>
      <c r="B169" s="56">
        <v>1.9497752231956367</v>
      </c>
      <c r="C169" s="57"/>
      <c r="D169" s="57">
        <v>2.1835714586226844</v>
      </c>
      <c r="E169" s="57"/>
      <c r="F169" s="57"/>
      <c r="G169" s="55"/>
      <c r="H169" s="109"/>
      <c r="I169" s="113"/>
      <c r="J169" s="109"/>
      <c r="K169" s="107"/>
      <c r="L169" s="9">
        <f t="shared" si="35"/>
        <v>349.00976495201894</v>
      </c>
      <c r="M169" s="9">
        <f t="shared" si="36"/>
        <v>0</v>
      </c>
      <c r="N169" s="9">
        <f t="shared" si="37"/>
        <v>10.917857293113421</v>
      </c>
      <c r="O169" s="9">
        <f t="shared" si="38"/>
        <v>0</v>
      </c>
      <c r="P169" s="9">
        <f t="shared" si="39"/>
        <v>0</v>
      </c>
      <c r="Q169" s="9">
        <f t="shared" si="40"/>
        <v>0</v>
      </c>
      <c r="R169" s="9">
        <f t="shared" si="41"/>
        <v>0</v>
      </c>
      <c r="S169" s="9">
        <f t="shared" si="41"/>
        <v>0</v>
      </c>
      <c r="T169" s="9">
        <f t="shared" si="42"/>
        <v>0</v>
      </c>
      <c r="U169" s="107"/>
      <c r="V169" s="117">
        <f t="shared" si="43"/>
        <v>359.92762224513234</v>
      </c>
      <c r="W169" s="114">
        <f t="shared" si="49"/>
        <v>0.37305159965997425</v>
      </c>
      <c r="X169" s="107">
        <f t="shared" si="44"/>
        <v>574.0944901524997</v>
      </c>
      <c r="Y169" s="107">
        <v>477.01633872554788</v>
      </c>
    </row>
    <row r="170" spans="1:25" x14ac:dyDescent="0.2">
      <c r="A170" s="9">
        <v>1819</v>
      </c>
      <c r="B170" s="56">
        <v>1.9994771081457863</v>
      </c>
      <c r="C170" s="57"/>
      <c r="D170" s="56">
        <v>2.5238683093171281</v>
      </c>
      <c r="E170" s="57"/>
      <c r="F170" s="57"/>
      <c r="G170" s="55"/>
      <c r="H170" s="109"/>
      <c r="I170" s="113"/>
      <c r="J170" s="109"/>
      <c r="K170" s="107"/>
      <c r="L170" s="9">
        <f t="shared" si="35"/>
        <v>357.90640235809576</v>
      </c>
      <c r="M170" s="9">
        <f t="shared" si="36"/>
        <v>0</v>
      </c>
      <c r="N170" s="9">
        <f t="shared" si="37"/>
        <v>12.619341546585641</v>
      </c>
      <c r="O170" s="9">
        <f t="shared" si="38"/>
        <v>0</v>
      </c>
      <c r="P170" s="9">
        <f t="shared" si="39"/>
        <v>0</v>
      </c>
      <c r="Q170" s="9">
        <f t="shared" si="40"/>
        <v>0</v>
      </c>
      <c r="R170" s="9">
        <f t="shared" si="41"/>
        <v>0</v>
      </c>
      <c r="S170" s="9">
        <f t="shared" si="41"/>
        <v>0</v>
      </c>
      <c r="T170" s="9">
        <f t="shared" si="42"/>
        <v>0</v>
      </c>
      <c r="U170" s="107"/>
      <c r="V170" s="117">
        <f t="shared" si="43"/>
        <v>370.52574390468141</v>
      </c>
      <c r="W170" s="114">
        <f t="shared" si="49"/>
        <v>0.37305159965997425</v>
      </c>
      <c r="X170" s="107">
        <f t="shared" si="44"/>
        <v>590.99878666845086</v>
      </c>
      <c r="Y170" s="107">
        <v>483.83694060286081</v>
      </c>
    </row>
    <row r="171" spans="1:25" x14ac:dyDescent="0.2">
      <c r="A171" s="9">
        <v>1820</v>
      </c>
      <c r="B171" s="56">
        <v>0.87749460158042047</v>
      </c>
      <c r="C171" s="57"/>
      <c r="D171" s="56">
        <v>5.0444003749999995</v>
      </c>
      <c r="E171" s="57"/>
      <c r="F171" s="57"/>
      <c r="G171" s="55"/>
      <c r="H171" s="109"/>
      <c r="I171" s="113"/>
      <c r="J171" s="109"/>
      <c r="K171" s="107"/>
      <c r="L171" s="9">
        <f t="shared" si="35"/>
        <v>157.07153368289528</v>
      </c>
      <c r="M171" s="9">
        <f t="shared" si="36"/>
        <v>0</v>
      </c>
      <c r="N171" s="9">
        <f t="shared" si="37"/>
        <v>25.222001874999997</v>
      </c>
      <c r="O171" s="9">
        <f t="shared" si="38"/>
        <v>0</v>
      </c>
      <c r="P171" s="9">
        <f t="shared" si="39"/>
        <v>0</v>
      </c>
      <c r="Q171" s="9">
        <f t="shared" si="40"/>
        <v>0</v>
      </c>
      <c r="R171" s="9">
        <f t="shared" si="41"/>
        <v>0</v>
      </c>
      <c r="S171" s="9">
        <f t="shared" si="41"/>
        <v>0</v>
      </c>
      <c r="T171" s="9">
        <f t="shared" si="42"/>
        <v>0</v>
      </c>
      <c r="U171" s="107"/>
      <c r="V171" s="117">
        <f t="shared" si="43"/>
        <v>182.29353555789527</v>
      </c>
      <c r="W171" s="114">
        <f t="shared" si="49"/>
        <v>0.37305159965997425</v>
      </c>
      <c r="X171" s="107">
        <f t="shared" si="44"/>
        <v>290.76321984237984</v>
      </c>
      <c r="Y171" s="107">
        <v>291.8272124738387</v>
      </c>
    </row>
    <row r="172" spans="1:25" x14ac:dyDescent="0.2">
      <c r="A172" s="9">
        <v>1821</v>
      </c>
      <c r="B172" s="56">
        <v>2.0261962972389846</v>
      </c>
      <c r="C172" s="57"/>
      <c r="D172" s="57">
        <v>4.1761429691840277</v>
      </c>
      <c r="E172" s="57"/>
      <c r="F172" s="57"/>
      <c r="G172" s="55"/>
      <c r="H172" s="109"/>
      <c r="I172" s="113"/>
      <c r="J172" s="109"/>
      <c r="K172" s="107"/>
      <c r="L172" s="9">
        <f t="shared" si="35"/>
        <v>362.68913720577825</v>
      </c>
      <c r="M172" s="9">
        <f t="shared" si="36"/>
        <v>0</v>
      </c>
      <c r="N172" s="9">
        <f t="shared" si="37"/>
        <v>20.880714845920139</v>
      </c>
      <c r="O172" s="9">
        <f t="shared" si="38"/>
        <v>0</v>
      </c>
      <c r="P172" s="9">
        <f t="shared" si="39"/>
        <v>0</v>
      </c>
      <c r="Q172" s="9">
        <f t="shared" si="40"/>
        <v>0</v>
      </c>
      <c r="R172" s="9">
        <f t="shared" si="41"/>
        <v>0</v>
      </c>
      <c r="S172" s="9">
        <f t="shared" si="41"/>
        <v>0</v>
      </c>
      <c r="T172" s="9">
        <f t="shared" si="42"/>
        <v>0</v>
      </c>
      <c r="U172" s="107"/>
      <c r="V172" s="117">
        <f t="shared" si="43"/>
        <v>383.56985205169838</v>
      </c>
      <c r="W172" s="114">
        <f>$T$2+$S$2+$R$2+$Q$2+$P$2+$O$2+$M$2</f>
        <v>0.37305159965997425</v>
      </c>
      <c r="X172" s="107">
        <f t="shared" si="44"/>
        <v>611.80449913209623</v>
      </c>
      <c r="Y172" s="107">
        <v>489.32600918540578</v>
      </c>
    </row>
    <row r="173" spans="1:25" x14ac:dyDescent="0.2">
      <c r="A173" s="9">
        <v>1822</v>
      </c>
      <c r="B173" s="56">
        <v>2.185067711419197</v>
      </c>
      <c r="C173" s="57"/>
      <c r="D173" s="57">
        <v>3.3078855633680555</v>
      </c>
      <c r="E173" s="57"/>
      <c r="F173" s="56">
        <v>3.6511850333333324</v>
      </c>
      <c r="G173" s="55"/>
      <c r="H173" s="109">
        <v>11.530058</v>
      </c>
      <c r="I173" s="99">
        <v>0.89345712720000015</v>
      </c>
      <c r="J173" s="109"/>
      <c r="K173" s="107"/>
      <c r="L173" s="9">
        <f t="shared" si="35"/>
        <v>391.12712034403626</v>
      </c>
      <c r="M173" s="9">
        <f t="shared" si="36"/>
        <v>0</v>
      </c>
      <c r="N173" s="9">
        <f t="shared" si="37"/>
        <v>16.539427816840277</v>
      </c>
      <c r="O173" s="9">
        <f t="shared" si="38"/>
        <v>0</v>
      </c>
      <c r="P173" s="9">
        <f t="shared" si="39"/>
        <v>4.7465405433333325</v>
      </c>
      <c r="Q173" s="9">
        <f t="shared" si="40"/>
        <v>0</v>
      </c>
      <c r="R173" s="9">
        <f t="shared" si="41"/>
        <v>14.989075400000001</v>
      </c>
      <c r="S173" s="9">
        <f t="shared" si="41"/>
        <v>1.1614942653600002</v>
      </c>
      <c r="T173" s="9">
        <f t="shared" si="42"/>
        <v>0</v>
      </c>
      <c r="U173" s="107"/>
      <c r="V173" s="117">
        <f t="shared" si="43"/>
        <v>428.56365836956979</v>
      </c>
      <c r="W173" s="114">
        <f>T2+Q2+O2+M2</f>
        <v>0.29340067107925277</v>
      </c>
      <c r="X173" s="107">
        <f t="shared" si="44"/>
        <v>606.51580157053593</v>
      </c>
      <c r="Y173" s="107">
        <v>509.64518551234784</v>
      </c>
    </row>
    <row r="174" spans="1:25" x14ac:dyDescent="0.2">
      <c r="A174" s="9">
        <v>1823</v>
      </c>
      <c r="B174" s="56">
        <v>0.98278225550760145</v>
      </c>
      <c r="C174" s="57"/>
      <c r="D174" s="56">
        <v>2.4396281575520833</v>
      </c>
      <c r="E174" s="56">
        <v>12.490896166666667</v>
      </c>
      <c r="F174" s="56">
        <v>11.049638916666666</v>
      </c>
      <c r="G174" s="55"/>
      <c r="H174" s="109">
        <v>4.8041908333333332</v>
      </c>
      <c r="I174" s="99">
        <v>0.29889046966666666</v>
      </c>
      <c r="J174" s="109"/>
      <c r="K174" s="107"/>
      <c r="L174" s="9">
        <f t="shared" si="35"/>
        <v>175.91802373586066</v>
      </c>
      <c r="M174" s="9">
        <f t="shared" si="36"/>
        <v>0</v>
      </c>
      <c r="N174" s="9">
        <f t="shared" si="37"/>
        <v>12.198140787760416</v>
      </c>
      <c r="O174" s="9">
        <f t="shared" si="38"/>
        <v>37.472688500000004</v>
      </c>
      <c r="P174" s="9">
        <f t="shared" si="39"/>
        <v>14.364530591666666</v>
      </c>
      <c r="Q174" s="9">
        <f t="shared" si="40"/>
        <v>0</v>
      </c>
      <c r="R174" s="9">
        <f t="shared" si="41"/>
        <v>6.2454480833333337</v>
      </c>
      <c r="S174" s="9">
        <f t="shared" si="41"/>
        <v>0.38855761056666666</v>
      </c>
      <c r="T174" s="9">
        <f t="shared" si="42"/>
        <v>0</v>
      </c>
      <c r="U174" s="107"/>
      <c r="V174" s="117">
        <f t="shared" si="43"/>
        <v>246.58738930918776</v>
      </c>
      <c r="W174" s="114">
        <f>T2+Q2+M2</f>
        <v>0.18658743047751111</v>
      </c>
      <c r="X174" s="107">
        <f t="shared" si="44"/>
        <v>303.15168285873187</v>
      </c>
      <c r="Y174" s="107">
        <v>287.74392490861732</v>
      </c>
    </row>
    <row r="175" spans="1:25" x14ac:dyDescent="0.2">
      <c r="A175" s="9">
        <v>1824</v>
      </c>
      <c r="B175" s="56">
        <v>1.1410567654831583</v>
      </c>
      <c r="C175" s="57"/>
      <c r="D175" s="57"/>
      <c r="E175" s="56">
        <v>11.722225633333332</v>
      </c>
      <c r="F175" s="57">
        <f>F174+($F$176-$F$174)/2</f>
        <v>7.8788729666666661</v>
      </c>
      <c r="G175" s="55"/>
      <c r="H175" s="55">
        <f>H174+($H$176-$H$174)/2</f>
        <v>7.4482115741071429</v>
      </c>
      <c r="I175" s="55">
        <f>I174+($I$176-$I$174)/2</f>
        <v>0.25287818529728112</v>
      </c>
      <c r="J175" s="109"/>
      <c r="K175" s="107"/>
      <c r="L175" s="9">
        <f t="shared" si="35"/>
        <v>204.24916102148532</v>
      </c>
      <c r="M175" s="9">
        <f t="shared" si="36"/>
        <v>0</v>
      </c>
      <c r="N175" s="9">
        <f t="shared" si="37"/>
        <v>0</v>
      </c>
      <c r="O175" s="9">
        <f t="shared" si="38"/>
        <v>35.166676899999999</v>
      </c>
      <c r="P175" s="9">
        <f t="shared" si="39"/>
        <v>10.242534856666666</v>
      </c>
      <c r="Q175" s="9">
        <f t="shared" si="40"/>
        <v>0</v>
      </c>
      <c r="R175" s="9">
        <f t="shared" si="41"/>
        <v>9.6826750463392859</v>
      </c>
      <c r="S175" s="9">
        <f t="shared" si="41"/>
        <v>0.32874164088646546</v>
      </c>
      <c r="T175" s="9">
        <f t="shared" si="42"/>
        <v>0</v>
      </c>
      <c r="U175" s="107"/>
      <c r="V175" s="117">
        <f t="shared" si="43"/>
        <v>259.66978946537773</v>
      </c>
      <c r="W175" s="114">
        <f>T2+Q2+N2+M2</f>
        <v>0.26523524845431973</v>
      </c>
      <c r="X175" s="107">
        <f t="shared" si="44"/>
        <v>353.40534357306342</v>
      </c>
      <c r="Y175" s="107">
        <v>312.17467490232679</v>
      </c>
    </row>
    <row r="176" spans="1:25" x14ac:dyDescent="0.2">
      <c r="A176" s="9">
        <v>1825</v>
      </c>
      <c r="B176" s="56">
        <v>1.0447990001316634</v>
      </c>
      <c r="C176" s="56">
        <v>0.97582390038069755</v>
      </c>
      <c r="D176" s="57"/>
      <c r="E176" s="56">
        <v>7.9749567833333339</v>
      </c>
      <c r="F176" s="56">
        <v>4.7081070166666672</v>
      </c>
      <c r="G176" s="55"/>
      <c r="H176" s="109">
        <v>10.092232314880953</v>
      </c>
      <c r="I176" s="113">
        <v>0.20686590092789553</v>
      </c>
      <c r="J176" s="109"/>
      <c r="K176" s="107"/>
      <c r="L176" s="9">
        <f t="shared" si="35"/>
        <v>187.01902102356775</v>
      </c>
      <c r="M176" s="9">
        <f t="shared" si="36"/>
        <v>19.516478007613951</v>
      </c>
      <c r="N176" s="9">
        <f t="shared" si="37"/>
        <v>0</v>
      </c>
      <c r="O176" s="9">
        <f t="shared" si="38"/>
        <v>23.924870350000003</v>
      </c>
      <c r="P176" s="9">
        <f t="shared" si="39"/>
        <v>6.1205391216666678</v>
      </c>
      <c r="Q176" s="9">
        <f t="shared" si="40"/>
        <v>0</v>
      </c>
      <c r="R176" s="9">
        <f t="shared" si="41"/>
        <v>13.119902009345239</v>
      </c>
      <c r="S176" s="9">
        <f t="shared" si="41"/>
        <v>0.26892567120626421</v>
      </c>
      <c r="T176" s="9">
        <f t="shared" si="42"/>
        <v>0</v>
      </c>
      <c r="U176" s="107"/>
      <c r="V176" s="117">
        <f t="shared" si="43"/>
        <v>249.96973618339985</v>
      </c>
      <c r="W176" s="114">
        <f>T2+Q2+N2</f>
        <v>0.15065518117731641</v>
      </c>
      <c r="X176" s="107">
        <f t="shared" si="44"/>
        <v>294.3088962735942</v>
      </c>
      <c r="Y176" s="107">
        <v>282.10835266249404</v>
      </c>
    </row>
    <row r="177" spans="1:25" x14ac:dyDescent="0.2">
      <c r="A177" s="9">
        <v>1826</v>
      </c>
      <c r="B177" s="56">
        <v>2.0223202357164434</v>
      </c>
      <c r="C177" s="56">
        <v>1.1004946095401842</v>
      </c>
      <c r="D177" s="57"/>
      <c r="E177" s="56">
        <v>5.8611128166666662</v>
      </c>
      <c r="F177" s="56">
        <v>3.4567910682761411</v>
      </c>
      <c r="G177" s="55"/>
      <c r="H177" s="55">
        <f>H176+($H$179-$H$176)/3</f>
        <v>9.1622782321428566</v>
      </c>
      <c r="I177" s="55">
        <f>I176+($I$178-$I$176)/2</f>
        <v>0.22519976707277534</v>
      </c>
      <c r="J177" s="109">
        <v>3.7754062500000001</v>
      </c>
      <c r="K177" s="107"/>
      <c r="L177" s="9">
        <f t="shared" si="35"/>
        <v>361.99532219324334</v>
      </c>
      <c r="M177" s="9">
        <f t="shared" si="36"/>
        <v>22.009892190803683</v>
      </c>
      <c r="N177" s="9">
        <f t="shared" si="37"/>
        <v>0</v>
      </c>
      <c r="O177" s="9">
        <f t="shared" si="38"/>
        <v>17.583338449999999</v>
      </c>
      <c r="P177" s="9">
        <f t="shared" si="39"/>
        <v>4.4938283887589838</v>
      </c>
      <c r="Q177" s="9">
        <f t="shared" si="40"/>
        <v>0</v>
      </c>
      <c r="R177" s="9">
        <f t="shared" si="41"/>
        <v>11.910961701785714</v>
      </c>
      <c r="S177" s="9">
        <f t="shared" si="41"/>
        <v>0.29275969719460793</v>
      </c>
      <c r="T177" s="9">
        <f t="shared" si="42"/>
        <v>11.326218750000001</v>
      </c>
      <c r="U177" s="107"/>
      <c r="V177" s="117">
        <f t="shared" si="43"/>
        <v>429.61232137178627</v>
      </c>
      <c r="W177" s="114">
        <f t="shared" ref="W177:W182" si="50">$Q$2+$N$2</f>
        <v>0.10882924715123311</v>
      </c>
      <c r="X177" s="107">
        <f t="shared" si="44"/>
        <v>482.07632487765471</v>
      </c>
      <c r="Y177" s="107">
        <v>449.61743967924508</v>
      </c>
    </row>
    <row r="178" spans="1:25" x14ac:dyDescent="0.2">
      <c r="A178" s="9">
        <v>1827</v>
      </c>
      <c r="B178" s="56">
        <v>1.3353384015494254</v>
      </c>
      <c r="C178" s="56">
        <v>1.0904043010824069</v>
      </c>
      <c r="D178" s="57"/>
      <c r="E178" s="56">
        <v>6.7258671666666672</v>
      </c>
      <c r="F178" s="56">
        <v>2.0823405277014118</v>
      </c>
      <c r="G178" s="55"/>
      <c r="H178" s="55">
        <f>H177+($H$179-$H$176)/3</f>
        <v>8.2323241494047608</v>
      </c>
      <c r="I178" s="113">
        <v>0.24353363321765514</v>
      </c>
      <c r="J178" s="109">
        <v>3.4321874999999999</v>
      </c>
      <c r="K178" s="107"/>
      <c r="L178" s="9">
        <f t="shared" si="35"/>
        <v>239.02557387734714</v>
      </c>
      <c r="M178" s="9">
        <f t="shared" si="36"/>
        <v>21.808086021648137</v>
      </c>
      <c r="N178" s="9">
        <f t="shared" si="37"/>
        <v>0</v>
      </c>
      <c r="O178" s="9">
        <f t="shared" si="38"/>
        <v>20.177601500000002</v>
      </c>
      <c r="P178" s="9">
        <f t="shared" si="39"/>
        <v>2.7070426860118353</v>
      </c>
      <c r="Q178" s="9">
        <f t="shared" si="40"/>
        <v>0</v>
      </c>
      <c r="R178" s="9">
        <f t="shared" si="41"/>
        <v>10.70202139422619</v>
      </c>
      <c r="S178" s="9">
        <f t="shared" si="41"/>
        <v>0.3165937231829517</v>
      </c>
      <c r="T178" s="9">
        <f t="shared" si="42"/>
        <v>10.2965625</v>
      </c>
      <c r="U178" s="107"/>
      <c r="V178" s="117">
        <f t="shared" si="43"/>
        <v>305.03348170241622</v>
      </c>
      <c r="W178" s="114">
        <f t="shared" si="50"/>
        <v>0.10882924715123311</v>
      </c>
      <c r="X178" s="107">
        <f t="shared" si="44"/>
        <v>342.28399072492999</v>
      </c>
      <c r="Y178" s="107">
        <v>324.77072367368271</v>
      </c>
    </row>
    <row r="179" spans="1:25" x14ac:dyDescent="0.2">
      <c r="A179" s="9">
        <v>1828</v>
      </c>
      <c r="B179" s="56">
        <v>0.85576976243840419</v>
      </c>
      <c r="C179" s="56">
        <v>0.87008567084504729</v>
      </c>
      <c r="D179" s="57"/>
      <c r="E179" s="56">
        <v>6.7258671666666672</v>
      </c>
      <c r="F179" s="56">
        <v>5.8355253398674094</v>
      </c>
      <c r="G179" s="55"/>
      <c r="H179" s="109">
        <v>7.3023700666666649</v>
      </c>
      <c r="I179" s="99">
        <v>0.51972951389333322</v>
      </c>
      <c r="J179" s="109">
        <v>3.3708984374999997</v>
      </c>
      <c r="K179" s="107"/>
      <c r="L179" s="9">
        <f t="shared" si="35"/>
        <v>153.18278747647435</v>
      </c>
      <c r="M179" s="9">
        <f t="shared" si="36"/>
        <v>17.401713416900947</v>
      </c>
      <c r="N179" s="9">
        <f t="shared" si="37"/>
        <v>0</v>
      </c>
      <c r="O179" s="9">
        <f t="shared" si="38"/>
        <v>20.177601500000002</v>
      </c>
      <c r="P179" s="9">
        <f t="shared" si="39"/>
        <v>7.5861829418276328</v>
      </c>
      <c r="Q179" s="9">
        <f t="shared" si="40"/>
        <v>0</v>
      </c>
      <c r="R179" s="9">
        <f t="shared" si="41"/>
        <v>9.4930810866666651</v>
      </c>
      <c r="S179" s="9">
        <f t="shared" si="41"/>
        <v>0.67564836806133322</v>
      </c>
      <c r="T179" s="9">
        <f t="shared" si="42"/>
        <v>10.1126953125</v>
      </c>
      <c r="U179" s="107"/>
      <c r="V179" s="117">
        <f t="shared" si="43"/>
        <v>218.62971010243095</v>
      </c>
      <c r="W179" s="114">
        <f t="shared" si="50"/>
        <v>0.10882924715123311</v>
      </c>
      <c r="X179" s="107">
        <f t="shared" si="44"/>
        <v>245.32864145681043</v>
      </c>
      <c r="Y179" s="107">
        <v>238.09907573750513</v>
      </c>
    </row>
    <row r="180" spans="1:25" x14ac:dyDescent="0.2">
      <c r="A180" s="9">
        <v>1829</v>
      </c>
      <c r="B180" s="56">
        <v>1.1511902721949858</v>
      </c>
      <c r="C180" s="56">
        <v>1.1629622987290595</v>
      </c>
      <c r="D180" s="57"/>
      <c r="E180" s="56">
        <v>8.6475434999999994</v>
      </c>
      <c r="F180" s="56">
        <v>4.583158997399817</v>
      </c>
      <c r="G180" s="55"/>
      <c r="H180" s="109">
        <v>7.5906215166666664</v>
      </c>
      <c r="I180" s="99">
        <v>0.54521094207333332</v>
      </c>
      <c r="J180" s="109">
        <v>3.5547656249999995</v>
      </c>
      <c r="K180" s="107"/>
      <c r="L180" s="9">
        <f t="shared" si="35"/>
        <v>206.06305872290247</v>
      </c>
      <c r="M180" s="9">
        <f t="shared" si="36"/>
        <v>23.259245974581191</v>
      </c>
      <c r="N180" s="9">
        <f t="shared" si="37"/>
        <v>0</v>
      </c>
      <c r="O180" s="9">
        <f t="shared" si="38"/>
        <v>25.9426305</v>
      </c>
      <c r="P180" s="9">
        <f t="shared" si="39"/>
        <v>5.9581066966197627</v>
      </c>
      <c r="Q180" s="9">
        <f t="shared" si="40"/>
        <v>0</v>
      </c>
      <c r="R180" s="9">
        <f t="shared" si="41"/>
        <v>9.8678079716666662</v>
      </c>
      <c r="S180" s="9">
        <f t="shared" si="41"/>
        <v>0.70877422469533335</v>
      </c>
      <c r="T180" s="9">
        <f t="shared" si="42"/>
        <v>10.664296874999998</v>
      </c>
      <c r="U180" s="107"/>
      <c r="V180" s="117">
        <f t="shared" si="43"/>
        <v>282.46392096546543</v>
      </c>
      <c r="W180" s="114">
        <f t="shared" si="50"/>
        <v>0.10882924715123311</v>
      </c>
      <c r="X180" s="107">
        <f t="shared" si="44"/>
        <v>316.9582485315247</v>
      </c>
      <c r="Y180" s="107">
        <v>301.66541026434732</v>
      </c>
    </row>
    <row r="181" spans="1:25" x14ac:dyDescent="0.2">
      <c r="A181" s="9">
        <v>1830</v>
      </c>
      <c r="B181" s="56">
        <v>1.3940357873091849</v>
      </c>
      <c r="C181" s="56">
        <v>1.2949229187481122</v>
      </c>
      <c r="D181" s="57"/>
      <c r="E181" s="56">
        <v>10.857471283333336</v>
      </c>
      <c r="F181" s="56">
        <v>4.0855430310348</v>
      </c>
      <c r="G181" s="55"/>
      <c r="H181" s="109">
        <v>8.3592920499999988</v>
      </c>
      <c r="I181" s="99">
        <v>0.61316141721999995</v>
      </c>
      <c r="J181" s="109">
        <v>3.6773437499999999</v>
      </c>
      <c r="K181" s="107"/>
      <c r="L181" s="9">
        <f t="shared" si="35"/>
        <v>249.5324059283441</v>
      </c>
      <c r="M181" s="9">
        <f t="shared" si="36"/>
        <v>25.898458374962242</v>
      </c>
      <c r="N181" s="9">
        <f t="shared" si="37"/>
        <v>0</v>
      </c>
      <c r="O181" s="9">
        <f t="shared" si="38"/>
        <v>32.572413850000004</v>
      </c>
      <c r="P181" s="9">
        <f t="shared" si="39"/>
        <v>5.3112059403452401</v>
      </c>
      <c r="Q181" s="9">
        <f t="shared" si="40"/>
        <v>0</v>
      </c>
      <c r="R181" s="9">
        <f t="shared" si="41"/>
        <v>10.867079664999999</v>
      </c>
      <c r="S181" s="9">
        <f t="shared" si="41"/>
        <v>0.79710984238599991</v>
      </c>
      <c r="T181" s="9">
        <f t="shared" si="42"/>
        <v>11.032031249999999</v>
      </c>
      <c r="U181" s="107"/>
      <c r="V181" s="117">
        <f t="shared" si="43"/>
        <v>336.01070485103764</v>
      </c>
      <c r="W181" s="114">
        <f t="shared" si="50"/>
        <v>0.10882924715123311</v>
      </c>
      <c r="X181" s="107">
        <f t="shared" si="44"/>
        <v>377.04413410889754</v>
      </c>
      <c r="Y181" s="107">
        <v>354.94431781372714</v>
      </c>
    </row>
    <row r="182" spans="1:25" x14ac:dyDescent="0.2">
      <c r="A182" s="9">
        <v>1831</v>
      </c>
      <c r="B182" s="56">
        <v>1.012394281930342</v>
      </c>
      <c r="C182" s="56">
        <v>1.2023606133390645</v>
      </c>
      <c r="D182" s="57"/>
      <c r="E182" s="56">
        <v>12.97131525</v>
      </c>
      <c r="F182" s="56">
        <v>3.8629620442087269</v>
      </c>
      <c r="G182" s="55"/>
      <c r="H182" s="109">
        <v>6.5336995333333334</v>
      </c>
      <c r="I182" s="99">
        <v>0.45177903874666669</v>
      </c>
      <c r="J182" s="109">
        <v>3.4117578124999999</v>
      </c>
      <c r="K182" s="107"/>
      <c r="L182" s="9">
        <f t="shared" si="35"/>
        <v>181.21857646553121</v>
      </c>
      <c r="M182" s="9">
        <f t="shared" si="36"/>
        <v>24.04721226678129</v>
      </c>
      <c r="N182" s="9">
        <f t="shared" si="37"/>
        <v>0</v>
      </c>
      <c r="O182" s="9">
        <f t="shared" si="38"/>
        <v>38.913945749999996</v>
      </c>
      <c r="P182" s="9">
        <f t="shared" si="39"/>
        <v>5.0218506574713455</v>
      </c>
      <c r="Q182" s="9">
        <f t="shared" si="40"/>
        <v>0</v>
      </c>
      <c r="R182" s="9">
        <f t="shared" si="41"/>
        <v>8.4938093933333345</v>
      </c>
      <c r="S182" s="9">
        <f t="shared" si="41"/>
        <v>0.58731275037066677</v>
      </c>
      <c r="T182" s="9">
        <f t="shared" si="42"/>
        <v>10.2352734375</v>
      </c>
      <c r="U182" s="107"/>
      <c r="V182" s="117">
        <f t="shared" si="43"/>
        <v>268.51798072098779</v>
      </c>
      <c r="W182" s="114">
        <f t="shared" si="50"/>
        <v>0.10882924715123311</v>
      </c>
      <c r="X182" s="107">
        <f t="shared" si="44"/>
        <v>301.30923828304287</v>
      </c>
      <c r="Y182" s="107">
        <v>287.18371734748501</v>
      </c>
    </row>
    <row r="183" spans="1:25" x14ac:dyDescent="0.2">
      <c r="A183" s="9">
        <v>1832</v>
      </c>
      <c r="B183" s="56">
        <v>1.1361904319338272</v>
      </c>
      <c r="C183" s="56">
        <v>0.92135094768698145</v>
      </c>
      <c r="D183" s="57"/>
      <c r="E183" s="56">
        <v>6.2454480833333337</v>
      </c>
      <c r="F183" s="56">
        <v>3.2618028558694707</v>
      </c>
      <c r="G183" s="55"/>
      <c r="H183" s="109">
        <v>6.4376157166666665</v>
      </c>
      <c r="I183" s="99">
        <v>0.44328522935333337</v>
      </c>
      <c r="J183" s="109">
        <v>3.2074609374999996</v>
      </c>
      <c r="K183" s="107"/>
      <c r="L183" s="9">
        <f t="shared" si="35"/>
        <v>203.37808731615507</v>
      </c>
      <c r="M183" s="9">
        <f t="shared" si="36"/>
        <v>18.42701895373963</v>
      </c>
      <c r="N183" s="9">
        <f t="shared" si="37"/>
        <v>0</v>
      </c>
      <c r="O183" s="9">
        <f t="shared" si="38"/>
        <v>18.736344250000002</v>
      </c>
      <c r="P183" s="9">
        <f t="shared" si="39"/>
        <v>4.2403437126303123</v>
      </c>
      <c r="Q183" s="9">
        <f t="shared" si="40"/>
        <v>0</v>
      </c>
      <c r="R183" s="9">
        <f t="shared" si="41"/>
        <v>8.3689004316666669</v>
      </c>
      <c r="S183" s="9">
        <f t="shared" si="41"/>
        <v>0.57627079815933335</v>
      </c>
      <c r="T183" s="9">
        <f t="shared" si="42"/>
        <v>9.6223828124999997</v>
      </c>
      <c r="U183" s="107"/>
      <c r="V183" s="117">
        <f t="shared" si="43"/>
        <v>263.34934827485102</v>
      </c>
      <c r="W183" s="114">
        <f>$Q$2+$N$2</f>
        <v>0.10882924715123311</v>
      </c>
      <c r="X183" s="107">
        <f t="shared" si="44"/>
        <v>295.50941548857344</v>
      </c>
      <c r="Y183" s="107">
        <v>281.74720856515592</v>
      </c>
    </row>
    <row r="184" spans="1:25" x14ac:dyDescent="0.2">
      <c r="A184" s="9">
        <v>1833</v>
      </c>
      <c r="B184" s="56">
        <v>0.99670863612815852</v>
      </c>
      <c r="C184" s="56">
        <v>0.8017319683891353</v>
      </c>
      <c r="D184" s="56">
        <v>2.0241479937673099</v>
      </c>
      <c r="E184" s="56">
        <v>3.8433526666666666</v>
      </c>
      <c r="F184" s="56">
        <v>3.0810821417961884</v>
      </c>
      <c r="G184" s="55"/>
      <c r="H184" s="109">
        <v>6.1493642666666668</v>
      </c>
      <c r="I184" s="113">
        <v>0.15638555550446101</v>
      </c>
      <c r="J184" s="109">
        <v>3.3504687499999997</v>
      </c>
      <c r="K184" s="107"/>
      <c r="L184" s="9">
        <f t="shared" si="35"/>
        <v>178.41084586694038</v>
      </c>
      <c r="M184" s="9">
        <f t="shared" si="36"/>
        <v>16.034639367782706</v>
      </c>
      <c r="N184" s="9">
        <f t="shared" si="37"/>
        <v>10.120739968836549</v>
      </c>
      <c r="O184" s="9">
        <f t="shared" si="38"/>
        <v>11.530058</v>
      </c>
      <c r="P184" s="9">
        <f t="shared" si="39"/>
        <v>4.0054067843350447</v>
      </c>
      <c r="Q184" s="9">
        <f t="shared" si="40"/>
        <v>0</v>
      </c>
      <c r="R184" s="9">
        <f t="shared" si="41"/>
        <v>7.9941735466666675</v>
      </c>
      <c r="S184" s="9">
        <f t="shared" si="41"/>
        <v>0.20330122215579932</v>
      </c>
      <c r="T184" s="9">
        <f t="shared" si="42"/>
        <v>10.051406249999999</v>
      </c>
      <c r="U184" s="107"/>
      <c r="V184" s="117">
        <f t="shared" si="43"/>
        <v>238.35057100671713</v>
      </c>
      <c r="W184" s="114">
        <f t="shared" ref="W184:W185" si="51">$Q$2</f>
        <v>3.0181429174424502E-2</v>
      </c>
      <c r="X184" s="107">
        <f t="shared" si="44"/>
        <v>245.76820673150948</v>
      </c>
      <c r="Y184" s="107">
        <v>246.35981499199318</v>
      </c>
    </row>
    <row r="185" spans="1:25" x14ac:dyDescent="0.2">
      <c r="A185" s="9">
        <v>1834</v>
      </c>
      <c r="B185" s="56">
        <v>0.72872641673830707</v>
      </c>
      <c r="C185" s="56">
        <v>0.87340842026998755</v>
      </c>
      <c r="D185" s="57">
        <v>2.5990539328254822</v>
      </c>
      <c r="E185" s="56">
        <v>4.0355202999999999</v>
      </c>
      <c r="F185" s="56">
        <v>3.6688450384341218</v>
      </c>
      <c r="G185" s="55"/>
      <c r="H185" s="109">
        <v>6.1493642666666668</v>
      </c>
      <c r="I185" s="99">
        <v>0.41780380117333338</v>
      </c>
      <c r="J185" s="109">
        <v>2.964161931818182</v>
      </c>
      <c r="K185" s="107"/>
      <c r="L185" s="9">
        <f t="shared" si="35"/>
        <v>130.44202859615697</v>
      </c>
      <c r="M185" s="9">
        <f t="shared" si="36"/>
        <v>17.468168405399751</v>
      </c>
      <c r="N185" s="9">
        <f t="shared" si="37"/>
        <v>12.995269664127411</v>
      </c>
      <c r="O185" s="9">
        <f t="shared" si="38"/>
        <v>12.1065609</v>
      </c>
      <c r="P185" s="9">
        <f t="shared" si="39"/>
        <v>4.7694985499643581</v>
      </c>
      <c r="Q185" s="9">
        <f t="shared" si="40"/>
        <v>0</v>
      </c>
      <c r="R185" s="9">
        <f t="shared" si="41"/>
        <v>7.9941735466666675</v>
      </c>
      <c r="S185" s="9">
        <f t="shared" si="41"/>
        <v>0.54314494152533344</v>
      </c>
      <c r="T185" s="9">
        <f t="shared" si="42"/>
        <v>8.8924857954545455</v>
      </c>
      <c r="U185" s="107"/>
      <c r="V185" s="117">
        <f t="shared" si="43"/>
        <v>195.21133039929506</v>
      </c>
      <c r="W185" s="114">
        <f t="shared" si="51"/>
        <v>3.0181429174424502E-2</v>
      </c>
      <c r="X185" s="107">
        <f t="shared" si="44"/>
        <v>201.28644292005865</v>
      </c>
      <c r="Y185" s="107">
        <v>203.16043813027116</v>
      </c>
    </row>
    <row r="186" spans="1:25" x14ac:dyDescent="0.2">
      <c r="A186" s="9">
        <v>1835</v>
      </c>
      <c r="B186" s="56">
        <v>0.90213712564418636</v>
      </c>
      <c r="C186" s="56">
        <v>1.2246705023350914</v>
      </c>
      <c r="D186" s="57">
        <v>3.1739598718836546</v>
      </c>
      <c r="E186" s="56">
        <v>7.4945376999999995</v>
      </c>
      <c r="F186" s="56">
        <v>3.5395596944188585</v>
      </c>
      <c r="G186" s="109">
        <v>2.6296571588920594</v>
      </c>
      <c r="H186" s="109">
        <v>7.3984538833333335</v>
      </c>
      <c r="I186" s="99">
        <v>0.52822332328666666</v>
      </c>
      <c r="J186" s="109">
        <v>2.6354296874999998</v>
      </c>
      <c r="K186" s="107"/>
      <c r="L186" s="9">
        <f t="shared" si="35"/>
        <v>161.48254549030935</v>
      </c>
      <c r="M186" s="9">
        <f t="shared" si="36"/>
        <v>24.493410046701829</v>
      </c>
      <c r="N186" s="9">
        <f t="shared" si="37"/>
        <v>15.869799359418273</v>
      </c>
      <c r="O186" s="9">
        <f t="shared" si="38"/>
        <v>22.483613099999999</v>
      </c>
      <c r="P186" s="9">
        <f t="shared" si="39"/>
        <v>4.6014276027445167</v>
      </c>
      <c r="Q186" s="9">
        <f t="shared" si="40"/>
        <v>7.8889714766761783</v>
      </c>
      <c r="R186" s="9">
        <f t="shared" si="41"/>
        <v>9.6179900483333345</v>
      </c>
      <c r="S186" s="9">
        <f t="shared" si="41"/>
        <v>0.68669032027266663</v>
      </c>
      <c r="T186" s="9">
        <f t="shared" si="42"/>
        <v>7.9062890624999991</v>
      </c>
      <c r="U186" s="107"/>
      <c r="V186" s="117">
        <f t="shared" si="43"/>
        <v>255.03073650695612</v>
      </c>
      <c r="W186" s="119">
        <v>0</v>
      </c>
      <c r="X186" s="107">
        <f t="shared" si="44"/>
        <v>255.03073650695612</v>
      </c>
      <c r="Y186" s="107">
        <v>255.03073650695612</v>
      </c>
    </row>
    <row r="187" spans="1:25" x14ac:dyDescent="0.2">
      <c r="A187" s="9">
        <v>1836</v>
      </c>
      <c r="B187" s="56">
        <v>1.2810237650111078</v>
      </c>
      <c r="C187" s="56">
        <v>1.4942878842445222</v>
      </c>
      <c r="D187" s="57">
        <v>3.7488658109418269</v>
      </c>
      <c r="E187" s="56">
        <v>8.5283693139504031</v>
      </c>
      <c r="F187" s="56">
        <v>4.0198187997420574</v>
      </c>
      <c r="G187" s="55"/>
      <c r="H187" s="109">
        <v>8.2632082333333337</v>
      </c>
      <c r="I187" s="113">
        <v>0.28023850260661809</v>
      </c>
      <c r="J187" s="109">
        <v>2.2523730468749998</v>
      </c>
      <c r="K187" s="107"/>
      <c r="L187" s="9">
        <f t="shared" si="35"/>
        <v>229.30325393698831</v>
      </c>
      <c r="M187" s="9">
        <f t="shared" si="36"/>
        <v>29.885757684890443</v>
      </c>
      <c r="N187" s="9">
        <f t="shared" si="37"/>
        <v>18.744329054709134</v>
      </c>
      <c r="O187" s="9">
        <f t="shared" si="38"/>
        <v>25.585107941851209</v>
      </c>
      <c r="P187" s="9">
        <f t="shared" si="39"/>
        <v>5.2257644396646752</v>
      </c>
      <c r="Q187" s="9">
        <f t="shared" si="40"/>
        <v>0</v>
      </c>
      <c r="R187" s="9">
        <f t="shared" si="41"/>
        <v>10.742170703333334</v>
      </c>
      <c r="S187" s="9">
        <f t="shared" si="41"/>
        <v>0.36431005338860351</v>
      </c>
      <c r="T187" s="9">
        <f t="shared" si="42"/>
        <v>6.7571191406249991</v>
      </c>
      <c r="U187" s="107"/>
      <c r="V187" s="117">
        <f t="shared" si="43"/>
        <v>326.60781295545064</v>
      </c>
      <c r="W187" s="114">
        <f t="shared" ref="W187:W188" si="52">$Q$2</f>
        <v>3.0181429174424502E-2</v>
      </c>
      <c r="X187" s="107">
        <f t="shared" si="44"/>
        <v>336.77207550008023</v>
      </c>
      <c r="Y187" s="107">
        <v>334.48297685787065</v>
      </c>
    </row>
    <row r="188" spans="1:25" x14ac:dyDescent="0.2">
      <c r="A188" s="9">
        <v>1837</v>
      </c>
      <c r="B188" s="56">
        <v>1.4951726757812613</v>
      </c>
      <c r="C188" s="56">
        <v>1.5958690809498359</v>
      </c>
      <c r="D188" s="56">
        <v>4.3237717499999997</v>
      </c>
      <c r="E188" s="56">
        <v>9.3384923203008157</v>
      </c>
      <c r="F188" s="56">
        <v>4.184930077644001</v>
      </c>
      <c r="G188" s="55"/>
      <c r="H188" s="109">
        <v>7.1102024333333329</v>
      </c>
      <c r="I188" s="113">
        <v>0.22234749397591314</v>
      </c>
      <c r="J188" s="109">
        <v>2.0225390624999999</v>
      </c>
      <c r="K188" s="107"/>
      <c r="L188" s="9">
        <f t="shared" si="35"/>
        <v>267.63590896484578</v>
      </c>
      <c r="M188" s="9">
        <f t="shared" si="36"/>
        <v>31.917381618996718</v>
      </c>
      <c r="N188" s="9">
        <f t="shared" si="37"/>
        <v>21.618858749999998</v>
      </c>
      <c r="O188" s="9">
        <f t="shared" si="38"/>
        <v>28.015476960902447</v>
      </c>
      <c r="P188" s="9">
        <f t="shared" si="39"/>
        <v>5.4404091009372015</v>
      </c>
      <c r="Q188" s="9">
        <f t="shared" si="40"/>
        <v>0</v>
      </c>
      <c r="R188" s="9">
        <f t="shared" si="41"/>
        <v>9.2432631633333333</v>
      </c>
      <c r="S188" s="9">
        <f t="shared" si="41"/>
        <v>0.28905174216868706</v>
      </c>
      <c r="T188" s="9">
        <f t="shared" si="42"/>
        <v>6.0676171874999998</v>
      </c>
      <c r="U188" s="107"/>
      <c r="V188" s="117">
        <f t="shared" si="43"/>
        <v>370.22796748868416</v>
      </c>
      <c r="W188" s="114">
        <f t="shared" si="52"/>
        <v>3.0181429174424502E-2</v>
      </c>
      <c r="X188" s="107">
        <f t="shared" si="44"/>
        <v>381.74971961355715</v>
      </c>
      <c r="Y188" s="107">
        <v>378.08932381684792</v>
      </c>
    </row>
    <row r="189" spans="1:25" x14ac:dyDescent="0.2">
      <c r="A189" s="9">
        <v>1838</v>
      </c>
      <c r="B189" s="56">
        <v>1.5354602250599143</v>
      </c>
      <c r="C189" s="56">
        <v>1.8398538244382998</v>
      </c>
      <c r="D189" s="56">
        <v>5.0444003749999995</v>
      </c>
      <c r="E189" s="56">
        <v>6.9836071959875889</v>
      </c>
      <c r="F189" s="56">
        <v>7.0937978818977481</v>
      </c>
      <c r="G189" s="55"/>
      <c r="H189" s="109">
        <v>7.1498580020564741</v>
      </c>
      <c r="I189" s="113">
        <v>0.25229919916991805</v>
      </c>
      <c r="J189" s="109"/>
      <c r="K189" s="107"/>
      <c r="L189" s="9">
        <f t="shared" si="35"/>
        <v>274.84738028572468</v>
      </c>
      <c r="M189" s="9">
        <f t="shared" si="36"/>
        <v>36.797076488765995</v>
      </c>
      <c r="N189" s="9">
        <f t="shared" si="37"/>
        <v>25.222001874999997</v>
      </c>
      <c r="O189" s="9">
        <f t="shared" si="38"/>
        <v>20.950821587962768</v>
      </c>
      <c r="P189" s="9">
        <f t="shared" si="39"/>
        <v>9.221937246467073</v>
      </c>
      <c r="Q189" s="9">
        <f t="shared" si="40"/>
        <v>0</v>
      </c>
      <c r="R189" s="9">
        <f t="shared" si="41"/>
        <v>9.2948154026734162</v>
      </c>
      <c r="S189" s="9">
        <f t="shared" si="41"/>
        <v>0.32798895892089347</v>
      </c>
      <c r="T189" s="9">
        <f t="shared" si="42"/>
        <v>0</v>
      </c>
      <c r="U189" s="107"/>
      <c r="V189" s="117">
        <f t="shared" si="43"/>
        <v>376.6620218455148</v>
      </c>
      <c r="W189" s="114">
        <f>$T$2+$Q$2</f>
        <v>7.200736320050781E-2</v>
      </c>
      <c r="X189" s="107">
        <f t="shared" si="44"/>
        <v>405.88901992214699</v>
      </c>
      <c r="Y189" s="107">
        <v>390.80204692754739</v>
      </c>
    </row>
    <row r="190" spans="1:25" x14ac:dyDescent="0.2">
      <c r="A190" s="9">
        <v>1839</v>
      </c>
      <c r="B190" s="56">
        <v>2.5578677647130776</v>
      </c>
      <c r="C190" s="56">
        <v>2.4317779005669276</v>
      </c>
      <c r="D190" s="56">
        <v>5.7650290000000011</v>
      </c>
      <c r="E190" s="68">
        <v>10.490914631529588</v>
      </c>
      <c r="F190" s="56">
        <v>5.9227582315527236</v>
      </c>
      <c r="G190" s="55"/>
      <c r="H190" s="109">
        <v>8.155861560226354</v>
      </c>
      <c r="I190" s="113">
        <v>0.20594893706533896</v>
      </c>
      <c r="J190" s="109"/>
      <c r="K190" s="107"/>
      <c r="L190" s="9">
        <f t="shared" si="35"/>
        <v>457.85832988364092</v>
      </c>
      <c r="M190" s="9">
        <f t="shared" si="36"/>
        <v>48.635558011338553</v>
      </c>
      <c r="N190" s="9">
        <f t="shared" si="37"/>
        <v>28.825145000000006</v>
      </c>
      <c r="O190" s="9">
        <f t="shared" si="38"/>
        <v>31.472743894588763</v>
      </c>
      <c r="P190" s="9">
        <f t="shared" si="39"/>
        <v>7.6995857010185409</v>
      </c>
      <c r="Q190" s="9">
        <f t="shared" si="40"/>
        <v>0</v>
      </c>
      <c r="R190" s="9">
        <f t="shared" si="41"/>
        <v>10.602620028294261</v>
      </c>
      <c r="S190" s="9">
        <f t="shared" si="41"/>
        <v>0.26773361818494062</v>
      </c>
      <c r="T190" s="9">
        <f t="shared" si="42"/>
        <v>0</v>
      </c>
      <c r="U190" s="107"/>
      <c r="V190" s="117">
        <f t="shared" si="43"/>
        <v>585.36171613706608</v>
      </c>
      <c r="W190" s="114">
        <f t="shared" ref="W190:W202" si="53">$T$2+$Q$2</f>
        <v>7.200736320050781E-2</v>
      </c>
      <c r="X190" s="107">
        <f t="shared" si="44"/>
        <v>630.78271628952905</v>
      </c>
      <c r="Y190" s="107">
        <v>599.71279278546751</v>
      </c>
    </row>
    <row r="191" spans="1:25" x14ac:dyDescent="0.2">
      <c r="A191" s="9">
        <v>1840</v>
      </c>
      <c r="B191" s="56">
        <v>2.199881528308564</v>
      </c>
      <c r="C191" s="56">
        <v>2.0067248897141914</v>
      </c>
      <c r="D191" s="56">
        <v>5.0444003749999995</v>
      </c>
      <c r="E191" s="68">
        <v>10.022021289741035</v>
      </c>
      <c r="F191" s="56">
        <v>6.3997726345778831</v>
      </c>
      <c r="G191" s="55"/>
      <c r="H191" s="109">
        <v>7.7075967431908863</v>
      </c>
      <c r="I191" s="113">
        <v>0.16817615142142556</v>
      </c>
      <c r="J191" s="109"/>
      <c r="K191" s="107"/>
      <c r="L191" s="9">
        <f t="shared" si="35"/>
        <v>393.77879356723298</v>
      </c>
      <c r="M191" s="9">
        <f t="shared" si="36"/>
        <v>40.134497794283831</v>
      </c>
      <c r="N191" s="9">
        <f t="shared" si="37"/>
        <v>25.222001874999997</v>
      </c>
      <c r="O191" s="9">
        <f t="shared" si="38"/>
        <v>30.066063869223107</v>
      </c>
      <c r="P191" s="9">
        <f t="shared" si="39"/>
        <v>8.3197044249512491</v>
      </c>
      <c r="Q191" s="9">
        <f t="shared" si="40"/>
        <v>0</v>
      </c>
      <c r="R191" s="9">
        <f t="shared" si="41"/>
        <v>10.019875766148152</v>
      </c>
      <c r="S191" s="9">
        <f t="shared" si="41"/>
        <v>0.21862899684785322</v>
      </c>
      <c r="T191" s="9">
        <f t="shared" si="42"/>
        <v>0</v>
      </c>
      <c r="U191" s="107"/>
      <c r="V191" s="117">
        <f t="shared" si="43"/>
        <v>507.75956629368716</v>
      </c>
      <c r="W191" s="114">
        <f t="shared" si="53"/>
        <v>7.200736320050781E-2</v>
      </c>
      <c r="X191" s="107">
        <f t="shared" si="44"/>
        <v>547.15904648217247</v>
      </c>
      <c r="Y191" s="107">
        <v>522.32169450845743</v>
      </c>
    </row>
    <row r="192" spans="1:25" x14ac:dyDescent="0.2">
      <c r="A192" s="9">
        <v>1841</v>
      </c>
      <c r="B192" s="56">
        <v>1.3165459710592655</v>
      </c>
      <c r="C192" s="56">
        <v>1.4689473556631101</v>
      </c>
      <c r="D192" s="56">
        <v>3.3629335833333336</v>
      </c>
      <c r="E192" s="68">
        <v>9.4491075921921919</v>
      </c>
      <c r="F192" s="56">
        <v>4.1679310632102515</v>
      </c>
      <c r="G192" s="55"/>
      <c r="H192" s="109">
        <v>7.7398054892806085</v>
      </c>
      <c r="I192" s="113">
        <v>0.14471557143516456</v>
      </c>
      <c r="J192" s="109"/>
      <c r="K192" s="107"/>
      <c r="L192" s="9">
        <f t="shared" si="35"/>
        <v>235.66172881960853</v>
      </c>
      <c r="M192" s="9">
        <f t="shared" si="36"/>
        <v>29.3789471132622</v>
      </c>
      <c r="N192" s="9">
        <f t="shared" si="37"/>
        <v>16.814667916666668</v>
      </c>
      <c r="O192" s="9">
        <f t="shared" si="38"/>
        <v>28.347322776576576</v>
      </c>
      <c r="P192" s="9">
        <f t="shared" si="39"/>
        <v>5.4183103821733276</v>
      </c>
      <c r="Q192" s="9">
        <f t="shared" si="40"/>
        <v>0</v>
      </c>
      <c r="R192" s="9">
        <f t="shared" si="41"/>
        <v>10.061747136064792</v>
      </c>
      <c r="S192" s="9">
        <f t="shared" si="41"/>
        <v>0.18813024286571392</v>
      </c>
      <c r="T192" s="9">
        <f t="shared" si="42"/>
        <v>0</v>
      </c>
      <c r="U192" s="107"/>
      <c r="V192" s="117">
        <f t="shared" si="43"/>
        <v>325.87085438721783</v>
      </c>
      <c r="W192" s="114">
        <f t="shared" si="53"/>
        <v>7.200736320050781E-2</v>
      </c>
      <c r="X192" s="107">
        <f t="shared" si="44"/>
        <v>351.15672416442624</v>
      </c>
      <c r="Y192" s="107">
        <v>340.64403416835682</v>
      </c>
    </row>
    <row r="193" spans="1:25" x14ac:dyDescent="0.2">
      <c r="A193" s="9">
        <v>1842</v>
      </c>
      <c r="B193" s="56">
        <v>1.4032193248831613</v>
      </c>
      <c r="C193" s="56">
        <v>1.4855538000418222</v>
      </c>
      <c r="D193" s="56">
        <v>2.8825145000000005</v>
      </c>
      <c r="E193" s="68">
        <v>10.56456811547427</v>
      </c>
      <c r="F193" s="56">
        <v>4.485982660552482</v>
      </c>
      <c r="G193" s="55"/>
      <c r="H193" s="109">
        <v>6.9154829612689044</v>
      </c>
      <c r="I193" s="113">
        <v>0.22097909763925105</v>
      </c>
      <c r="J193" s="109"/>
      <c r="K193" s="107"/>
      <c r="L193" s="9">
        <f t="shared" si="35"/>
        <v>251.17625915408587</v>
      </c>
      <c r="M193" s="9">
        <f t="shared" si="36"/>
        <v>29.711076000836446</v>
      </c>
      <c r="N193" s="9">
        <f t="shared" si="37"/>
        <v>14.412572500000003</v>
      </c>
      <c r="O193" s="9">
        <f t="shared" si="38"/>
        <v>31.693704346422809</v>
      </c>
      <c r="P193" s="9">
        <f t="shared" si="39"/>
        <v>5.8317774587182267</v>
      </c>
      <c r="Q193" s="9">
        <f t="shared" si="40"/>
        <v>0</v>
      </c>
      <c r="R193" s="9">
        <f t="shared" si="41"/>
        <v>8.9901278496495767</v>
      </c>
      <c r="S193" s="9">
        <f t="shared" si="41"/>
        <v>0.2872728269310264</v>
      </c>
      <c r="T193" s="9">
        <f t="shared" si="42"/>
        <v>0</v>
      </c>
      <c r="U193" s="107"/>
      <c r="V193" s="117">
        <f t="shared" si="43"/>
        <v>342.10279013664399</v>
      </c>
      <c r="W193" s="114">
        <f t="shared" si="53"/>
        <v>7.200736320050781E-2</v>
      </c>
      <c r="X193" s="107">
        <f t="shared" si="44"/>
        <v>368.64817302484784</v>
      </c>
      <c r="Y193" s="107">
        <v>357.08702148415182</v>
      </c>
    </row>
    <row r="194" spans="1:25" x14ac:dyDescent="0.2">
      <c r="A194" s="9">
        <v>1843</v>
      </c>
      <c r="B194" s="56">
        <v>1.3313782267245986</v>
      </c>
      <c r="C194" s="56">
        <v>1.5949197239712818</v>
      </c>
      <c r="D194" s="56">
        <v>2.8825145000000005</v>
      </c>
      <c r="E194" s="68">
        <v>12.627252866568144</v>
      </c>
      <c r="F194" s="56">
        <v>4.7967585677594302</v>
      </c>
      <c r="G194" s="55"/>
      <c r="H194" s="109">
        <v>7.4575335764140265</v>
      </c>
      <c r="I194" s="113">
        <v>0.22581729352235433</v>
      </c>
      <c r="J194" s="109"/>
      <c r="K194" s="107"/>
      <c r="L194" s="9">
        <f t="shared" si="35"/>
        <v>238.31670258370315</v>
      </c>
      <c r="M194" s="9">
        <f t="shared" si="36"/>
        <v>31.898394479425637</v>
      </c>
      <c r="N194" s="9">
        <f t="shared" si="37"/>
        <v>14.412572500000003</v>
      </c>
      <c r="O194" s="9">
        <f t="shared" si="38"/>
        <v>37.881758599704433</v>
      </c>
      <c r="P194" s="9">
        <f t="shared" si="39"/>
        <v>6.2357861380872599</v>
      </c>
      <c r="Q194" s="9">
        <f t="shared" si="40"/>
        <v>0</v>
      </c>
      <c r="R194" s="9">
        <f t="shared" si="41"/>
        <v>9.6947936493382354</v>
      </c>
      <c r="S194" s="9">
        <f t="shared" si="41"/>
        <v>0.29356248157906062</v>
      </c>
      <c r="T194" s="9">
        <f t="shared" si="42"/>
        <v>0</v>
      </c>
      <c r="U194" s="107"/>
      <c r="V194" s="117">
        <f t="shared" si="43"/>
        <v>338.73357043183773</v>
      </c>
      <c r="W194" s="114">
        <f t="shared" si="53"/>
        <v>7.200736320050781E-2</v>
      </c>
      <c r="X194" s="107">
        <f t="shared" si="44"/>
        <v>365.01751953558505</v>
      </c>
      <c r="Y194" s="107">
        <v>353.92885334571434</v>
      </c>
    </row>
    <row r="195" spans="1:25" x14ac:dyDescent="0.2">
      <c r="A195" s="9">
        <v>1844</v>
      </c>
      <c r="B195" s="56">
        <v>0.9987240737549623</v>
      </c>
      <c r="C195" s="56">
        <v>1.5455531610864561</v>
      </c>
      <c r="D195" s="56">
        <v>2.8825145000000005</v>
      </c>
      <c r="E195" s="68">
        <v>9.5689876991788267</v>
      </c>
      <c r="F195" s="56">
        <v>5.3710183962940095</v>
      </c>
      <c r="G195" s="55"/>
      <c r="H195" s="109">
        <v>7.344533127211772</v>
      </c>
      <c r="I195" s="113">
        <v>0.3042806078092411</v>
      </c>
      <c r="J195" s="109"/>
      <c r="K195" s="107"/>
      <c r="L195" s="9">
        <f t="shared" si="35"/>
        <v>178.77160920213825</v>
      </c>
      <c r="M195" s="9">
        <f t="shared" si="36"/>
        <v>30.911063221729123</v>
      </c>
      <c r="N195" s="9">
        <f t="shared" si="37"/>
        <v>14.412572500000003</v>
      </c>
      <c r="O195" s="9">
        <f t="shared" si="38"/>
        <v>28.70696309753648</v>
      </c>
      <c r="P195" s="9">
        <f t="shared" si="39"/>
        <v>6.9823239151822127</v>
      </c>
      <c r="Q195" s="9">
        <f t="shared" si="40"/>
        <v>0</v>
      </c>
      <c r="R195" s="9">
        <f t="shared" si="41"/>
        <v>9.5478930653753036</v>
      </c>
      <c r="S195" s="9">
        <f t="shared" si="41"/>
        <v>0.39556479015201346</v>
      </c>
      <c r="T195" s="9">
        <f t="shared" si="42"/>
        <v>0</v>
      </c>
      <c r="U195" s="107"/>
      <c r="V195" s="117">
        <f t="shared" si="43"/>
        <v>269.72798979211342</v>
      </c>
      <c r="W195" s="114">
        <f t="shared" si="53"/>
        <v>7.200736320050781E-2</v>
      </c>
      <c r="X195" s="107">
        <f t="shared" si="44"/>
        <v>290.65746763073997</v>
      </c>
      <c r="Y195" s="107">
        <v>285.13432427235887</v>
      </c>
    </row>
    <row r="196" spans="1:25" x14ac:dyDescent="0.2">
      <c r="A196" s="9">
        <v>1845</v>
      </c>
      <c r="B196" s="56">
        <v>1.2502434983633397</v>
      </c>
      <c r="C196" s="56">
        <v>1.297296311194498</v>
      </c>
      <c r="D196" s="56">
        <v>3.8433526666666666</v>
      </c>
      <c r="E196" s="68">
        <v>8.0790924748696771</v>
      </c>
      <c r="F196" s="56">
        <v>4.1027333204395635</v>
      </c>
      <c r="G196" s="55"/>
      <c r="H196" s="109">
        <v>6.7170582755019153</v>
      </c>
      <c r="I196" s="113">
        <v>0.31883633880780815</v>
      </c>
      <c r="J196" s="109"/>
      <c r="K196" s="107"/>
      <c r="L196" s="9">
        <f t="shared" ref="L196:L264" si="54">B196*179</f>
        <v>223.79358620703781</v>
      </c>
      <c r="M196" s="9">
        <f t="shared" ref="M196:M264" si="55">C196*20</f>
        <v>25.945926223889959</v>
      </c>
      <c r="N196" s="9">
        <f t="shared" ref="N196:N264" si="56">D196*5</f>
        <v>19.216763333333333</v>
      </c>
      <c r="O196" s="9">
        <f t="shared" ref="O196:O264" si="57">E196*3</f>
        <v>24.237277424609033</v>
      </c>
      <c r="P196" s="9">
        <f t="shared" ref="P196:P264" si="58">F196*1.3</f>
        <v>5.3335533165714324</v>
      </c>
      <c r="Q196" s="9">
        <f t="shared" ref="Q196:Q264" si="59">G196*3</f>
        <v>0</v>
      </c>
      <c r="R196" s="9">
        <f t="shared" ref="R196:S260" si="60">H196*1.3</f>
        <v>8.7321757581524899</v>
      </c>
      <c r="S196" s="9">
        <f t="shared" si="60"/>
        <v>0.41448724045015062</v>
      </c>
      <c r="T196" s="9">
        <f t="shared" ref="T196:T264" si="61">J196*3</f>
        <v>0</v>
      </c>
      <c r="U196" s="107"/>
      <c r="V196" s="117">
        <f t="shared" si="43"/>
        <v>307.67376950404423</v>
      </c>
      <c r="W196" s="114">
        <f t="shared" si="53"/>
        <v>7.200736320050781E-2</v>
      </c>
      <c r="X196" s="107">
        <f t="shared" si="44"/>
        <v>331.54764090064879</v>
      </c>
      <c r="Y196" s="107">
        <v>323.29115555065846</v>
      </c>
    </row>
    <row r="197" spans="1:25" x14ac:dyDescent="0.2">
      <c r="A197" s="9">
        <v>1846</v>
      </c>
      <c r="B197" s="56">
        <v>1.3941217917176227</v>
      </c>
      <c r="C197" s="56">
        <v>1.5408063761936845</v>
      </c>
      <c r="D197" s="57">
        <v>3.4590174</v>
      </c>
      <c r="E197" s="68">
        <v>17.420953803004689</v>
      </c>
      <c r="F197" s="56">
        <v>3.5581310380175375</v>
      </c>
      <c r="G197" s="55"/>
      <c r="H197" s="109">
        <v>8.6591198634538138</v>
      </c>
      <c r="I197" s="113">
        <v>0.1651941900344803</v>
      </c>
      <c r="J197" s="109"/>
      <c r="K197" s="107"/>
      <c r="L197" s="9">
        <f t="shared" si="54"/>
        <v>249.54780071745446</v>
      </c>
      <c r="M197" s="9">
        <f t="shared" si="55"/>
        <v>30.816127523873689</v>
      </c>
      <c r="N197" s="9">
        <f t="shared" si="56"/>
        <v>17.295086999999999</v>
      </c>
      <c r="O197" s="9">
        <f t="shared" si="57"/>
        <v>52.262861409014064</v>
      </c>
      <c r="P197" s="9">
        <f t="shared" si="58"/>
        <v>4.6255703494227989</v>
      </c>
      <c r="Q197" s="9">
        <f t="shared" si="59"/>
        <v>0</v>
      </c>
      <c r="R197" s="9">
        <f t="shared" si="60"/>
        <v>11.256855822489959</v>
      </c>
      <c r="S197" s="9">
        <f t="shared" si="60"/>
        <v>0.21475244704482441</v>
      </c>
      <c r="T197" s="9">
        <f t="shared" si="61"/>
        <v>0</v>
      </c>
      <c r="U197" s="107"/>
      <c r="V197" s="117">
        <f t="shared" ref="V197:V260" si="62">SUM(L197:T197)</f>
        <v>366.01905526929983</v>
      </c>
      <c r="W197" s="114">
        <f t="shared" si="53"/>
        <v>7.200736320050781E-2</v>
      </c>
      <c r="X197" s="107">
        <f t="shared" ref="X197:X260" si="63">V197/(1-W197)</f>
        <v>394.42021494011505</v>
      </c>
      <c r="Y197" s="107">
        <v>381.84749288228289</v>
      </c>
    </row>
    <row r="198" spans="1:25" x14ac:dyDescent="0.2">
      <c r="A198" s="9">
        <v>1847</v>
      </c>
      <c r="B198" s="56">
        <v>1.4213427773911711</v>
      </c>
      <c r="C198" s="56">
        <v>2.0673708757218408</v>
      </c>
      <c r="D198" s="57">
        <v>3.0746821333333334</v>
      </c>
      <c r="E198" s="68">
        <v>13.605693496584154</v>
      </c>
      <c r="F198" s="56">
        <v>3.6031431249999999</v>
      </c>
      <c r="G198" s="55"/>
      <c r="H198" s="109">
        <v>10.50108434460698</v>
      </c>
      <c r="I198" s="113">
        <v>0.18704471888190094</v>
      </c>
      <c r="J198" s="109"/>
      <c r="K198" s="107"/>
      <c r="L198" s="9">
        <f t="shared" si="54"/>
        <v>254.42035715301964</v>
      </c>
      <c r="M198" s="9">
        <f t="shared" si="55"/>
        <v>41.347417514436813</v>
      </c>
      <c r="N198" s="9">
        <f t="shared" si="56"/>
        <v>15.373410666666667</v>
      </c>
      <c r="O198" s="9">
        <f t="shared" si="57"/>
        <v>40.817080489752463</v>
      </c>
      <c r="P198" s="9">
        <f t="shared" si="58"/>
        <v>4.6840860624999996</v>
      </c>
      <c r="Q198" s="9">
        <f t="shared" si="59"/>
        <v>0</v>
      </c>
      <c r="R198" s="9">
        <f t="shared" si="60"/>
        <v>13.651409647989075</v>
      </c>
      <c r="S198" s="9">
        <f t="shared" si="60"/>
        <v>0.24315813454647123</v>
      </c>
      <c r="T198" s="9">
        <f t="shared" si="61"/>
        <v>0</v>
      </c>
      <c r="U198" s="107"/>
      <c r="V198" s="117">
        <f t="shared" si="62"/>
        <v>370.53691966891114</v>
      </c>
      <c r="W198" s="114">
        <f t="shared" si="53"/>
        <v>7.200736320050781E-2</v>
      </c>
      <c r="X198" s="107">
        <f t="shared" si="63"/>
        <v>399.28864193021786</v>
      </c>
      <c r="Y198" s="107">
        <v>386.57640884826299</v>
      </c>
    </row>
    <row r="199" spans="1:25" x14ac:dyDescent="0.2">
      <c r="A199" s="9">
        <v>1848</v>
      </c>
      <c r="B199" s="56">
        <v>1.2343687461513924</v>
      </c>
      <c r="C199" s="56">
        <v>1.7696014080252793</v>
      </c>
      <c r="D199" s="57">
        <v>2.6903468666666668</v>
      </c>
      <c r="E199" s="68">
        <v>9.8599129772446545</v>
      </c>
      <c r="F199" s="56">
        <v>3.6031431249999999</v>
      </c>
      <c r="G199" s="55"/>
      <c r="H199" s="109">
        <v>9.0083468078087474</v>
      </c>
      <c r="I199" s="113">
        <v>0.21562920023418239</v>
      </c>
      <c r="J199" s="109"/>
      <c r="K199" s="107"/>
      <c r="L199" s="9">
        <f t="shared" si="54"/>
        <v>220.95200556109924</v>
      </c>
      <c r="M199" s="9">
        <f t="shared" si="55"/>
        <v>35.392028160505589</v>
      </c>
      <c r="N199" s="9">
        <f t="shared" si="56"/>
        <v>13.451734333333334</v>
      </c>
      <c r="O199" s="9">
        <f t="shared" si="57"/>
        <v>29.579738931733964</v>
      </c>
      <c r="P199" s="9">
        <f t="shared" si="58"/>
        <v>4.6840860624999996</v>
      </c>
      <c r="Q199" s="9">
        <f t="shared" si="59"/>
        <v>0</v>
      </c>
      <c r="R199" s="9">
        <f t="shared" si="60"/>
        <v>11.710850850151372</v>
      </c>
      <c r="S199" s="9">
        <f t="shared" si="60"/>
        <v>0.28031796030443712</v>
      </c>
      <c r="T199" s="9">
        <f t="shared" si="61"/>
        <v>0</v>
      </c>
      <c r="U199" s="107"/>
      <c r="V199" s="117">
        <f t="shared" si="62"/>
        <v>316.05076185962793</v>
      </c>
      <c r="W199" s="114">
        <f t="shared" si="53"/>
        <v>7.200736320050781E-2</v>
      </c>
      <c r="X199" s="107">
        <f t="shared" si="63"/>
        <v>340.57464394290855</v>
      </c>
      <c r="Y199" s="107">
        <v>332.30130260534861</v>
      </c>
    </row>
    <row r="200" spans="1:25" x14ac:dyDescent="0.2">
      <c r="A200" s="9">
        <v>1849</v>
      </c>
      <c r="B200" s="56">
        <v>1.2244479657254996</v>
      </c>
      <c r="C200" s="56">
        <v>1.4126431840888494</v>
      </c>
      <c r="D200" s="57">
        <v>2.3060116000000002</v>
      </c>
      <c r="E200" s="68">
        <v>11.315138852519459</v>
      </c>
      <c r="F200" s="56">
        <v>3.6031431249999999</v>
      </c>
      <c r="G200" s="55"/>
      <c r="H200" s="109">
        <v>6.2669101042382591</v>
      </c>
      <c r="I200" s="113">
        <v>0.2930845467370769</v>
      </c>
      <c r="J200" s="109"/>
      <c r="K200" s="107"/>
      <c r="L200" s="9">
        <f t="shared" si="54"/>
        <v>219.17618586486444</v>
      </c>
      <c r="M200" s="9">
        <f t="shared" si="55"/>
        <v>28.252863681776986</v>
      </c>
      <c r="N200" s="9">
        <f t="shared" si="56"/>
        <v>11.530058</v>
      </c>
      <c r="O200" s="9">
        <f t="shared" si="57"/>
        <v>33.945416557558374</v>
      </c>
      <c r="P200" s="9">
        <f t="shared" si="58"/>
        <v>4.6840860624999996</v>
      </c>
      <c r="Q200" s="9">
        <f t="shared" si="59"/>
        <v>0</v>
      </c>
      <c r="R200" s="9">
        <f t="shared" si="60"/>
        <v>8.1469831355097373</v>
      </c>
      <c r="S200" s="9">
        <f t="shared" si="60"/>
        <v>0.38100991075820001</v>
      </c>
      <c r="T200" s="9">
        <f t="shared" si="61"/>
        <v>0</v>
      </c>
      <c r="U200" s="107"/>
      <c r="V200" s="117">
        <f t="shared" si="62"/>
        <v>306.11660321296773</v>
      </c>
      <c r="W200" s="114">
        <f t="shared" si="53"/>
        <v>7.200736320050781E-2</v>
      </c>
      <c r="X200" s="107">
        <f t="shared" si="63"/>
        <v>329.86964666952326</v>
      </c>
      <c r="Y200" s="107">
        <v>322.5781955250572</v>
      </c>
    </row>
    <row r="201" spans="1:25" x14ac:dyDescent="0.2">
      <c r="A201" s="9">
        <v>1850</v>
      </c>
      <c r="B201" s="56">
        <v>1.1217685356063583</v>
      </c>
      <c r="C201" s="56">
        <v>1.4287822527242733</v>
      </c>
      <c r="D201" s="56">
        <v>1.9216763333333333</v>
      </c>
      <c r="E201" s="68">
        <v>12.436971837453944</v>
      </c>
      <c r="F201" s="56">
        <v>3.6031431249999999</v>
      </c>
      <c r="G201" s="55"/>
      <c r="H201" s="109">
        <v>6.5271958271897326</v>
      </c>
      <c r="I201" s="113">
        <v>0.16795763837280595</v>
      </c>
      <c r="J201" s="109"/>
      <c r="K201" s="107"/>
      <c r="L201" s="9">
        <f t="shared" si="54"/>
        <v>200.79656787353812</v>
      </c>
      <c r="M201" s="9">
        <f t="shared" si="55"/>
        <v>28.575645054485467</v>
      </c>
      <c r="N201" s="9">
        <f t="shared" si="56"/>
        <v>9.6083816666666664</v>
      </c>
      <c r="O201" s="9">
        <f t="shared" si="57"/>
        <v>37.310915512361831</v>
      </c>
      <c r="P201" s="9">
        <f t="shared" si="58"/>
        <v>4.6840860624999996</v>
      </c>
      <c r="Q201" s="9">
        <f t="shared" si="59"/>
        <v>0</v>
      </c>
      <c r="R201" s="9">
        <f t="shared" si="60"/>
        <v>8.485354575346653</v>
      </c>
      <c r="S201" s="9">
        <f t="shared" si="60"/>
        <v>0.21834492988464774</v>
      </c>
      <c r="T201" s="9">
        <f t="shared" si="61"/>
        <v>0</v>
      </c>
      <c r="U201" s="107"/>
      <c r="V201" s="117">
        <f t="shared" si="62"/>
        <v>289.67929567478342</v>
      </c>
      <c r="W201" s="114">
        <f t="shared" si="53"/>
        <v>7.200736320050781E-2</v>
      </c>
      <c r="X201" s="107">
        <f t="shared" si="63"/>
        <v>312.15689024628898</v>
      </c>
      <c r="Y201" s="107">
        <v>306.35193955324172</v>
      </c>
    </row>
    <row r="202" spans="1:25" x14ac:dyDescent="0.2">
      <c r="A202" s="9">
        <v>1851</v>
      </c>
      <c r="B202" s="56">
        <v>0.78778528995831731</v>
      </c>
      <c r="C202" s="56">
        <v>1.3230476192377845</v>
      </c>
      <c r="D202" s="56">
        <v>1.8928511883333334</v>
      </c>
      <c r="E202" s="68">
        <v>14.171088459229265</v>
      </c>
      <c r="F202" s="56">
        <v>3.6031431249999999</v>
      </c>
      <c r="G202" s="55"/>
      <c r="H202" s="109">
        <v>8.0045700592982652</v>
      </c>
      <c r="I202" s="99">
        <v>0.58180399324196663</v>
      </c>
      <c r="J202" s="109"/>
      <c r="K202" s="107"/>
      <c r="L202" s="9">
        <f t="shared" si="54"/>
        <v>141.0135669025388</v>
      </c>
      <c r="M202" s="9">
        <f t="shared" si="55"/>
        <v>26.460952384755689</v>
      </c>
      <c r="N202" s="9">
        <f t="shared" si="56"/>
        <v>9.4642559416666678</v>
      </c>
      <c r="O202" s="9">
        <f t="shared" si="57"/>
        <v>42.513265377687794</v>
      </c>
      <c r="P202" s="9">
        <f t="shared" si="58"/>
        <v>4.6840860624999996</v>
      </c>
      <c r="Q202" s="9">
        <f t="shared" si="59"/>
        <v>0</v>
      </c>
      <c r="R202" s="9">
        <f t="shared" si="60"/>
        <v>10.405941077087745</v>
      </c>
      <c r="S202" s="9">
        <f t="shared" si="60"/>
        <v>0.75634519121455668</v>
      </c>
      <c r="T202" s="9">
        <f t="shared" si="61"/>
        <v>0</v>
      </c>
      <c r="U202" s="107"/>
      <c r="V202" s="117">
        <f t="shared" si="62"/>
        <v>235.29841293745125</v>
      </c>
      <c r="W202" s="114">
        <f t="shared" si="53"/>
        <v>7.200736320050781E-2</v>
      </c>
      <c r="X202" s="107">
        <f t="shared" si="63"/>
        <v>253.55633612456268</v>
      </c>
      <c r="Y202" s="107">
        <v>252.18210838227833</v>
      </c>
    </row>
    <row r="203" spans="1:25" x14ac:dyDescent="0.2">
      <c r="A203" s="9">
        <v>1852</v>
      </c>
      <c r="B203" s="56">
        <v>0.70064915302981945</v>
      </c>
      <c r="C203" s="56">
        <v>1.6093974178942352</v>
      </c>
      <c r="D203" s="57">
        <v>2.3028088061111114</v>
      </c>
      <c r="E203" s="68">
        <v>17.295087000000002</v>
      </c>
      <c r="F203" s="56">
        <v>3.8433526666666666</v>
      </c>
      <c r="G203" s="109">
        <v>2.55141423810697</v>
      </c>
      <c r="H203" s="109">
        <v>7.7308396782822486</v>
      </c>
      <c r="I203" s="113">
        <v>0.38336890584858718</v>
      </c>
      <c r="J203" s="109"/>
      <c r="K203" s="107"/>
      <c r="L203" s="9">
        <f t="shared" si="54"/>
        <v>125.41619839233768</v>
      </c>
      <c r="M203" s="9">
        <f t="shared" si="55"/>
        <v>32.187948357884707</v>
      </c>
      <c r="N203" s="9">
        <f t="shared" si="56"/>
        <v>11.514044030555556</v>
      </c>
      <c r="O203" s="9">
        <f t="shared" si="57"/>
        <v>51.885261000000007</v>
      </c>
      <c r="P203" s="9">
        <f t="shared" si="58"/>
        <v>4.9963584666666669</v>
      </c>
      <c r="Q203" s="9">
        <f t="shared" si="59"/>
        <v>7.65424271432091</v>
      </c>
      <c r="R203" s="9">
        <f t="shared" si="60"/>
        <v>10.050091581766923</v>
      </c>
      <c r="S203" s="9">
        <f t="shared" si="60"/>
        <v>0.49837957760316337</v>
      </c>
      <c r="T203" s="9">
        <f t="shared" si="61"/>
        <v>0</v>
      </c>
      <c r="U203" s="107"/>
      <c r="V203" s="117">
        <f t="shared" si="62"/>
        <v>244.20252412113564</v>
      </c>
      <c r="W203" s="114">
        <f t="shared" ref="W203:W206" si="64">$T$2</f>
        <v>4.1825934026083311E-2</v>
      </c>
      <c r="X203" s="107">
        <f t="shared" si="63"/>
        <v>254.86238126568466</v>
      </c>
      <c r="Y203" s="107">
        <v>253.64302841801066</v>
      </c>
    </row>
    <row r="204" spans="1:25" x14ac:dyDescent="0.2">
      <c r="A204" s="9">
        <v>1853</v>
      </c>
      <c r="B204" s="56">
        <v>0.83101068953220514</v>
      </c>
      <c r="C204" s="56">
        <v>2.2058309396709959</v>
      </c>
      <c r="D204" s="57">
        <v>2.7127664238888891</v>
      </c>
      <c r="E204" s="68">
        <v>19.216763333333336</v>
      </c>
      <c r="F204" s="56">
        <v>4.8041908333333323</v>
      </c>
      <c r="G204" s="109">
        <v>2.4707032402177416</v>
      </c>
      <c r="H204" s="109">
        <v>8.6421986287813226</v>
      </c>
      <c r="I204" s="113">
        <v>0.29398549400595247</v>
      </c>
      <c r="J204" s="109"/>
      <c r="K204" s="107"/>
      <c r="L204" s="9">
        <f t="shared" si="54"/>
        <v>148.75091342626473</v>
      </c>
      <c r="M204" s="9">
        <f t="shared" si="55"/>
        <v>44.116618793419917</v>
      </c>
      <c r="N204" s="9">
        <f t="shared" si="56"/>
        <v>13.563832119444445</v>
      </c>
      <c r="O204" s="9">
        <f t="shared" si="57"/>
        <v>57.650290000000012</v>
      </c>
      <c r="P204" s="9">
        <f t="shared" si="58"/>
        <v>6.2454480833333319</v>
      </c>
      <c r="Q204" s="9">
        <f t="shared" si="59"/>
        <v>7.4121097206532252</v>
      </c>
      <c r="R204" s="9">
        <f t="shared" si="60"/>
        <v>11.23485821741572</v>
      </c>
      <c r="S204" s="9">
        <f t="shared" si="60"/>
        <v>0.38218114220773824</v>
      </c>
      <c r="T204" s="9">
        <f t="shared" si="61"/>
        <v>0</v>
      </c>
      <c r="U204" s="107"/>
      <c r="V204" s="117">
        <f t="shared" si="62"/>
        <v>289.3562515027391</v>
      </c>
      <c r="W204" s="114">
        <f t="shared" si="64"/>
        <v>4.1825934026083311E-2</v>
      </c>
      <c r="X204" s="107">
        <f t="shared" si="63"/>
        <v>301.98714594579303</v>
      </c>
      <c r="Y204" s="107">
        <v>299.02161494023909</v>
      </c>
    </row>
    <row r="205" spans="1:25" x14ac:dyDescent="0.2">
      <c r="A205" s="9">
        <v>1854</v>
      </c>
      <c r="B205" s="56">
        <v>1.5693933091803416</v>
      </c>
      <c r="C205" s="68">
        <v>1.4092511347741843</v>
      </c>
      <c r="D205" s="56">
        <v>3.1227240416666668</v>
      </c>
      <c r="E205" s="68">
        <v>12.250686625000002</v>
      </c>
      <c r="F205" s="56">
        <v>6.2454480833333337</v>
      </c>
      <c r="G205" s="109">
        <v>2.5886605590222649</v>
      </c>
      <c r="H205" s="109">
        <v>8.43017355409836</v>
      </c>
      <c r="I205" s="99">
        <v>0.619427342182295</v>
      </c>
      <c r="J205" s="109"/>
      <c r="K205" s="107"/>
      <c r="L205" s="9">
        <f t="shared" si="54"/>
        <v>280.92140234328116</v>
      </c>
      <c r="M205" s="9">
        <f t="shared" si="55"/>
        <v>28.185022695483685</v>
      </c>
      <c r="N205" s="9">
        <f t="shared" si="56"/>
        <v>15.613620208333334</v>
      </c>
      <c r="O205" s="9">
        <f t="shared" si="57"/>
        <v>36.752059875000008</v>
      </c>
      <c r="P205" s="9">
        <f t="shared" si="58"/>
        <v>8.1190825083333333</v>
      </c>
      <c r="Q205" s="9">
        <f t="shared" si="59"/>
        <v>7.7659816770667947</v>
      </c>
      <c r="R205" s="9">
        <f t="shared" si="60"/>
        <v>10.959225620327869</v>
      </c>
      <c r="S205" s="9">
        <f t="shared" si="60"/>
        <v>0.80525554483698358</v>
      </c>
      <c r="T205" s="9">
        <f t="shared" si="61"/>
        <v>0</v>
      </c>
      <c r="U205" s="107"/>
      <c r="V205" s="117">
        <f t="shared" si="62"/>
        <v>389.12165047266313</v>
      </c>
      <c r="W205" s="114">
        <f t="shared" si="64"/>
        <v>4.1825934026083311E-2</v>
      </c>
      <c r="X205" s="107">
        <f t="shared" si="63"/>
        <v>406.10747492643554</v>
      </c>
      <c r="Y205" s="107">
        <v>399.01187305078815</v>
      </c>
    </row>
    <row r="206" spans="1:25" x14ac:dyDescent="0.2">
      <c r="A206" s="9">
        <v>1855</v>
      </c>
      <c r="B206" s="56">
        <v>1.4412795696554155</v>
      </c>
      <c r="C206" s="68">
        <v>1.3612084824523369</v>
      </c>
      <c r="D206" s="56">
        <v>2.8825145000000005</v>
      </c>
      <c r="E206" s="68">
        <v>13.451734333333334</v>
      </c>
      <c r="F206" s="56">
        <v>6.7258671666666672</v>
      </c>
      <c r="G206" s="109">
        <v>2.217941441955412</v>
      </c>
      <c r="H206" s="109">
        <v>9.3019686504751853</v>
      </c>
      <c r="I206" s="99">
        <v>0.69649402870200638</v>
      </c>
      <c r="J206" s="109"/>
      <c r="K206" s="107"/>
      <c r="L206" s="9">
        <f t="shared" si="54"/>
        <v>257.98904296831938</v>
      </c>
      <c r="M206" s="9">
        <f t="shared" si="55"/>
        <v>27.22416964904674</v>
      </c>
      <c r="N206" s="9">
        <f t="shared" si="56"/>
        <v>14.412572500000003</v>
      </c>
      <c r="O206" s="9">
        <f t="shared" si="57"/>
        <v>40.355203000000003</v>
      </c>
      <c r="P206" s="9">
        <f t="shared" si="58"/>
        <v>8.743627316666668</v>
      </c>
      <c r="Q206" s="9">
        <f t="shared" si="59"/>
        <v>6.6538243258662355</v>
      </c>
      <c r="R206" s="9">
        <f t="shared" si="60"/>
        <v>12.092559245617741</v>
      </c>
      <c r="S206" s="9">
        <f t="shared" si="60"/>
        <v>0.90544223731260831</v>
      </c>
      <c r="T206" s="9">
        <f t="shared" si="61"/>
        <v>0</v>
      </c>
      <c r="U206" s="107"/>
      <c r="V206" s="117">
        <f t="shared" si="62"/>
        <v>368.37644124282946</v>
      </c>
      <c r="W206" s="114">
        <f t="shared" si="64"/>
        <v>4.1825934026083311E-2</v>
      </c>
      <c r="X206" s="107">
        <f t="shared" si="63"/>
        <v>384.45670189205202</v>
      </c>
      <c r="Y206" s="107">
        <v>378.49152296157945</v>
      </c>
    </row>
    <row r="207" spans="1:25" x14ac:dyDescent="0.2">
      <c r="A207" s="9">
        <v>1856</v>
      </c>
      <c r="B207" s="56">
        <v>1.7295354835864989</v>
      </c>
      <c r="C207" s="68">
        <v>1.4893222219772626</v>
      </c>
      <c r="D207" s="56">
        <v>3.1227240416666668</v>
      </c>
      <c r="E207" s="68">
        <v>14.892991583333336</v>
      </c>
      <c r="F207" s="56">
        <v>6.9660767083333335</v>
      </c>
      <c r="G207" s="55">
        <f>G206+($G$208-$G$206)/2</f>
        <v>1.8655661955383236</v>
      </c>
      <c r="H207" s="55">
        <f>H206+($H$208-$H$206)/2</f>
        <v>10.288429334147345</v>
      </c>
      <c r="I207" s="55">
        <f>I206+($I$208-$I$206)/2</f>
        <v>0.51282655393108745</v>
      </c>
      <c r="J207" s="109"/>
      <c r="K207" s="107"/>
      <c r="L207" s="9">
        <f t="shared" si="54"/>
        <v>309.58685156198328</v>
      </c>
      <c r="M207" s="9">
        <f t="shared" si="55"/>
        <v>29.786444439545253</v>
      </c>
      <c r="N207" s="9">
        <f t="shared" si="56"/>
        <v>15.613620208333334</v>
      </c>
      <c r="O207" s="9">
        <f t="shared" si="57"/>
        <v>44.678974750000009</v>
      </c>
      <c r="P207" s="9">
        <f t="shared" si="58"/>
        <v>9.0558997208333345</v>
      </c>
      <c r="Q207" s="9">
        <f t="shared" si="59"/>
        <v>5.5966985866149708</v>
      </c>
      <c r="R207" s="9">
        <f t="shared" si="60"/>
        <v>13.37495813439155</v>
      </c>
      <c r="S207" s="9">
        <f t="shared" si="60"/>
        <v>0.66667452011041373</v>
      </c>
      <c r="T207" s="9">
        <f t="shared" si="61"/>
        <v>0</v>
      </c>
      <c r="U207" s="107"/>
      <c r="V207" s="117">
        <f t="shared" si="62"/>
        <v>428.36012192181215</v>
      </c>
      <c r="W207" s="114">
        <f>$T$2</f>
        <v>4.1825934026083311E-2</v>
      </c>
      <c r="X207" s="107">
        <f t="shared" si="63"/>
        <v>447.05877265255992</v>
      </c>
      <c r="Y207" s="107">
        <v>438.70006278118717</v>
      </c>
    </row>
    <row r="208" spans="1:25" x14ac:dyDescent="0.2">
      <c r="A208" s="9">
        <v>1857</v>
      </c>
      <c r="B208" s="56">
        <v>1.798930425829167</v>
      </c>
      <c r="C208" s="43">
        <v>1.6361192151829069</v>
      </c>
      <c r="D208" s="56">
        <v>3.3629335833333336</v>
      </c>
      <c r="E208" s="68">
        <v>15.133201125000001</v>
      </c>
      <c r="F208" s="56">
        <v>11.770267541666668</v>
      </c>
      <c r="G208" s="109">
        <v>1.5131909491212352</v>
      </c>
      <c r="H208" s="109">
        <v>11.274890017819505</v>
      </c>
      <c r="I208" s="113">
        <v>0.32915907916016846</v>
      </c>
      <c r="J208" s="109">
        <v>3.5215999999999998</v>
      </c>
      <c r="K208" s="107"/>
      <c r="L208" s="9">
        <f t="shared" si="54"/>
        <v>322.00854622342086</v>
      </c>
      <c r="M208" s="9">
        <f t="shared" si="55"/>
        <v>32.722384303658139</v>
      </c>
      <c r="N208" s="9">
        <f t="shared" si="56"/>
        <v>16.814667916666668</v>
      </c>
      <c r="O208" s="9">
        <f t="shared" si="57"/>
        <v>45.399603375000005</v>
      </c>
      <c r="P208" s="9">
        <f t="shared" si="58"/>
        <v>15.301347804166669</v>
      </c>
      <c r="Q208" s="9">
        <f t="shared" si="59"/>
        <v>4.539572847363706</v>
      </c>
      <c r="R208" s="9">
        <f t="shared" si="60"/>
        <v>14.657357023165357</v>
      </c>
      <c r="S208" s="9">
        <f t="shared" si="60"/>
        <v>0.42790680290821903</v>
      </c>
      <c r="T208" s="9">
        <f t="shared" si="61"/>
        <v>10.5648</v>
      </c>
      <c r="U208" s="107"/>
      <c r="V208" s="117">
        <f t="shared" si="62"/>
        <v>462.43618629634966</v>
      </c>
      <c r="W208" s="114">
        <v>0</v>
      </c>
      <c r="X208" s="107">
        <f t="shared" si="63"/>
        <v>462.43618629634966</v>
      </c>
      <c r="Y208" s="107">
        <v>462.43618629634966</v>
      </c>
    </row>
    <row r="209" spans="1:25" x14ac:dyDescent="0.2">
      <c r="A209" s="9">
        <v>1858</v>
      </c>
      <c r="B209" s="56">
        <v>1.8683253680718352</v>
      </c>
      <c r="C209" s="43">
        <v>1.7829162083885512</v>
      </c>
      <c r="D209" s="57">
        <v>4.8041908333333332</v>
      </c>
      <c r="E209" s="43">
        <v>15.493515437500001</v>
      </c>
      <c r="F209" s="57">
        <f>F208+($F$210-$F$208)/2</f>
        <v>10.569219833333333</v>
      </c>
      <c r="G209" s="55">
        <f>G208+($G$210-$G$208)/2</f>
        <v>1.6902424734945194</v>
      </c>
      <c r="H209" s="55">
        <f>H208+($H$211-$H$208)/3</f>
        <v>10.602982913961599</v>
      </c>
      <c r="I209" s="55">
        <f>I208+($I$211-$I$208)/3</f>
        <v>0.45034289065082139</v>
      </c>
      <c r="J209" s="109">
        <v>5.1188000000000002</v>
      </c>
      <c r="K209" s="107"/>
      <c r="L209" s="9">
        <f t="shared" si="54"/>
        <v>334.43024088485851</v>
      </c>
      <c r="M209" s="9">
        <f t="shared" si="55"/>
        <v>35.658324167771028</v>
      </c>
      <c r="N209" s="9">
        <f t="shared" si="56"/>
        <v>24.020954166666666</v>
      </c>
      <c r="O209" s="9">
        <f t="shared" si="57"/>
        <v>46.480546312500003</v>
      </c>
      <c r="P209" s="9">
        <f t="shared" si="58"/>
        <v>13.739985783333333</v>
      </c>
      <c r="Q209" s="9">
        <f t="shared" si="59"/>
        <v>5.070727420483558</v>
      </c>
      <c r="R209" s="9">
        <f t="shared" si="60"/>
        <v>13.783877788150079</v>
      </c>
      <c r="S209" s="9">
        <f t="shared" si="60"/>
        <v>0.58544575784606778</v>
      </c>
      <c r="T209" s="9">
        <f t="shared" si="61"/>
        <v>15.356400000000001</v>
      </c>
      <c r="U209" s="107"/>
      <c r="V209" s="117">
        <f t="shared" si="62"/>
        <v>489.12650228160919</v>
      </c>
      <c r="W209" s="114">
        <v>0</v>
      </c>
      <c r="X209" s="107">
        <f t="shared" si="63"/>
        <v>489.12650228160919</v>
      </c>
      <c r="Y209" s="107">
        <v>489.12650228160919</v>
      </c>
    </row>
    <row r="210" spans="1:25" x14ac:dyDescent="0.2">
      <c r="A210" s="9">
        <v>1859</v>
      </c>
      <c r="B210" s="56">
        <v>1.9377203103145033</v>
      </c>
      <c r="C210" s="68">
        <v>1.9297132015941953</v>
      </c>
      <c r="D210" s="56">
        <v>6.2454480833333337</v>
      </c>
      <c r="E210" s="68">
        <v>15.853829750000001</v>
      </c>
      <c r="F210" s="56">
        <v>9.3681721249999992</v>
      </c>
      <c r="G210" s="109">
        <v>1.8672939978678036</v>
      </c>
      <c r="H210" s="55">
        <f>H209+($H$211-$H$208)/3</f>
        <v>9.9310758101036924</v>
      </c>
      <c r="I210" s="55">
        <f>I209+($I$211-$I$208)/3</f>
        <v>0.57152670214147439</v>
      </c>
      <c r="J210" s="109">
        <v>4.3322000000000003</v>
      </c>
      <c r="K210" s="107"/>
      <c r="L210" s="9">
        <f t="shared" si="54"/>
        <v>346.85193554629609</v>
      </c>
      <c r="M210" s="9">
        <f t="shared" si="55"/>
        <v>38.59426403188391</v>
      </c>
      <c r="N210" s="9">
        <f t="shared" si="56"/>
        <v>31.227240416666667</v>
      </c>
      <c r="O210" s="9">
        <f t="shared" si="57"/>
        <v>47.561489250000001</v>
      </c>
      <c r="P210" s="9">
        <f t="shared" si="58"/>
        <v>12.178623762499999</v>
      </c>
      <c r="Q210" s="9">
        <f t="shared" si="59"/>
        <v>5.6018819936034108</v>
      </c>
      <c r="R210" s="9">
        <f t="shared" si="60"/>
        <v>12.910398553134801</v>
      </c>
      <c r="S210" s="9">
        <f t="shared" si="60"/>
        <v>0.74298471278391676</v>
      </c>
      <c r="T210" s="9">
        <f t="shared" si="61"/>
        <v>12.996600000000001</v>
      </c>
      <c r="U210" s="107"/>
      <c r="V210" s="117">
        <f t="shared" si="62"/>
        <v>508.66541826686887</v>
      </c>
      <c r="W210" s="114">
        <v>0</v>
      </c>
      <c r="X210" s="107">
        <f t="shared" si="63"/>
        <v>508.66541826686887</v>
      </c>
      <c r="Y210" s="107">
        <v>508.66541826686887</v>
      </c>
    </row>
    <row r="211" spans="1:25" x14ac:dyDescent="0.2">
      <c r="A211" s="9">
        <v>1860</v>
      </c>
      <c r="B211" s="56">
        <v>1.8256207882301934</v>
      </c>
      <c r="C211" s="68">
        <v>1.9857629626363507</v>
      </c>
      <c r="D211" s="56">
        <v>6.0052385416666674</v>
      </c>
      <c r="E211" s="68">
        <v>16.574458374999999</v>
      </c>
      <c r="F211" s="57">
        <f>F210+($F$212-$F$210)/2</f>
        <v>9.0078578124999993</v>
      </c>
      <c r="G211" s="55">
        <f>G210+($G$212-$G$210)/2</f>
        <v>1.9017705379119556</v>
      </c>
      <c r="H211" s="109">
        <v>9.2591687062457844</v>
      </c>
      <c r="I211" s="99">
        <v>0.69271051363212732</v>
      </c>
      <c r="J211" s="109">
        <v>5.2521000000000004</v>
      </c>
      <c r="K211" s="107"/>
      <c r="L211" s="9">
        <f t="shared" si="54"/>
        <v>326.7861210932046</v>
      </c>
      <c r="M211" s="9">
        <f t="shared" si="55"/>
        <v>39.715259252727016</v>
      </c>
      <c r="N211" s="9">
        <f t="shared" si="56"/>
        <v>30.026192708333337</v>
      </c>
      <c r="O211" s="9">
        <f t="shared" si="57"/>
        <v>49.723375124999997</v>
      </c>
      <c r="P211" s="9">
        <f t="shared" si="58"/>
        <v>11.710215156249999</v>
      </c>
      <c r="Q211" s="9">
        <f t="shared" si="59"/>
        <v>5.7053116137358666</v>
      </c>
      <c r="R211" s="9">
        <f t="shared" si="60"/>
        <v>12.036919318119519</v>
      </c>
      <c r="S211" s="9">
        <f t="shared" si="60"/>
        <v>0.90052366772176551</v>
      </c>
      <c r="T211" s="9">
        <f t="shared" si="61"/>
        <v>15.756300000000001</v>
      </c>
      <c r="U211" s="107"/>
      <c r="V211" s="117">
        <f t="shared" si="62"/>
        <v>492.36021793509218</v>
      </c>
      <c r="W211" s="114">
        <v>0</v>
      </c>
      <c r="X211" s="107">
        <f t="shared" si="63"/>
        <v>492.36021793509218</v>
      </c>
      <c r="Y211" s="107">
        <v>492.48384615680948</v>
      </c>
    </row>
    <row r="212" spans="1:25" x14ac:dyDescent="0.2">
      <c r="A212" s="9">
        <v>1861</v>
      </c>
      <c r="B212" s="56">
        <v>1.9217060928738876</v>
      </c>
      <c r="C212" s="68">
        <v>1.777578135908346</v>
      </c>
      <c r="D212" s="56">
        <v>6.0052385416666674</v>
      </c>
      <c r="E212" s="68">
        <v>19.456972875000002</v>
      </c>
      <c r="F212" s="56">
        <v>8.6475434999999994</v>
      </c>
      <c r="G212" s="109">
        <v>1.9362470779561076</v>
      </c>
      <c r="H212" s="55">
        <f>H211+($H$214-$H$211)/3</f>
        <v>9.0864788074449354</v>
      </c>
      <c r="I212" s="55">
        <f>I211+($I$214-$I$211)/3</f>
        <v>0.67744472657813226</v>
      </c>
      <c r="J212" s="109">
        <v>4.3861999999999997</v>
      </c>
      <c r="K212" s="107"/>
      <c r="L212" s="9">
        <f t="shared" si="54"/>
        <v>343.98539062442586</v>
      </c>
      <c r="M212" s="9">
        <f t="shared" si="55"/>
        <v>35.55156271816692</v>
      </c>
      <c r="N212" s="9">
        <f t="shared" si="56"/>
        <v>30.026192708333337</v>
      </c>
      <c r="O212" s="9">
        <f t="shared" si="57"/>
        <v>58.370918625000002</v>
      </c>
      <c r="P212" s="9">
        <f t="shared" si="58"/>
        <v>11.24180655</v>
      </c>
      <c r="Q212" s="9">
        <f t="shared" si="59"/>
        <v>5.8087412338683233</v>
      </c>
      <c r="R212" s="9">
        <f t="shared" si="60"/>
        <v>11.812422449678417</v>
      </c>
      <c r="S212" s="9">
        <f t="shared" si="60"/>
        <v>0.88067814455157201</v>
      </c>
      <c r="T212" s="9">
        <f t="shared" si="61"/>
        <v>13.1586</v>
      </c>
      <c r="U212" s="107"/>
      <c r="V212" s="117">
        <f t="shared" si="62"/>
        <v>510.83631305402434</v>
      </c>
      <c r="W212" s="114">
        <v>0</v>
      </c>
      <c r="X212" s="107">
        <f t="shared" si="63"/>
        <v>510.83631305402434</v>
      </c>
      <c r="Y212" s="107">
        <v>510.83631305402434</v>
      </c>
    </row>
    <row r="213" spans="1:25" x14ac:dyDescent="0.2">
      <c r="A213" s="9">
        <v>1862</v>
      </c>
      <c r="B213" s="56">
        <v>2.6583600951422111</v>
      </c>
      <c r="C213" s="68">
        <v>2.1138767021612765</v>
      </c>
      <c r="D213" s="56">
        <v>6.2454480833333337</v>
      </c>
      <c r="E213" s="68">
        <v>21.859068291666667</v>
      </c>
      <c r="F213" s="56">
        <v>8.6475434999999994</v>
      </c>
      <c r="G213" s="109">
        <v>2.27216556133394</v>
      </c>
      <c r="H213" s="55">
        <f>H212+($H$214-$H$211)/3</f>
        <v>8.9137889086440865</v>
      </c>
      <c r="I213" s="55">
        <f>I212+($I$214-$I$211)/3</f>
        <v>0.6621789395241372</v>
      </c>
      <c r="J213" s="109">
        <v>3.47</v>
      </c>
      <c r="K213" s="107"/>
      <c r="L213" s="9">
        <f t="shared" si="54"/>
        <v>475.84645703045578</v>
      </c>
      <c r="M213" s="9">
        <f t="shared" si="55"/>
        <v>42.277534043225529</v>
      </c>
      <c r="N213" s="9">
        <f t="shared" si="56"/>
        <v>31.227240416666667</v>
      </c>
      <c r="O213" s="9">
        <f t="shared" si="57"/>
        <v>65.577204875000007</v>
      </c>
      <c r="P213" s="9">
        <f t="shared" si="58"/>
        <v>11.24180655</v>
      </c>
      <c r="Q213" s="9">
        <f t="shared" si="59"/>
        <v>6.8164966840018195</v>
      </c>
      <c r="R213" s="9">
        <f t="shared" si="60"/>
        <v>11.587925581237313</v>
      </c>
      <c r="S213" s="9">
        <f t="shared" si="60"/>
        <v>0.86083262138137839</v>
      </c>
      <c r="T213" s="9">
        <f t="shared" si="61"/>
        <v>10.41</v>
      </c>
      <c r="U213" s="107"/>
      <c r="V213" s="117">
        <f t="shared" si="62"/>
        <v>655.84549780196835</v>
      </c>
      <c r="W213" s="114">
        <v>0</v>
      </c>
      <c r="X213" s="107">
        <f t="shared" si="63"/>
        <v>655.84549780196835</v>
      </c>
      <c r="Y213" s="107">
        <v>655.84549780196835</v>
      </c>
    </row>
    <row r="214" spans="1:25" x14ac:dyDescent="0.2">
      <c r="A214" s="9">
        <v>1863</v>
      </c>
      <c r="B214" s="56">
        <v>2.2900330940080491</v>
      </c>
      <c r="C214" s="68">
        <v>2.2580046591268181</v>
      </c>
      <c r="D214" s="56">
        <v>5.524819458333333</v>
      </c>
      <c r="E214" s="68">
        <v>17.775506083333333</v>
      </c>
      <c r="F214" s="56">
        <v>8.6475434999999994</v>
      </c>
      <c r="G214" s="109">
        <v>2.6002057137077399</v>
      </c>
      <c r="H214" s="109">
        <v>8.7410990098432375</v>
      </c>
      <c r="I214" s="99">
        <v>0.64691315247014225</v>
      </c>
      <c r="J214" s="109">
        <v>4.1521999999999997</v>
      </c>
      <c r="K214" s="107"/>
      <c r="L214" s="9">
        <f t="shared" si="54"/>
        <v>409.91592382744079</v>
      </c>
      <c r="M214" s="9">
        <f t="shared" si="55"/>
        <v>45.160093182536365</v>
      </c>
      <c r="N214" s="9">
        <f t="shared" si="56"/>
        <v>27.624097291666665</v>
      </c>
      <c r="O214" s="9">
        <f t="shared" si="57"/>
        <v>53.326518249999999</v>
      </c>
      <c r="P214" s="9">
        <f t="shared" si="58"/>
        <v>11.24180655</v>
      </c>
      <c r="Q214" s="9">
        <f t="shared" si="59"/>
        <v>7.8006171411232197</v>
      </c>
      <c r="R214" s="9">
        <f t="shared" si="60"/>
        <v>11.363428712796209</v>
      </c>
      <c r="S214" s="9">
        <f t="shared" si="60"/>
        <v>0.840987098211185</v>
      </c>
      <c r="T214" s="9">
        <f t="shared" si="61"/>
        <v>12.456599999999998</v>
      </c>
      <c r="U214" s="107"/>
      <c r="V214" s="117">
        <f t="shared" si="62"/>
        <v>579.73007205377439</v>
      </c>
      <c r="W214" s="114">
        <v>0</v>
      </c>
      <c r="X214" s="107">
        <f t="shared" si="63"/>
        <v>579.73007205377439</v>
      </c>
      <c r="Y214" s="107">
        <v>579.73007205377439</v>
      </c>
    </row>
    <row r="215" spans="1:25" x14ac:dyDescent="0.2">
      <c r="A215" s="9">
        <v>1864</v>
      </c>
      <c r="B215" s="56">
        <v>1.6334501789428046</v>
      </c>
      <c r="C215" s="68">
        <v>1.7455497010271144</v>
      </c>
      <c r="D215" s="56">
        <v>4.3237717499999997</v>
      </c>
      <c r="E215" s="68">
        <v>15.253305895833334</v>
      </c>
      <c r="F215" s="56">
        <v>7.6867053333333333</v>
      </c>
      <c r="G215" s="109">
        <v>3.0550893674416826</v>
      </c>
      <c r="H215" s="109">
        <v>7.596938094735286</v>
      </c>
      <c r="I215" s="99">
        <v>0.54576932757459928</v>
      </c>
      <c r="J215" s="109">
        <v>4.2769000000000004</v>
      </c>
      <c r="K215" s="107"/>
      <c r="L215" s="9">
        <f t="shared" si="54"/>
        <v>292.38758203076202</v>
      </c>
      <c r="M215" s="9">
        <f t="shared" si="55"/>
        <v>34.91099402054229</v>
      </c>
      <c r="N215" s="9">
        <f t="shared" si="56"/>
        <v>21.618858749999998</v>
      </c>
      <c r="O215" s="9">
        <f t="shared" si="57"/>
        <v>45.7599176875</v>
      </c>
      <c r="P215" s="9">
        <f t="shared" si="58"/>
        <v>9.9927169333333339</v>
      </c>
      <c r="Q215" s="9">
        <f t="shared" si="59"/>
        <v>9.1652681023250473</v>
      </c>
      <c r="R215" s="9">
        <f t="shared" si="60"/>
        <v>9.8760195231558718</v>
      </c>
      <c r="S215" s="9">
        <f t="shared" si="60"/>
        <v>0.70950012584697908</v>
      </c>
      <c r="T215" s="9">
        <f t="shared" si="61"/>
        <v>12.8307</v>
      </c>
      <c r="U215" s="107"/>
      <c r="V215" s="117">
        <f t="shared" si="62"/>
        <v>437.25155717346553</v>
      </c>
      <c r="W215" s="114">
        <v>0</v>
      </c>
      <c r="X215" s="107">
        <f t="shared" si="63"/>
        <v>437.25155717346553</v>
      </c>
      <c r="Y215" s="107">
        <v>437.25155717346553</v>
      </c>
    </row>
    <row r="216" spans="1:25" x14ac:dyDescent="0.2">
      <c r="A216" s="9">
        <v>1865</v>
      </c>
      <c r="B216" s="56">
        <v>2.0658340498394292</v>
      </c>
      <c r="C216" s="68">
        <v>1.777578135908346</v>
      </c>
      <c r="D216" s="56">
        <v>4.8041908333333323</v>
      </c>
      <c r="E216" s="68">
        <v>17.775506083333333</v>
      </c>
      <c r="F216" s="56">
        <v>7.6867053333333333</v>
      </c>
      <c r="G216" s="109">
        <v>2.6687904841586234</v>
      </c>
      <c r="H216" s="109">
        <v>7.5192251816546003</v>
      </c>
      <c r="I216" s="99">
        <v>0.53889950605826664</v>
      </c>
      <c r="J216" s="109">
        <v>4.1729000000000003</v>
      </c>
      <c r="K216" s="107"/>
      <c r="L216" s="9">
        <f t="shared" si="54"/>
        <v>369.78429492125781</v>
      </c>
      <c r="M216" s="9">
        <f t="shared" si="55"/>
        <v>35.55156271816692</v>
      </c>
      <c r="N216" s="9">
        <f t="shared" si="56"/>
        <v>24.020954166666662</v>
      </c>
      <c r="O216" s="9">
        <f t="shared" si="57"/>
        <v>53.326518249999999</v>
      </c>
      <c r="P216" s="9">
        <f t="shared" si="58"/>
        <v>9.9927169333333339</v>
      </c>
      <c r="Q216" s="9">
        <f t="shared" si="59"/>
        <v>8.0063714524758698</v>
      </c>
      <c r="R216" s="9">
        <f t="shared" si="60"/>
        <v>9.7749927361509812</v>
      </c>
      <c r="S216" s="9">
        <f t="shared" si="60"/>
        <v>0.7005693578757467</v>
      </c>
      <c r="T216" s="9">
        <f t="shared" si="61"/>
        <v>12.518700000000001</v>
      </c>
      <c r="U216" s="107"/>
      <c r="V216" s="117">
        <f t="shared" si="62"/>
        <v>523.67668053592729</v>
      </c>
      <c r="W216" s="114">
        <v>0</v>
      </c>
      <c r="X216" s="107">
        <f t="shared" si="63"/>
        <v>523.67668053592729</v>
      </c>
      <c r="Y216" s="107">
        <v>523.67668053592729</v>
      </c>
    </row>
    <row r="217" spans="1:25" x14ac:dyDescent="0.2">
      <c r="A217" s="9">
        <v>1866</v>
      </c>
      <c r="B217" s="56">
        <v>2.0658340498394292</v>
      </c>
      <c r="C217" s="68">
        <v>1.9537345277551188</v>
      </c>
      <c r="D217" s="56">
        <v>4.203666979166667</v>
      </c>
      <c r="E217" s="68">
        <v>15.133201125000001</v>
      </c>
      <c r="F217" s="56">
        <v>6.485657625</v>
      </c>
      <c r="G217" s="109">
        <v>2.8487689347428535</v>
      </c>
      <c r="H217" s="55">
        <f>H216+($H$218-$H$216)/2</f>
        <v>7.7709887583982908</v>
      </c>
      <c r="I217" s="55">
        <f>I216+($I$218-$I$216)/2</f>
        <v>0.56115540624240889</v>
      </c>
      <c r="J217" s="109">
        <v>3.8346</v>
      </c>
      <c r="K217" s="107"/>
      <c r="L217" s="9">
        <f t="shared" si="54"/>
        <v>369.78429492125781</v>
      </c>
      <c r="M217" s="9">
        <f t="shared" si="55"/>
        <v>39.074690555102379</v>
      </c>
      <c r="N217" s="9">
        <f t="shared" si="56"/>
        <v>21.018334895833334</v>
      </c>
      <c r="O217" s="9">
        <f t="shared" si="57"/>
        <v>45.399603375000005</v>
      </c>
      <c r="P217" s="9">
        <f t="shared" si="58"/>
        <v>8.4313549124999998</v>
      </c>
      <c r="Q217" s="9">
        <f t="shared" si="59"/>
        <v>8.5463068042285606</v>
      </c>
      <c r="R217" s="9">
        <f t="shared" si="60"/>
        <v>10.102285385917778</v>
      </c>
      <c r="S217" s="9">
        <f t="shared" si="60"/>
        <v>0.72950202811513154</v>
      </c>
      <c r="T217" s="9">
        <f t="shared" si="61"/>
        <v>11.5038</v>
      </c>
      <c r="U217" s="107"/>
      <c r="V217" s="117">
        <f t="shared" si="62"/>
        <v>514.59017287795496</v>
      </c>
      <c r="W217" s="114">
        <v>0</v>
      </c>
      <c r="X217" s="107">
        <f t="shared" si="63"/>
        <v>514.59017287795496</v>
      </c>
      <c r="Y217" s="107">
        <v>514.59017287795496</v>
      </c>
    </row>
    <row r="218" spans="1:25" x14ac:dyDescent="0.2">
      <c r="A218" s="9">
        <v>1867</v>
      </c>
      <c r="B218" s="56">
        <v>1.5693933091803416</v>
      </c>
      <c r="C218" s="68">
        <v>1.6334501789428046</v>
      </c>
      <c r="D218" s="56">
        <v>4.0835622083333334</v>
      </c>
      <c r="E218" s="68">
        <v>13.091420020833334</v>
      </c>
      <c r="F218" s="56">
        <v>6.7258671666666672</v>
      </c>
      <c r="G218" s="109">
        <v>2.2395562900946469</v>
      </c>
      <c r="H218" s="109">
        <v>8.0227523351419805</v>
      </c>
      <c r="I218" s="99">
        <v>0.58341130642655115</v>
      </c>
      <c r="J218" s="109">
        <v>4.1904000000000003</v>
      </c>
      <c r="K218" s="107"/>
      <c r="L218" s="9">
        <f t="shared" si="54"/>
        <v>280.92140234328116</v>
      </c>
      <c r="M218" s="9">
        <f t="shared" si="55"/>
        <v>32.669003578856092</v>
      </c>
      <c r="N218" s="9">
        <f t="shared" si="56"/>
        <v>20.417811041666667</v>
      </c>
      <c r="O218" s="9">
        <f t="shared" si="57"/>
        <v>39.274260062500005</v>
      </c>
      <c r="P218" s="9">
        <f t="shared" si="58"/>
        <v>8.743627316666668</v>
      </c>
      <c r="Q218" s="9">
        <f t="shared" si="59"/>
        <v>6.7186688702839401</v>
      </c>
      <c r="R218" s="9">
        <f t="shared" si="60"/>
        <v>10.429578035684575</v>
      </c>
      <c r="S218" s="9">
        <f t="shared" si="60"/>
        <v>0.75843469835451649</v>
      </c>
      <c r="T218" s="9">
        <f t="shared" si="61"/>
        <v>12.571200000000001</v>
      </c>
      <c r="U218" s="107"/>
      <c r="V218" s="117">
        <f t="shared" si="62"/>
        <v>412.50398594729359</v>
      </c>
      <c r="W218" s="114">
        <v>0</v>
      </c>
      <c r="X218" s="107">
        <f t="shared" si="63"/>
        <v>412.50398594729359</v>
      </c>
      <c r="Y218" s="107">
        <v>412.50398594729359</v>
      </c>
    </row>
    <row r="219" spans="1:25" x14ac:dyDescent="0.2">
      <c r="A219" s="9">
        <v>1868</v>
      </c>
      <c r="B219" s="56">
        <v>1.249108960368027</v>
      </c>
      <c r="C219" s="68">
        <v>1.4092511347741843</v>
      </c>
      <c r="D219" s="56">
        <v>3.7232478958333339</v>
      </c>
      <c r="E219" s="68">
        <v>12.010477083333335</v>
      </c>
      <c r="F219" s="56">
        <v>6.0853724447666675</v>
      </c>
      <c r="G219" s="109">
        <v>2.1286055664352843</v>
      </c>
      <c r="H219" s="109">
        <v>7.8546504602306646</v>
      </c>
      <c r="I219" s="99">
        <v>0.56855110068439074</v>
      </c>
      <c r="J219" s="109">
        <v>4.2712000000000003</v>
      </c>
      <c r="K219" s="107"/>
      <c r="L219" s="9">
        <f t="shared" si="54"/>
        <v>223.59050390587683</v>
      </c>
      <c r="M219" s="9">
        <f t="shared" si="55"/>
        <v>28.185022695483685</v>
      </c>
      <c r="N219" s="9">
        <f t="shared" si="56"/>
        <v>18.616239479166669</v>
      </c>
      <c r="O219" s="9">
        <f t="shared" si="57"/>
        <v>36.031431250000004</v>
      </c>
      <c r="P219" s="9">
        <f t="shared" si="58"/>
        <v>7.9109841781966681</v>
      </c>
      <c r="Q219" s="9">
        <f t="shared" si="59"/>
        <v>6.3858166993058525</v>
      </c>
      <c r="R219" s="9">
        <f t="shared" si="60"/>
        <v>10.211045598299865</v>
      </c>
      <c r="S219" s="9">
        <f t="shared" si="60"/>
        <v>0.73911643088970802</v>
      </c>
      <c r="T219" s="9">
        <f t="shared" si="61"/>
        <v>12.813600000000001</v>
      </c>
      <c r="U219" s="107"/>
      <c r="V219" s="117">
        <f t="shared" si="62"/>
        <v>344.48376023721926</v>
      </c>
      <c r="W219" s="114">
        <v>0</v>
      </c>
      <c r="X219" s="107">
        <f t="shared" si="63"/>
        <v>344.48376023721926</v>
      </c>
      <c r="Y219" s="107">
        <v>344.48376023721926</v>
      </c>
    </row>
    <row r="220" spans="1:25" x14ac:dyDescent="0.2">
      <c r="A220" s="9">
        <v>1869</v>
      </c>
      <c r="B220" s="56">
        <v>1.1690378731649482</v>
      </c>
      <c r="C220" s="68">
        <v>1.345194265011721</v>
      </c>
      <c r="D220" s="56">
        <v>3.6031431249999999</v>
      </c>
      <c r="E220" s="68">
        <v>11.770267541666668</v>
      </c>
      <c r="F220" s="56">
        <v>6.0853724447666675</v>
      </c>
      <c r="G220" s="109">
        <v>1.935281286453483</v>
      </c>
      <c r="H220" s="109">
        <v>7.8521421729292271</v>
      </c>
      <c r="I220" s="99">
        <v>0.56832936808694368</v>
      </c>
      <c r="J220" s="109">
        <v>3.7063000000000001</v>
      </c>
      <c r="K220" s="107"/>
      <c r="L220" s="9">
        <f t="shared" si="54"/>
        <v>209.25777929652574</v>
      </c>
      <c r="M220" s="9">
        <f t="shared" si="55"/>
        <v>26.903885300234421</v>
      </c>
      <c r="N220" s="9">
        <f t="shared" si="56"/>
        <v>18.015715624999999</v>
      </c>
      <c r="O220" s="9">
        <f t="shared" si="57"/>
        <v>35.310802625000001</v>
      </c>
      <c r="P220" s="9">
        <f t="shared" si="58"/>
        <v>7.9109841781966681</v>
      </c>
      <c r="Q220" s="9">
        <f t="shared" si="59"/>
        <v>5.8058438593604489</v>
      </c>
      <c r="R220" s="9">
        <f t="shared" si="60"/>
        <v>10.207784824807996</v>
      </c>
      <c r="S220" s="9">
        <f t="shared" si="60"/>
        <v>0.73882817851302685</v>
      </c>
      <c r="T220" s="9">
        <f t="shared" si="61"/>
        <v>11.1189</v>
      </c>
      <c r="U220" s="107"/>
      <c r="V220" s="117">
        <f t="shared" si="62"/>
        <v>325.27052388763826</v>
      </c>
      <c r="W220" s="114">
        <v>0</v>
      </c>
      <c r="X220" s="107">
        <f t="shared" si="63"/>
        <v>325.27052388763826</v>
      </c>
      <c r="Y220" s="107">
        <v>325.27052388763826</v>
      </c>
    </row>
    <row r="221" spans="1:25" x14ac:dyDescent="0.2">
      <c r="A221" s="9">
        <v>1870</v>
      </c>
      <c r="B221" s="56">
        <v>1.2130769711266414</v>
      </c>
      <c r="C221" s="68">
        <v>1.1169916664829471</v>
      </c>
      <c r="D221" s="57">
        <v>3.9634574374999998</v>
      </c>
      <c r="E221" s="43">
        <v>13.571839104166667</v>
      </c>
      <c r="F221" s="57"/>
      <c r="G221" s="109">
        <v>2.2019927399100081</v>
      </c>
      <c r="H221" s="109">
        <v>7.7175583340590679</v>
      </c>
      <c r="I221" s="99">
        <v>0.55643215673082158</v>
      </c>
      <c r="J221" s="109">
        <v>3.9689000000000001</v>
      </c>
      <c r="K221" s="107"/>
      <c r="L221" s="9">
        <f t="shared" si="54"/>
        <v>217.1407778316688</v>
      </c>
      <c r="M221" s="9">
        <f t="shared" si="55"/>
        <v>22.339833329658944</v>
      </c>
      <c r="N221" s="9">
        <f t="shared" si="56"/>
        <v>19.8172871875</v>
      </c>
      <c r="O221" s="9">
        <f t="shared" si="57"/>
        <v>40.715517312499998</v>
      </c>
      <c r="P221" s="9">
        <f t="shared" si="58"/>
        <v>0</v>
      </c>
      <c r="Q221" s="9">
        <f t="shared" si="59"/>
        <v>6.6059782197300247</v>
      </c>
      <c r="R221" s="9">
        <f t="shared" si="60"/>
        <v>10.032825834276789</v>
      </c>
      <c r="S221" s="9">
        <f t="shared" si="60"/>
        <v>0.72336180375006809</v>
      </c>
      <c r="T221" s="9">
        <f t="shared" si="61"/>
        <v>11.906700000000001</v>
      </c>
      <c r="U221" s="107"/>
      <c r="V221" s="117">
        <f t="shared" si="62"/>
        <v>329.28228151908462</v>
      </c>
      <c r="W221" s="114">
        <f>$P$2</f>
        <v>2.8634837114187014E-2</v>
      </c>
      <c r="X221" s="107">
        <f t="shared" si="63"/>
        <v>338.98918151524526</v>
      </c>
      <c r="Y221" s="107">
        <v>336.78952995434548</v>
      </c>
    </row>
    <row r="222" spans="1:25" x14ac:dyDescent="0.2">
      <c r="A222" s="9">
        <v>1871</v>
      </c>
      <c r="B222" s="56">
        <v>1.5696895722029929</v>
      </c>
      <c r="C222" s="68">
        <v>1.6187170988974382</v>
      </c>
      <c r="D222" s="56">
        <v>4.3237717499999997</v>
      </c>
      <c r="E222" s="68">
        <v>15.373410666666667</v>
      </c>
      <c r="F222" s="57"/>
      <c r="G222" s="109">
        <v>1.842086485961451</v>
      </c>
      <c r="H222" s="109">
        <v>7.785140212591986</v>
      </c>
      <c r="I222" s="99">
        <v>0.56240639479313159</v>
      </c>
      <c r="J222" s="109">
        <v>3.7621000000000002</v>
      </c>
      <c r="K222" s="107"/>
      <c r="L222" s="9">
        <f t="shared" si="54"/>
        <v>280.9744334243357</v>
      </c>
      <c r="M222" s="9">
        <f t="shared" si="55"/>
        <v>32.374341977948767</v>
      </c>
      <c r="N222" s="9">
        <f t="shared" si="56"/>
        <v>21.618858749999998</v>
      </c>
      <c r="O222" s="9">
        <f t="shared" si="57"/>
        <v>46.120232000000001</v>
      </c>
      <c r="P222" s="9">
        <f t="shared" si="58"/>
        <v>0</v>
      </c>
      <c r="Q222" s="9">
        <f t="shared" si="59"/>
        <v>5.5262594578843531</v>
      </c>
      <c r="R222" s="9">
        <f t="shared" si="60"/>
        <v>10.120682276369582</v>
      </c>
      <c r="S222" s="9">
        <f t="shared" si="60"/>
        <v>0.73112831323107108</v>
      </c>
      <c r="T222" s="9">
        <f t="shared" si="61"/>
        <v>11.286300000000001</v>
      </c>
      <c r="U222" s="107"/>
      <c r="V222" s="117">
        <f t="shared" si="62"/>
        <v>408.75223619976941</v>
      </c>
      <c r="W222" s="114">
        <f t="shared" ref="W222:W232" si="65">$P$2</f>
        <v>2.8634837114187014E-2</v>
      </c>
      <c r="X222" s="107">
        <f t="shared" si="63"/>
        <v>420.80182800195763</v>
      </c>
      <c r="Y222" s="107">
        <v>415.85574889209454</v>
      </c>
    </row>
    <row r="223" spans="1:25" x14ac:dyDescent="0.2">
      <c r="A223" s="9">
        <v>1872</v>
      </c>
      <c r="B223" s="56">
        <v>1.6353598743725977</v>
      </c>
      <c r="C223" s="68">
        <v>1.6636209646009243</v>
      </c>
      <c r="D223" s="56">
        <v>4.8041908333333323</v>
      </c>
      <c r="E223" s="68">
        <v>14.4125725</v>
      </c>
      <c r="F223" s="57"/>
      <c r="G223" s="109">
        <v>1.9341367229676887</v>
      </c>
      <c r="H223" s="109">
        <v>8.4917182535576696</v>
      </c>
      <c r="I223" s="99">
        <v>0.62486789361449802</v>
      </c>
      <c r="J223" s="109">
        <v>4.5719000000000003</v>
      </c>
      <c r="K223" s="107"/>
      <c r="L223" s="9">
        <f t="shared" si="54"/>
        <v>292.72941751269497</v>
      </c>
      <c r="M223" s="9">
        <f t="shared" si="55"/>
        <v>33.272419292018483</v>
      </c>
      <c r="N223" s="9">
        <f t="shared" si="56"/>
        <v>24.020954166666662</v>
      </c>
      <c r="O223" s="9">
        <f t="shared" si="57"/>
        <v>43.237717500000002</v>
      </c>
      <c r="P223" s="9">
        <f t="shared" si="58"/>
        <v>0</v>
      </c>
      <c r="Q223" s="9">
        <f t="shared" si="59"/>
        <v>5.8024101689030658</v>
      </c>
      <c r="R223" s="9">
        <f t="shared" si="60"/>
        <v>11.039233729624971</v>
      </c>
      <c r="S223" s="9">
        <f t="shared" si="60"/>
        <v>0.81232826169884742</v>
      </c>
      <c r="T223" s="9">
        <f t="shared" si="61"/>
        <v>13.715700000000002</v>
      </c>
      <c r="U223" s="107"/>
      <c r="V223" s="117">
        <f t="shared" si="62"/>
        <v>424.63018063160706</v>
      </c>
      <c r="W223" s="114">
        <f t="shared" si="65"/>
        <v>2.8634837114187014E-2</v>
      </c>
      <c r="X223" s="107">
        <f t="shared" si="63"/>
        <v>437.14783776070385</v>
      </c>
      <c r="Y223" s="107">
        <v>431.32995758099639</v>
      </c>
    </row>
    <row r="224" spans="1:25" x14ac:dyDescent="0.2">
      <c r="A224" s="9">
        <v>1873</v>
      </c>
      <c r="B224" s="56">
        <v>1.8980410830510177</v>
      </c>
      <c r="C224" s="68">
        <v>1.8432364274148703</v>
      </c>
      <c r="D224" s="56">
        <v>6.485657625</v>
      </c>
      <c r="E224" s="68">
        <v>20.658020583333332</v>
      </c>
      <c r="F224" s="57"/>
      <c r="G224" s="109">
        <v>1.9942265373298844</v>
      </c>
      <c r="H224" s="109">
        <v>8.5123155018847569</v>
      </c>
      <c r="I224" s="99">
        <v>0.62668869036661257</v>
      </c>
      <c r="J224" s="109">
        <v>6.7168000000000001</v>
      </c>
      <c r="K224" s="107"/>
      <c r="L224" s="9">
        <f t="shared" si="54"/>
        <v>339.7493538661322</v>
      </c>
      <c r="M224" s="9">
        <f t="shared" si="55"/>
        <v>36.864728548297407</v>
      </c>
      <c r="N224" s="9">
        <f t="shared" si="56"/>
        <v>32.428288125000002</v>
      </c>
      <c r="O224" s="9">
        <f t="shared" si="57"/>
        <v>61.974061749999997</v>
      </c>
      <c r="P224" s="9">
        <f t="shared" si="58"/>
        <v>0</v>
      </c>
      <c r="Q224" s="9">
        <f t="shared" si="59"/>
        <v>5.9826796119896528</v>
      </c>
      <c r="R224" s="9">
        <f t="shared" si="60"/>
        <v>11.066010152450184</v>
      </c>
      <c r="S224" s="9">
        <f t="shared" si="60"/>
        <v>0.81469529747659641</v>
      </c>
      <c r="T224" s="9">
        <f t="shared" si="61"/>
        <v>20.150400000000001</v>
      </c>
      <c r="U224" s="107"/>
      <c r="V224" s="117">
        <f t="shared" si="62"/>
        <v>509.03021735134604</v>
      </c>
      <c r="W224" s="114">
        <f t="shared" si="65"/>
        <v>2.8634837114187014E-2</v>
      </c>
      <c r="X224" s="107">
        <f t="shared" si="63"/>
        <v>524.03589998953271</v>
      </c>
      <c r="Y224" s="107">
        <v>515.32625855779963</v>
      </c>
    </row>
    <row r="225" spans="1:25" x14ac:dyDescent="0.2">
      <c r="A225" s="9">
        <v>1874</v>
      </c>
      <c r="B225" s="56">
        <v>1.8980410830510177</v>
      </c>
      <c r="C225" s="68">
        <v>1.8432364274148703</v>
      </c>
      <c r="D225" s="56">
        <v>6.485657625</v>
      </c>
      <c r="E225" s="68">
        <v>21.859068291666667</v>
      </c>
      <c r="F225" s="57"/>
      <c r="G225" s="109">
        <v>2.0578054382616191</v>
      </c>
      <c r="H225" s="109">
        <v>8.1626477013128991</v>
      </c>
      <c r="I225" s="99">
        <v>0.59577805679606033</v>
      </c>
      <c r="J225" s="109">
        <v>7.1487999999999996</v>
      </c>
      <c r="K225" s="107"/>
      <c r="L225" s="9">
        <f t="shared" si="54"/>
        <v>339.7493538661322</v>
      </c>
      <c r="M225" s="9">
        <f t="shared" si="55"/>
        <v>36.864728548297407</v>
      </c>
      <c r="N225" s="9">
        <f t="shared" si="56"/>
        <v>32.428288125000002</v>
      </c>
      <c r="O225" s="9">
        <f t="shared" si="57"/>
        <v>65.577204875000007</v>
      </c>
      <c r="P225" s="9">
        <f t="shared" si="58"/>
        <v>0</v>
      </c>
      <c r="Q225" s="9">
        <f t="shared" si="59"/>
        <v>6.1734163147848573</v>
      </c>
      <c r="R225" s="9">
        <f t="shared" si="60"/>
        <v>10.611442011706769</v>
      </c>
      <c r="S225" s="9">
        <f t="shared" si="60"/>
        <v>0.77451147383487851</v>
      </c>
      <c r="T225" s="9">
        <f t="shared" si="61"/>
        <v>21.446399999999997</v>
      </c>
      <c r="U225" s="107"/>
      <c r="V225" s="117">
        <f t="shared" si="62"/>
        <v>513.62534521475607</v>
      </c>
      <c r="W225" s="114">
        <f t="shared" si="65"/>
        <v>2.8634837114187014E-2</v>
      </c>
      <c r="X225" s="107">
        <f t="shared" si="63"/>
        <v>528.76648745445516</v>
      </c>
      <c r="Y225" s="107">
        <v>519.51765067827387</v>
      </c>
    </row>
    <row r="226" spans="1:25" x14ac:dyDescent="0.2">
      <c r="A226" s="9">
        <v>1875</v>
      </c>
      <c r="B226" s="56">
        <v>1.9637113852206227</v>
      </c>
      <c r="C226" s="68">
        <v>1.8881402931183568</v>
      </c>
      <c r="D226" s="56">
        <v>6.9660767083333335</v>
      </c>
      <c r="E226" s="68">
        <v>23.060116000000004</v>
      </c>
      <c r="F226" s="57"/>
      <c r="G226" s="109">
        <v>2.0027980476023273</v>
      </c>
      <c r="H226" s="109">
        <v>7.9034072553729064</v>
      </c>
      <c r="I226" s="99">
        <v>0.57286120137496499</v>
      </c>
      <c r="J226" s="109">
        <v>4.8948999999999998</v>
      </c>
      <c r="K226" s="107"/>
      <c r="L226" s="9">
        <f t="shared" si="54"/>
        <v>351.50433795449146</v>
      </c>
      <c r="M226" s="9">
        <f t="shared" si="55"/>
        <v>37.762805862367138</v>
      </c>
      <c r="N226" s="9">
        <f t="shared" si="56"/>
        <v>34.83038354166667</v>
      </c>
      <c r="O226" s="9">
        <f t="shared" si="57"/>
        <v>69.180348000000009</v>
      </c>
      <c r="P226" s="9">
        <f t="shared" si="58"/>
        <v>0</v>
      </c>
      <c r="Q226" s="9">
        <f t="shared" si="59"/>
        <v>6.0083941428069814</v>
      </c>
      <c r="R226" s="9">
        <f t="shared" si="60"/>
        <v>10.274429431984778</v>
      </c>
      <c r="S226" s="9">
        <f t="shared" si="60"/>
        <v>0.74471956178745446</v>
      </c>
      <c r="T226" s="9">
        <f t="shared" si="61"/>
        <v>14.684699999999999</v>
      </c>
      <c r="U226" s="107"/>
      <c r="V226" s="117">
        <f t="shared" si="62"/>
        <v>524.99011849510453</v>
      </c>
      <c r="W226" s="114">
        <f t="shared" si="65"/>
        <v>2.8634837114187014E-2</v>
      </c>
      <c r="X226" s="107">
        <f t="shared" si="63"/>
        <v>540.466282459029</v>
      </c>
      <c r="Y226" s="107">
        <v>530.47868821568647</v>
      </c>
    </row>
    <row r="227" spans="1:25" x14ac:dyDescent="0.2">
      <c r="A227" s="9">
        <v>1876</v>
      </c>
      <c r="B227" s="56">
        <v>1.7010301765422027</v>
      </c>
      <c r="C227" s="68">
        <v>1.7085248303044109</v>
      </c>
      <c r="D227" s="56">
        <v>6.2454480833333337</v>
      </c>
      <c r="E227" s="68">
        <v>17.295087000000002</v>
      </c>
      <c r="F227" s="57"/>
      <c r="G227" s="109">
        <v>1.872720554701448</v>
      </c>
      <c r="H227" s="109">
        <v>7.8176912604132394</v>
      </c>
      <c r="I227" s="99">
        <v>0.56528390742053036</v>
      </c>
      <c r="J227" s="109">
        <v>4.3852000000000002</v>
      </c>
      <c r="K227" s="107"/>
      <c r="L227" s="9">
        <f t="shared" si="54"/>
        <v>304.48440160105429</v>
      </c>
      <c r="M227" s="9">
        <f t="shared" si="55"/>
        <v>34.170496606088221</v>
      </c>
      <c r="N227" s="9">
        <f t="shared" si="56"/>
        <v>31.227240416666667</v>
      </c>
      <c r="O227" s="9">
        <f t="shared" si="57"/>
        <v>51.885261000000007</v>
      </c>
      <c r="P227" s="9">
        <f t="shared" si="58"/>
        <v>0</v>
      </c>
      <c r="Q227" s="9">
        <f t="shared" si="59"/>
        <v>5.6181616641043437</v>
      </c>
      <c r="R227" s="9">
        <f t="shared" si="60"/>
        <v>10.162998638537211</v>
      </c>
      <c r="S227" s="9">
        <f t="shared" si="60"/>
        <v>0.73486907964668946</v>
      </c>
      <c r="T227" s="9">
        <f t="shared" si="61"/>
        <v>13.1556</v>
      </c>
      <c r="U227" s="107"/>
      <c r="V227" s="117">
        <f t="shared" si="62"/>
        <v>451.43902900609743</v>
      </c>
      <c r="W227" s="114">
        <f t="shared" si="65"/>
        <v>2.8634837114187014E-2</v>
      </c>
      <c r="X227" s="107">
        <f t="shared" si="63"/>
        <v>464.74698316843541</v>
      </c>
      <c r="Y227" s="107">
        <v>456.52386298374364</v>
      </c>
    </row>
    <row r="228" spans="1:25" x14ac:dyDescent="0.2">
      <c r="A228" s="9">
        <v>1877</v>
      </c>
      <c r="B228" s="56">
        <v>1.8980410830510177</v>
      </c>
      <c r="C228" s="68">
        <v>1.8432364274148703</v>
      </c>
      <c r="D228" s="56">
        <v>6.2454480833333337</v>
      </c>
      <c r="E228" s="68">
        <v>18.255925166666664</v>
      </c>
      <c r="F228" s="57"/>
      <c r="G228" s="109">
        <v>1.7346749233506551</v>
      </c>
      <c r="H228" s="109">
        <v>7.7681857009255006</v>
      </c>
      <c r="I228" s="99">
        <v>0.56090761596181427</v>
      </c>
      <c r="J228" s="109">
        <v>4.1707999999999998</v>
      </c>
      <c r="K228" s="107"/>
      <c r="L228" s="9">
        <f t="shared" si="54"/>
        <v>339.7493538661322</v>
      </c>
      <c r="M228" s="9">
        <f t="shared" si="55"/>
        <v>36.864728548297407</v>
      </c>
      <c r="N228" s="9">
        <f t="shared" si="56"/>
        <v>31.227240416666667</v>
      </c>
      <c r="O228" s="9">
        <f t="shared" si="57"/>
        <v>54.767775499999992</v>
      </c>
      <c r="P228" s="9">
        <f t="shared" si="58"/>
        <v>0</v>
      </c>
      <c r="Q228" s="9">
        <f t="shared" si="59"/>
        <v>5.2040247700519657</v>
      </c>
      <c r="R228" s="9">
        <f t="shared" si="60"/>
        <v>10.09864141120315</v>
      </c>
      <c r="S228" s="9">
        <f t="shared" si="60"/>
        <v>0.72917990075035855</v>
      </c>
      <c r="T228" s="9">
        <f t="shared" si="61"/>
        <v>12.5124</v>
      </c>
      <c r="U228" s="107"/>
      <c r="V228" s="117">
        <f t="shared" si="62"/>
        <v>491.15334441310176</v>
      </c>
      <c r="W228" s="114">
        <f t="shared" si="65"/>
        <v>2.8634837114187014E-2</v>
      </c>
      <c r="X228" s="107">
        <f t="shared" si="63"/>
        <v>505.63203538609753</v>
      </c>
      <c r="Y228" s="107">
        <v>495.83444264781218</v>
      </c>
    </row>
    <row r="229" spans="1:25" x14ac:dyDescent="0.2">
      <c r="A229" s="9">
        <v>1878</v>
      </c>
      <c r="B229" s="56">
        <v>1.9637113852206227</v>
      </c>
      <c r="C229" s="68">
        <v>1.8881402931183568</v>
      </c>
      <c r="D229" s="56">
        <v>6.2454480833333337</v>
      </c>
      <c r="E229" s="68">
        <v>20.417811041666667</v>
      </c>
      <c r="F229" s="57"/>
      <c r="G229" s="109">
        <v>1.6970327517782469</v>
      </c>
      <c r="H229" s="109">
        <v>7.5761838199874001</v>
      </c>
      <c r="I229" s="99">
        <v>0.54393464968688621</v>
      </c>
      <c r="J229" s="109">
        <v>3.391</v>
      </c>
      <c r="K229" s="107"/>
      <c r="L229" s="9">
        <f t="shared" si="54"/>
        <v>351.50433795449146</v>
      </c>
      <c r="M229" s="9">
        <f t="shared" si="55"/>
        <v>37.762805862367138</v>
      </c>
      <c r="N229" s="9">
        <f t="shared" si="56"/>
        <v>31.227240416666667</v>
      </c>
      <c r="O229" s="9">
        <f t="shared" si="57"/>
        <v>61.253433125000001</v>
      </c>
      <c r="P229" s="9">
        <f t="shared" si="58"/>
        <v>0</v>
      </c>
      <c r="Q229" s="9">
        <f t="shared" si="59"/>
        <v>5.0910982553347406</v>
      </c>
      <c r="R229" s="9">
        <f t="shared" si="60"/>
        <v>9.8490389659836204</v>
      </c>
      <c r="S229" s="9">
        <f t="shared" si="60"/>
        <v>0.70711504459295205</v>
      </c>
      <c r="T229" s="9">
        <f t="shared" si="61"/>
        <v>10.173</v>
      </c>
      <c r="U229" s="107"/>
      <c r="V229" s="117">
        <f t="shared" si="62"/>
        <v>507.56806962443659</v>
      </c>
      <c r="W229" s="114">
        <f t="shared" si="65"/>
        <v>2.8634837114187014E-2</v>
      </c>
      <c r="X229" s="107">
        <f t="shared" si="63"/>
        <v>522.53064966475722</v>
      </c>
      <c r="Y229" s="107">
        <v>511.84543211621121</v>
      </c>
    </row>
    <row r="230" spans="1:25" x14ac:dyDescent="0.2">
      <c r="A230" s="9">
        <v>1879</v>
      </c>
      <c r="B230" s="56">
        <v>1.7667004787118079</v>
      </c>
      <c r="C230" s="68">
        <v>1.7534286960078971</v>
      </c>
      <c r="D230" s="56">
        <v>6.0052385416666674</v>
      </c>
      <c r="E230" s="68">
        <v>17.295087000000002</v>
      </c>
      <c r="F230" s="57"/>
      <c r="G230" s="109">
        <v>1.6230859547781127</v>
      </c>
      <c r="H230" s="109">
        <v>6.7475762489410664</v>
      </c>
      <c r="I230" s="99">
        <v>0.47068574040639033</v>
      </c>
      <c r="J230" s="109">
        <v>3.7742</v>
      </c>
      <c r="K230" s="107"/>
      <c r="L230" s="9">
        <f t="shared" si="54"/>
        <v>316.23938568941361</v>
      </c>
      <c r="M230" s="9">
        <f t="shared" si="55"/>
        <v>35.068573920157945</v>
      </c>
      <c r="N230" s="9">
        <f t="shared" si="56"/>
        <v>30.026192708333337</v>
      </c>
      <c r="O230" s="9">
        <f t="shared" si="57"/>
        <v>51.885261000000007</v>
      </c>
      <c r="P230" s="9">
        <f t="shared" si="58"/>
        <v>0</v>
      </c>
      <c r="Q230" s="9">
        <f t="shared" si="59"/>
        <v>4.8692578643343385</v>
      </c>
      <c r="R230" s="9">
        <f t="shared" si="60"/>
        <v>8.7718491236233866</v>
      </c>
      <c r="S230" s="9">
        <f t="shared" si="60"/>
        <v>0.61189146252830739</v>
      </c>
      <c r="T230" s="9">
        <f t="shared" si="61"/>
        <v>11.3226</v>
      </c>
      <c r="U230" s="107"/>
      <c r="V230" s="117">
        <f t="shared" si="62"/>
        <v>458.79501176839091</v>
      </c>
      <c r="W230" s="114">
        <f t="shared" si="65"/>
        <v>2.8634837114187014E-2</v>
      </c>
      <c r="X230" s="107">
        <f t="shared" si="63"/>
        <v>472.31981266999969</v>
      </c>
      <c r="Y230" s="107">
        <v>462.66863851722974</v>
      </c>
    </row>
    <row r="231" spans="1:25" x14ac:dyDescent="0.2">
      <c r="A231" s="9">
        <v>1880</v>
      </c>
      <c r="B231" s="56">
        <v>1.8323707808814127</v>
      </c>
      <c r="C231" s="68">
        <v>1.7983325617113839</v>
      </c>
      <c r="D231" s="56">
        <v>6.2454480833333337</v>
      </c>
      <c r="E231" s="68">
        <v>19.216763333333336</v>
      </c>
      <c r="F231" s="57"/>
      <c r="G231" s="109">
        <v>1.6615491848310839</v>
      </c>
      <c r="H231" s="109">
        <v>6.6779065266624364</v>
      </c>
      <c r="I231" s="99">
        <v>0.46452693695695935</v>
      </c>
      <c r="J231" s="109">
        <v>4.1458000000000004</v>
      </c>
      <c r="K231" s="107"/>
      <c r="L231" s="9">
        <f t="shared" si="54"/>
        <v>327.99436977777287</v>
      </c>
      <c r="M231" s="9">
        <f t="shared" si="55"/>
        <v>35.966651234227676</v>
      </c>
      <c r="N231" s="9">
        <f t="shared" si="56"/>
        <v>31.227240416666667</v>
      </c>
      <c r="O231" s="9">
        <f t="shared" si="57"/>
        <v>57.650290000000012</v>
      </c>
      <c r="P231" s="9">
        <f t="shared" si="58"/>
        <v>0</v>
      </c>
      <c r="Q231" s="9">
        <f t="shared" si="59"/>
        <v>4.984647554493252</v>
      </c>
      <c r="R231" s="9">
        <f t="shared" si="60"/>
        <v>8.681278484661167</v>
      </c>
      <c r="S231" s="9">
        <f t="shared" si="60"/>
        <v>0.60388501804404715</v>
      </c>
      <c r="T231" s="9">
        <f t="shared" si="61"/>
        <v>12.4374</v>
      </c>
      <c r="U231" s="107"/>
      <c r="V231" s="117">
        <f t="shared" si="62"/>
        <v>479.54576248586579</v>
      </c>
      <c r="W231" s="114">
        <f t="shared" si="65"/>
        <v>2.8634837114187014E-2</v>
      </c>
      <c r="X231" s="107">
        <f t="shared" si="63"/>
        <v>493.68227398766402</v>
      </c>
      <c r="Y231" s="107">
        <v>483.01565349176889</v>
      </c>
    </row>
    <row r="232" spans="1:25" x14ac:dyDescent="0.2">
      <c r="A232" s="9">
        <v>1881</v>
      </c>
      <c r="B232" s="56">
        <v>1.9637113852206227</v>
      </c>
      <c r="C232" s="68">
        <v>1.8881402931183568</v>
      </c>
      <c r="D232" s="56">
        <v>6.7258671666666672</v>
      </c>
      <c r="E232" s="68">
        <v>20.177601499999998</v>
      </c>
      <c r="F232" s="57"/>
      <c r="G232" s="109">
        <v>1.6104609005301891</v>
      </c>
      <c r="H232" s="109">
        <v>6.1287401626287448</v>
      </c>
      <c r="I232" s="99">
        <v>0.415980630376381</v>
      </c>
      <c r="J232" s="109">
        <v>4.0133000000000001</v>
      </c>
      <c r="K232" s="107"/>
      <c r="L232" s="9">
        <f t="shared" si="54"/>
        <v>351.50433795449146</v>
      </c>
      <c r="M232" s="9">
        <f t="shared" si="55"/>
        <v>37.762805862367138</v>
      </c>
      <c r="N232" s="9">
        <f t="shared" si="56"/>
        <v>33.629335833333336</v>
      </c>
      <c r="O232" s="9">
        <f t="shared" si="57"/>
        <v>60.532804499999997</v>
      </c>
      <c r="P232" s="9">
        <f t="shared" si="58"/>
        <v>0</v>
      </c>
      <c r="Q232" s="9">
        <f t="shared" si="59"/>
        <v>4.8313827015905675</v>
      </c>
      <c r="R232" s="9">
        <f t="shared" si="60"/>
        <v>7.9673622114173686</v>
      </c>
      <c r="S232" s="9">
        <f t="shared" si="60"/>
        <v>0.54077481948929529</v>
      </c>
      <c r="T232" s="9">
        <f t="shared" si="61"/>
        <v>12.039899999999999</v>
      </c>
      <c r="U232" s="107"/>
      <c r="V232" s="117">
        <f t="shared" si="62"/>
        <v>508.80870388268914</v>
      </c>
      <c r="W232" s="114">
        <f t="shared" si="65"/>
        <v>2.8634837114187014E-2</v>
      </c>
      <c r="X232" s="107">
        <f t="shared" si="63"/>
        <v>523.80785653366195</v>
      </c>
      <c r="Y232" s="107">
        <v>511.87485914565644</v>
      </c>
    </row>
    <row r="233" spans="1:25" x14ac:dyDescent="0.2">
      <c r="A233" s="9">
        <v>1882</v>
      </c>
      <c r="B233" s="56">
        <v>1.9637113852206227</v>
      </c>
      <c r="C233" s="68">
        <v>1.8881402931183568</v>
      </c>
      <c r="D233" s="56">
        <v>6.7258671666666672</v>
      </c>
      <c r="E233" s="68">
        <v>21.138439666666667</v>
      </c>
      <c r="F233" s="56">
        <v>2.0480150154088554</v>
      </c>
      <c r="G233" s="109">
        <v>1.5859834159405617</v>
      </c>
      <c r="H233" s="109">
        <v>6.2031579110216422</v>
      </c>
      <c r="I233" s="99">
        <v>0.42255915933431321</v>
      </c>
      <c r="J233" s="109">
        <v>3.6105999999999998</v>
      </c>
      <c r="K233" s="107"/>
      <c r="L233" s="9">
        <f t="shared" si="54"/>
        <v>351.50433795449146</v>
      </c>
      <c r="M233" s="9">
        <f t="shared" si="55"/>
        <v>37.762805862367138</v>
      </c>
      <c r="N233" s="9">
        <f t="shared" si="56"/>
        <v>33.629335833333336</v>
      </c>
      <c r="O233" s="9">
        <f t="shared" si="57"/>
        <v>63.415318999999997</v>
      </c>
      <c r="P233" s="9">
        <f t="shared" si="58"/>
        <v>2.6624195200315124</v>
      </c>
      <c r="Q233" s="9">
        <f t="shared" si="59"/>
        <v>4.7579502478216851</v>
      </c>
      <c r="R233" s="9">
        <f t="shared" si="60"/>
        <v>8.0641052843281358</v>
      </c>
      <c r="S233" s="9">
        <f t="shared" si="60"/>
        <v>0.54932690713460719</v>
      </c>
      <c r="T233" s="9">
        <f t="shared" si="61"/>
        <v>10.831799999999999</v>
      </c>
      <c r="U233" s="107"/>
      <c r="V233" s="117">
        <f t="shared" si="62"/>
        <v>513.17740060950791</v>
      </c>
      <c r="W233" s="114">
        <v>0</v>
      </c>
      <c r="X233" s="107">
        <f t="shared" si="63"/>
        <v>513.17740060950791</v>
      </c>
      <c r="Y233" s="107">
        <v>513.17740060950791</v>
      </c>
    </row>
    <row r="234" spans="1:25" x14ac:dyDescent="0.2">
      <c r="A234" s="9">
        <v>1883</v>
      </c>
      <c r="B234" s="56">
        <v>1.8980410830510177</v>
      </c>
      <c r="C234" s="68">
        <v>1.8432364274148703</v>
      </c>
      <c r="D234" s="56">
        <v>6.0052385416666674</v>
      </c>
      <c r="E234" s="68">
        <v>21.138439666666667</v>
      </c>
      <c r="F234" s="56">
        <v>2.1655318140404751</v>
      </c>
      <c r="G234" s="109">
        <v>1.5540820256544372</v>
      </c>
      <c r="H234" s="109">
        <v>6.6249063821528393</v>
      </c>
      <c r="I234" s="99">
        <v>0.45984172418231106</v>
      </c>
      <c r="J234" s="109">
        <v>4.2614000000000001</v>
      </c>
      <c r="K234" s="107"/>
      <c r="L234" s="9">
        <f t="shared" si="54"/>
        <v>339.7493538661322</v>
      </c>
      <c r="M234" s="9">
        <f t="shared" si="55"/>
        <v>36.864728548297407</v>
      </c>
      <c r="N234" s="9">
        <f t="shared" si="56"/>
        <v>30.026192708333337</v>
      </c>
      <c r="O234" s="9">
        <f t="shared" si="57"/>
        <v>63.415318999999997</v>
      </c>
      <c r="P234" s="9">
        <f t="shared" si="58"/>
        <v>2.8151913582526178</v>
      </c>
      <c r="Q234" s="9">
        <f t="shared" si="59"/>
        <v>4.6622460769633118</v>
      </c>
      <c r="R234" s="9">
        <f t="shared" si="60"/>
        <v>8.6123782967986919</v>
      </c>
      <c r="S234" s="9">
        <f t="shared" si="60"/>
        <v>0.59779424143700444</v>
      </c>
      <c r="T234" s="9">
        <f t="shared" si="61"/>
        <v>12.7842</v>
      </c>
      <c r="U234" s="107"/>
      <c r="V234" s="117">
        <f t="shared" si="62"/>
        <v>499.52740409621452</v>
      </c>
      <c r="W234" s="114">
        <v>0</v>
      </c>
      <c r="X234" s="107">
        <f t="shared" si="63"/>
        <v>499.52740409621452</v>
      </c>
      <c r="Y234" s="107">
        <v>499.52740409621452</v>
      </c>
    </row>
    <row r="235" spans="1:25" x14ac:dyDescent="0.2">
      <c r="A235" s="9">
        <v>1884</v>
      </c>
      <c r="B235" s="56">
        <v>1.7667004787118079</v>
      </c>
      <c r="C235" s="68">
        <v>1.7534286960078971</v>
      </c>
      <c r="D235" s="56">
        <v>5.524819458333333</v>
      </c>
      <c r="E235" s="68">
        <v>17.775506083333333</v>
      </c>
      <c r="F235" s="56">
        <v>2.0738073037467206</v>
      </c>
      <c r="G235" s="109">
        <v>1.4014029550199427</v>
      </c>
      <c r="H235" s="109">
        <v>6.9750976813881467</v>
      </c>
      <c r="I235" s="99">
        <v>0.49079863503471222</v>
      </c>
      <c r="J235" s="109">
        <v>4.2389999999999999</v>
      </c>
      <c r="K235" s="107"/>
      <c r="L235" s="9">
        <f t="shared" si="54"/>
        <v>316.23938568941361</v>
      </c>
      <c r="M235" s="9">
        <f t="shared" si="55"/>
        <v>35.068573920157945</v>
      </c>
      <c r="N235" s="9">
        <f t="shared" si="56"/>
        <v>27.624097291666665</v>
      </c>
      <c r="O235" s="9">
        <f t="shared" si="57"/>
        <v>53.326518249999999</v>
      </c>
      <c r="P235" s="9">
        <f t="shared" si="58"/>
        <v>2.695949494870737</v>
      </c>
      <c r="Q235" s="9">
        <f t="shared" si="59"/>
        <v>4.2042088650598277</v>
      </c>
      <c r="R235" s="9">
        <f t="shared" si="60"/>
        <v>9.0676269858045906</v>
      </c>
      <c r="S235" s="9">
        <f t="shared" si="60"/>
        <v>0.6380382255451259</v>
      </c>
      <c r="T235" s="9">
        <f t="shared" si="61"/>
        <v>12.716999999999999</v>
      </c>
      <c r="U235" s="107"/>
      <c r="V235" s="117">
        <f t="shared" si="62"/>
        <v>461.58139872251843</v>
      </c>
      <c r="W235" s="114">
        <v>0</v>
      </c>
      <c r="X235" s="107">
        <f t="shared" si="63"/>
        <v>461.58139872251843</v>
      </c>
      <c r="Y235" s="107">
        <v>461.58139872251843</v>
      </c>
    </row>
    <row r="236" spans="1:25" x14ac:dyDescent="0.2">
      <c r="A236" s="9">
        <v>1885</v>
      </c>
      <c r="B236" s="56">
        <v>1.7010301765422027</v>
      </c>
      <c r="C236" s="68">
        <v>1.7085248303044109</v>
      </c>
      <c r="D236" s="56">
        <v>5.2846099166666667</v>
      </c>
      <c r="E236" s="68">
        <v>17.295087000000002</v>
      </c>
      <c r="F236" s="56">
        <v>1.8655272666008766</v>
      </c>
      <c r="G236" s="109">
        <v>1.4074906289482294</v>
      </c>
      <c r="H236" s="109">
        <v>6.526028078515731</v>
      </c>
      <c r="I236" s="99">
        <v>0.45110088214079058</v>
      </c>
      <c r="J236" s="109">
        <v>4.1380999999999997</v>
      </c>
      <c r="K236" s="107"/>
      <c r="L236" s="9">
        <f t="shared" si="54"/>
        <v>304.48440160105429</v>
      </c>
      <c r="M236" s="9">
        <f t="shared" si="55"/>
        <v>34.170496606088221</v>
      </c>
      <c r="N236" s="9">
        <f t="shared" si="56"/>
        <v>26.423049583333334</v>
      </c>
      <c r="O236" s="9">
        <f t="shared" si="57"/>
        <v>51.885261000000007</v>
      </c>
      <c r="P236" s="9">
        <f t="shared" si="58"/>
        <v>2.4251854465811395</v>
      </c>
      <c r="Q236" s="9">
        <f t="shared" si="59"/>
        <v>4.222471886844688</v>
      </c>
      <c r="R236" s="9">
        <f t="shared" si="60"/>
        <v>8.4838365020704511</v>
      </c>
      <c r="S236" s="9">
        <f t="shared" si="60"/>
        <v>0.58643114678302777</v>
      </c>
      <c r="T236" s="9">
        <f t="shared" si="61"/>
        <v>12.414299999999999</v>
      </c>
      <c r="U236" s="107"/>
      <c r="V236" s="117">
        <f t="shared" si="62"/>
        <v>445.09543377275526</v>
      </c>
      <c r="W236" s="114">
        <v>0</v>
      </c>
      <c r="X236" s="107">
        <f t="shared" si="63"/>
        <v>445.09543377275526</v>
      </c>
      <c r="Y236" s="107">
        <v>445.09543377275526</v>
      </c>
    </row>
    <row r="237" spans="1:25" x14ac:dyDescent="0.2">
      <c r="A237" s="9">
        <v>1886</v>
      </c>
      <c r="B237" s="56">
        <v>1.5696895722029929</v>
      </c>
      <c r="C237" s="68">
        <v>1.6187170988974382</v>
      </c>
      <c r="D237" s="56">
        <v>3.6031431249999999</v>
      </c>
      <c r="E237" s="68">
        <v>12.010477083333335</v>
      </c>
      <c r="F237" s="56">
        <v>1.7003306876793325</v>
      </c>
      <c r="G237" s="109">
        <v>1.3700365984067249</v>
      </c>
      <c r="H237" s="109">
        <v>5.3815990239999731</v>
      </c>
      <c r="I237" s="99">
        <v>0.34993335372159762</v>
      </c>
      <c r="J237" s="109">
        <v>3.8450000000000002</v>
      </c>
      <c r="K237" s="107"/>
      <c r="L237" s="9">
        <f t="shared" si="54"/>
        <v>280.9744334243357</v>
      </c>
      <c r="M237" s="9">
        <f t="shared" si="55"/>
        <v>32.374341977948767</v>
      </c>
      <c r="N237" s="9">
        <f t="shared" si="56"/>
        <v>18.015715624999999</v>
      </c>
      <c r="O237" s="9">
        <f t="shared" si="57"/>
        <v>36.031431250000004</v>
      </c>
      <c r="P237" s="9">
        <f t="shared" si="58"/>
        <v>2.2104298939831324</v>
      </c>
      <c r="Q237" s="9">
        <f t="shared" si="59"/>
        <v>4.1101097952201746</v>
      </c>
      <c r="R237" s="9">
        <f t="shared" si="60"/>
        <v>6.9960787311999653</v>
      </c>
      <c r="S237" s="9">
        <f t="shared" si="60"/>
        <v>0.4549133598380769</v>
      </c>
      <c r="T237" s="9">
        <f t="shared" si="61"/>
        <v>11.535</v>
      </c>
      <c r="U237" s="107"/>
      <c r="V237" s="117">
        <f t="shared" si="62"/>
        <v>392.70245405752587</v>
      </c>
      <c r="W237" s="114">
        <v>0</v>
      </c>
      <c r="X237" s="107">
        <f t="shared" si="63"/>
        <v>392.70245405752587</v>
      </c>
      <c r="Y237" s="107">
        <v>392.70245405752587</v>
      </c>
    </row>
    <row r="238" spans="1:25" x14ac:dyDescent="0.2">
      <c r="A238" s="9">
        <v>1887</v>
      </c>
      <c r="B238" s="56">
        <v>1.3726786656941781</v>
      </c>
      <c r="C238" s="68">
        <v>1.4840055017869784</v>
      </c>
      <c r="D238" s="56">
        <v>3.3629335833333336</v>
      </c>
      <c r="E238" s="68">
        <v>11.770267541666668</v>
      </c>
      <c r="F238" s="56">
        <v>1.6555416213587444</v>
      </c>
      <c r="G238" s="109">
        <v>1.3618703357454891</v>
      </c>
      <c r="H238" s="109">
        <v>4.5869839400677108</v>
      </c>
      <c r="I238" s="99">
        <v>0.27968938030198565</v>
      </c>
      <c r="J238" s="109">
        <v>3.577</v>
      </c>
      <c r="K238" s="107"/>
      <c r="L238" s="9">
        <f t="shared" si="54"/>
        <v>245.70948115925788</v>
      </c>
      <c r="M238" s="9">
        <f t="shared" si="55"/>
        <v>29.680110035739567</v>
      </c>
      <c r="N238" s="9">
        <f t="shared" si="56"/>
        <v>16.814667916666668</v>
      </c>
      <c r="O238" s="9">
        <f t="shared" si="57"/>
        <v>35.310802625000001</v>
      </c>
      <c r="P238" s="9">
        <f t="shared" si="58"/>
        <v>2.1522041077663676</v>
      </c>
      <c r="Q238" s="9">
        <f t="shared" si="59"/>
        <v>4.0856110072364675</v>
      </c>
      <c r="R238" s="9">
        <f t="shared" si="60"/>
        <v>5.9630791220880246</v>
      </c>
      <c r="S238" s="9">
        <f t="shared" si="60"/>
        <v>0.36359619439258134</v>
      </c>
      <c r="T238" s="9">
        <f t="shared" si="61"/>
        <v>10.731</v>
      </c>
      <c r="U238" s="107"/>
      <c r="V238" s="117">
        <f t="shared" si="62"/>
        <v>350.81055216814752</v>
      </c>
      <c r="W238" s="114">
        <v>0</v>
      </c>
      <c r="X238" s="107">
        <f t="shared" si="63"/>
        <v>350.81055216814752</v>
      </c>
      <c r="Y238" s="107">
        <v>350.81055216814752</v>
      </c>
    </row>
    <row r="239" spans="1:25" x14ac:dyDescent="0.2">
      <c r="A239" s="9">
        <v>1888</v>
      </c>
      <c r="B239" s="56">
        <v>1.3464105448263359</v>
      </c>
      <c r="C239" s="68">
        <v>1.4660439555055835</v>
      </c>
      <c r="D239" s="56">
        <v>3.3629335833333336</v>
      </c>
      <c r="E239" s="68">
        <v>10.809429374999999</v>
      </c>
      <c r="F239" s="56">
        <v>1.6325153642925425</v>
      </c>
      <c r="G239" s="109">
        <v>1.3121736744731702</v>
      </c>
      <c r="H239" s="109">
        <v>4.3299904076885163</v>
      </c>
      <c r="I239" s="99">
        <v>0.25697115203966492</v>
      </c>
      <c r="J239" s="109">
        <v>3.234</v>
      </c>
      <c r="K239" s="107"/>
      <c r="L239" s="9">
        <f t="shared" si="54"/>
        <v>241.00748752391414</v>
      </c>
      <c r="M239" s="9">
        <f t="shared" si="55"/>
        <v>29.320879110111669</v>
      </c>
      <c r="N239" s="9">
        <f t="shared" si="56"/>
        <v>16.814667916666668</v>
      </c>
      <c r="O239" s="9">
        <f t="shared" si="57"/>
        <v>32.428288124999995</v>
      </c>
      <c r="P239" s="9">
        <f t="shared" si="58"/>
        <v>2.1222699735803054</v>
      </c>
      <c r="Q239" s="9">
        <f t="shared" si="59"/>
        <v>3.9365210234195107</v>
      </c>
      <c r="R239" s="9">
        <f t="shared" si="60"/>
        <v>5.6289875299950713</v>
      </c>
      <c r="S239" s="9">
        <f t="shared" si="60"/>
        <v>0.33406249765156443</v>
      </c>
      <c r="T239" s="9">
        <f t="shared" si="61"/>
        <v>9.702</v>
      </c>
      <c r="U239" s="107"/>
      <c r="V239" s="117">
        <f t="shared" si="62"/>
        <v>341.295163700339</v>
      </c>
      <c r="W239" s="114">
        <v>0</v>
      </c>
      <c r="X239" s="107">
        <f t="shared" si="63"/>
        <v>341.295163700339</v>
      </c>
      <c r="Y239" s="107">
        <v>341.295163700339</v>
      </c>
    </row>
    <row r="240" spans="1:25" x14ac:dyDescent="0.2">
      <c r="A240" s="9">
        <v>1889</v>
      </c>
      <c r="B240" s="56">
        <v>1.5696895722029929</v>
      </c>
      <c r="C240" s="68">
        <v>1.6187170988974382</v>
      </c>
      <c r="D240" s="56">
        <v>4.3237717499999997</v>
      </c>
      <c r="E240" s="68">
        <v>15.373410666666667</v>
      </c>
      <c r="F240" s="56">
        <v>1.6750437195491807</v>
      </c>
      <c r="G240" s="109">
        <v>1.6466392200135427</v>
      </c>
      <c r="H240" s="109">
        <v>4.2547006298774201</v>
      </c>
      <c r="I240" s="99">
        <v>0.25031553568116394</v>
      </c>
      <c r="J240" s="109">
        <v>3.6112000000000002</v>
      </c>
      <c r="K240" s="107"/>
      <c r="L240" s="9">
        <f t="shared" si="54"/>
        <v>280.9744334243357</v>
      </c>
      <c r="M240" s="9">
        <f t="shared" si="55"/>
        <v>32.374341977948767</v>
      </c>
      <c r="N240" s="9">
        <f t="shared" si="56"/>
        <v>21.618858749999998</v>
      </c>
      <c r="O240" s="9">
        <f t="shared" si="57"/>
        <v>46.120232000000001</v>
      </c>
      <c r="P240" s="9">
        <f t="shared" si="58"/>
        <v>2.177556835413935</v>
      </c>
      <c r="Q240" s="9">
        <f t="shared" si="59"/>
        <v>4.9399176600406278</v>
      </c>
      <c r="R240" s="9">
        <f t="shared" si="60"/>
        <v>5.5311108188406468</v>
      </c>
      <c r="S240" s="9">
        <f t="shared" si="60"/>
        <v>0.32541019638551311</v>
      </c>
      <c r="T240" s="9">
        <f t="shared" si="61"/>
        <v>10.833600000000001</v>
      </c>
      <c r="U240" s="107"/>
      <c r="V240" s="117">
        <f t="shared" si="62"/>
        <v>404.8954616629652</v>
      </c>
      <c r="W240" s="114">
        <v>0</v>
      </c>
      <c r="X240" s="107">
        <f t="shared" si="63"/>
        <v>404.8954616629652</v>
      </c>
      <c r="Y240" s="107">
        <v>404.8954616629652</v>
      </c>
    </row>
    <row r="241" spans="1:25" x14ac:dyDescent="0.2">
      <c r="A241" s="9">
        <v>1890</v>
      </c>
      <c r="B241" s="56">
        <v>1.5696895722029929</v>
      </c>
      <c r="C241" s="68">
        <v>1.6187170988974382</v>
      </c>
      <c r="D241" s="56">
        <v>4.3237717499999997</v>
      </c>
      <c r="E241" s="68">
        <v>15.373410666666667</v>
      </c>
      <c r="F241" s="56">
        <v>1.7321902499352624</v>
      </c>
      <c r="G241" s="109">
        <v>1.8676193870038651</v>
      </c>
      <c r="H241" s="109">
        <v>4.4151774062238838</v>
      </c>
      <c r="I241" s="99">
        <v>0.26450168271019137</v>
      </c>
      <c r="J241" s="109">
        <v>3.2458</v>
      </c>
      <c r="K241" s="107"/>
      <c r="L241" s="9">
        <f t="shared" si="54"/>
        <v>280.9744334243357</v>
      </c>
      <c r="M241" s="9">
        <f t="shared" si="55"/>
        <v>32.374341977948767</v>
      </c>
      <c r="N241" s="9">
        <f t="shared" si="56"/>
        <v>21.618858749999998</v>
      </c>
      <c r="O241" s="9">
        <f t="shared" si="57"/>
        <v>46.120232000000001</v>
      </c>
      <c r="P241" s="9">
        <f t="shared" si="58"/>
        <v>2.2518473249158411</v>
      </c>
      <c r="Q241" s="9">
        <f t="shared" si="59"/>
        <v>5.6028581610115955</v>
      </c>
      <c r="R241" s="9">
        <f t="shared" si="60"/>
        <v>5.7397306280910492</v>
      </c>
      <c r="S241" s="9">
        <f t="shared" si="60"/>
        <v>0.34385218752324881</v>
      </c>
      <c r="T241" s="9">
        <f t="shared" si="61"/>
        <v>9.7374000000000009</v>
      </c>
      <c r="U241" s="107"/>
      <c r="V241" s="117">
        <f t="shared" si="62"/>
        <v>404.76355445382609</v>
      </c>
      <c r="W241" s="114">
        <v>0</v>
      </c>
      <c r="X241" s="107">
        <f t="shared" si="63"/>
        <v>404.76355445382609</v>
      </c>
      <c r="Y241" s="107">
        <v>404.76355445382609</v>
      </c>
    </row>
    <row r="242" spans="1:25" x14ac:dyDescent="0.2">
      <c r="A242" s="9">
        <v>1891</v>
      </c>
      <c r="B242" s="56">
        <v>1.5696895722029929</v>
      </c>
      <c r="C242" s="68">
        <v>1.6187170988974382</v>
      </c>
      <c r="D242" s="56">
        <v>4.3237717499999997</v>
      </c>
      <c r="E242" s="68">
        <v>13.932153416666667</v>
      </c>
      <c r="F242" s="56">
        <v>1.7856145703140589</v>
      </c>
      <c r="G242" s="109">
        <v>1.6527476685157418</v>
      </c>
      <c r="H242" s="109">
        <v>4.8362228901268196</v>
      </c>
      <c r="I242" s="99">
        <v>0.30172210348721085</v>
      </c>
      <c r="J242" s="109">
        <v>3.6225999999999998</v>
      </c>
      <c r="K242" s="107"/>
      <c r="L242" s="9">
        <f t="shared" si="54"/>
        <v>280.9744334243357</v>
      </c>
      <c r="M242" s="9">
        <f t="shared" si="55"/>
        <v>32.374341977948767</v>
      </c>
      <c r="N242" s="9">
        <f t="shared" si="56"/>
        <v>21.618858749999998</v>
      </c>
      <c r="O242" s="9">
        <f t="shared" si="57"/>
        <v>41.796460250000003</v>
      </c>
      <c r="P242" s="9">
        <f t="shared" si="58"/>
        <v>2.3212989414082768</v>
      </c>
      <c r="Q242" s="9">
        <f t="shared" si="59"/>
        <v>4.9582430055472253</v>
      </c>
      <c r="R242" s="9">
        <f t="shared" si="60"/>
        <v>6.2870897571648658</v>
      </c>
      <c r="S242" s="9">
        <f t="shared" si="60"/>
        <v>0.3922387345333741</v>
      </c>
      <c r="T242" s="9">
        <f t="shared" si="61"/>
        <v>10.867799999999999</v>
      </c>
      <c r="U242" s="107"/>
      <c r="V242" s="117">
        <f t="shared" si="62"/>
        <v>401.59076484093816</v>
      </c>
      <c r="W242" s="114">
        <v>0</v>
      </c>
      <c r="X242" s="107">
        <f t="shared" si="63"/>
        <v>401.59076484093816</v>
      </c>
      <c r="Y242" s="107">
        <v>401.59076484093816</v>
      </c>
    </row>
    <row r="243" spans="1:25" x14ac:dyDescent="0.2">
      <c r="A243" s="9">
        <v>1892</v>
      </c>
      <c r="B243" s="56">
        <v>1.5040192700333879</v>
      </c>
      <c r="C243" s="68">
        <v>1.5738132331939514</v>
      </c>
      <c r="D243" s="56">
        <v>4.3237717499999997</v>
      </c>
      <c r="E243" s="68">
        <v>13.932153416666667</v>
      </c>
      <c r="F243" s="56">
        <v>1.7294887805773562</v>
      </c>
      <c r="G243" s="109">
        <v>1.7327152267303101</v>
      </c>
      <c r="H243" s="109">
        <v>4.4078218208259861</v>
      </c>
      <c r="I243" s="99">
        <v>0.2638514489610172</v>
      </c>
      <c r="J243" s="109">
        <v>3.9005000000000001</v>
      </c>
      <c r="K243" s="107"/>
      <c r="L243" s="9">
        <f t="shared" si="54"/>
        <v>269.21944933597644</v>
      </c>
      <c r="M243" s="9">
        <f t="shared" si="55"/>
        <v>31.476264663879029</v>
      </c>
      <c r="N243" s="9">
        <f t="shared" si="56"/>
        <v>21.618858749999998</v>
      </c>
      <c r="O243" s="9">
        <f t="shared" si="57"/>
        <v>41.796460250000003</v>
      </c>
      <c r="P243" s="9">
        <f t="shared" si="58"/>
        <v>2.2483354147505632</v>
      </c>
      <c r="Q243" s="9">
        <f t="shared" si="59"/>
        <v>5.1981456801909305</v>
      </c>
      <c r="R243" s="9">
        <f t="shared" si="60"/>
        <v>5.730168367073782</v>
      </c>
      <c r="S243" s="9">
        <f t="shared" si="60"/>
        <v>0.34300688364932236</v>
      </c>
      <c r="T243" s="9">
        <f t="shared" si="61"/>
        <v>11.701499999999999</v>
      </c>
      <c r="U243" s="107"/>
      <c r="V243" s="117">
        <f t="shared" si="62"/>
        <v>389.33218934552002</v>
      </c>
      <c r="W243" s="114">
        <v>0</v>
      </c>
      <c r="X243" s="107">
        <f t="shared" si="63"/>
        <v>389.33218934552002</v>
      </c>
      <c r="Y243" s="107">
        <v>389.33218934552002</v>
      </c>
    </row>
    <row r="244" spans="1:25" x14ac:dyDescent="0.2">
      <c r="A244" s="9">
        <v>1893</v>
      </c>
      <c r="B244" s="56">
        <v>1.5696895722029929</v>
      </c>
      <c r="C244" s="68">
        <v>1.6187170988974382</v>
      </c>
      <c r="D244" s="56">
        <v>4.563981291666666</v>
      </c>
      <c r="E244" s="68">
        <v>14.4125725</v>
      </c>
      <c r="F244" s="56">
        <v>1.7945972399511745</v>
      </c>
      <c r="G244" s="109">
        <v>1.8746984039134325</v>
      </c>
      <c r="H244" s="109">
        <v>4.1832262575459858</v>
      </c>
      <c r="I244" s="99">
        <v>0.24399720116706516</v>
      </c>
      <c r="J244" s="109">
        <v>2.9287999999999998</v>
      </c>
      <c r="K244" s="107"/>
      <c r="L244" s="9">
        <f t="shared" si="54"/>
        <v>280.9744334243357</v>
      </c>
      <c r="M244" s="9">
        <f t="shared" si="55"/>
        <v>32.374341977948767</v>
      </c>
      <c r="N244" s="9">
        <f t="shared" si="56"/>
        <v>22.819906458333328</v>
      </c>
      <c r="O244" s="9">
        <f t="shared" si="57"/>
        <v>43.237717500000002</v>
      </c>
      <c r="P244" s="9">
        <f t="shared" si="58"/>
        <v>2.3329764119365271</v>
      </c>
      <c r="Q244" s="9">
        <f t="shared" si="59"/>
        <v>5.6240952117402969</v>
      </c>
      <c r="R244" s="9">
        <f t="shared" si="60"/>
        <v>5.4381941348097813</v>
      </c>
      <c r="S244" s="9">
        <f t="shared" si="60"/>
        <v>0.31719636151718472</v>
      </c>
      <c r="T244" s="9">
        <f t="shared" si="61"/>
        <v>8.7864000000000004</v>
      </c>
      <c r="U244" s="107"/>
      <c r="V244" s="117">
        <f t="shared" si="62"/>
        <v>401.90526148062162</v>
      </c>
      <c r="W244" s="114">
        <v>0</v>
      </c>
      <c r="X244" s="107">
        <f t="shared" si="63"/>
        <v>401.90526148062162</v>
      </c>
      <c r="Y244" s="107">
        <v>401.90526148062162</v>
      </c>
    </row>
    <row r="245" spans="1:25" x14ac:dyDescent="0.2">
      <c r="A245" s="9">
        <v>1894</v>
      </c>
      <c r="B245" s="56">
        <v>1.5040192700333879</v>
      </c>
      <c r="C245" s="68">
        <v>1.5738132331939514</v>
      </c>
      <c r="D245" s="56">
        <v>4.3237717499999997</v>
      </c>
      <c r="E245" s="68">
        <v>14.4125725</v>
      </c>
      <c r="F245" s="56">
        <v>1.8240852306407425</v>
      </c>
      <c r="G245" s="109">
        <v>1.4180029617753445</v>
      </c>
      <c r="H245" s="109">
        <v>3.9327219893182268</v>
      </c>
      <c r="I245" s="99">
        <v>0.22185262385573126</v>
      </c>
      <c r="J245" s="109">
        <v>2.9851000000000001</v>
      </c>
      <c r="K245" s="107"/>
      <c r="L245" s="9">
        <f t="shared" si="54"/>
        <v>269.21944933597644</v>
      </c>
      <c r="M245" s="9">
        <f t="shared" si="55"/>
        <v>31.476264663879029</v>
      </c>
      <c r="N245" s="9">
        <f t="shared" si="56"/>
        <v>21.618858749999998</v>
      </c>
      <c r="O245" s="9">
        <f t="shared" si="57"/>
        <v>43.237717500000002</v>
      </c>
      <c r="P245" s="9">
        <f t="shared" si="58"/>
        <v>2.3713107998329654</v>
      </c>
      <c r="Q245" s="9">
        <f t="shared" si="59"/>
        <v>4.2540088853260336</v>
      </c>
      <c r="R245" s="9">
        <f t="shared" si="60"/>
        <v>5.1125385861136952</v>
      </c>
      <c r="S245" s="9">
        <f t="shared" si="60"/>
        <v>0.28840841101245063</v>
      </c>
      <c r="T245" s="9">
        <f t="shared" si="61"/>
        <v>8.9553000000000011</v>
      </c>
      <c r="U245" s="107"/>
      <c r="V245" s="117">
        <f t="shared" si="62"/>
        <v>386.53385693214057</v>
      </c>
      <c r="W245" s="114">
        <v>0</v>
      </c>
      <c r="X245" s="107">
        <f t="shared" si="63"/>
        <v>386.53385693214057</v>
      </c>
      <c r="Y245" s="107">
        <v>386.53385693214057</v>
      </c>
    </row>
    <row r="246" spans="1:25" x14ac:dyDescent="0.2">
      <c r="A246" s="9">
        <v>1895</v>
      </c>
      <c r="B246" s="56">
        <v>1.5040192700333879</v>
      </c>
      <c r="C246" s="68">
        <v>1.5738132331939514</v>
      </c>
      <c r="D246" s="56">
        <v>4.3237717499999997</v>
      </c>
      <c r="E246" s="68">
        <v>14.4125725</v>
      </c>
      <c r="F246" s="56">
        <v>1.8516867771247578</v>
      </c>
      <c r="G246" s="55">
        <f>G245+($G$247-$G$245)/2</f>
        <v>1.5414724115505798</v>
      </c>
      <c r="H246" s="109">
        <v>3.8116616989968191</v>
      </c>
      <c r="I246" s="99">
        <v>0.21115089419131886</v>
      </c>
      <c r="J246" s="109">
        <v>2.9312</v>
      </c>
      <c r="K246" s="107"/>
      <c r="L246" s="9">
        <f t="shared" si="54"/>
        <v>269.21944933597644</v>
      </c>
      <c r="M246" s="9">
        <f t="shared" si="55"/>
        <v>31.476264663879029</v>
      </c>
      <c r="N246" s="9">
        <f t="shared" si="56"/>
        <v>21.618858749999998</v>
      </c>
      <c r="O246" s="9">
        <f t="shared" si="57"/>
        <v>43.237717500000002</v>
      </c>
      <c r="P246" s="9">
        <f t="shared" si="58"/>
        <v>2.4071928102621851</v>
      </c>
      <c r="Q246" s="9">
        <f t="shared" si="59"/>
        <v>4.6244172346517392</v>
      </c>
      <c r="R246" s="9">
        <f t="shared" si="60"/>
        <v>4.9551602086958653</v>
      </c>
      <c r="S246" s="9">
        <f t="shared" si="60"/>
        <v>0.2744961624487145</v>
      </c>
      <c r="T246" s="9">
        <f t="shared" si="61"/>
        <v>8.7935999999999996</v>
      </c>
      <c r="U246" s="107"/>
      <c r="V246" s="117">
        <f t="shared" si="62"/>
        <v>386.60715666591398</v>
      </c>
      <c r="W246" s="114">
        <v>0</v>
      </c>
      <c r="X246" s="107">
        <f t="shared" si="63"/>
        <v>386.60715666591398</v>
      </c>
      <c r="Y246" s="107">
        <v>386.60715666591398</v>
      </c>
    </row>
    <row r="247" spans="1:25" x14ac:dyDescent="0.2">
      <c r="A247" s="9">
        <v>1896</v>
      </c>
      <c r="B247" s="56">
        <v>1.5040192700333879</v>
      </c>
      <c r="C247" s="68">
        <v>1.5738132331939514</v>
      </c>
      <c r="D247" s="56">
        <v>5.0444003749999995</v>
      </c>
      <c r="E247" s="68">
        <v>15.853829750000001</v>
      </c>
      <c r="F247" s="56">
        <v>1.5716597335028202</v>
      </c>
      <c r="G247" s="109">
        <v>1.6649418613258151</v>
      </c>
      <c r="H247" s="109">
        <v>3.5305422051686994</v>
      </c>
      <c r="I247" s="99">
        <v>0.18629993093691308</v>
      </c>
      <c r="J247" s="109">
        <v>2.8491</v>
      </c>
      <c r="K247" s="107"/>
      <c r="L247" s="9">
        <f t="shared" si="54"/>
        <v>269.21944933597644</v>
      </c>
      <c r="M247" s="9">
        <f t="shared" si="55"/>
        <v>31.476264663879029</v>
      </c>
      <c r="N247" s="9">
        <f t="shared" si="56"/>
        <v>25.222001874999997</v>
      </c>
      <c r="O247" s="9">
        <f t="shared" si="57"/>
        <v>47.561489250000001</v>
      </c>
      <c r="P247" s="9">
        <f t="shared" si="58"/>
        <v>2.0431576535536662</v>
      </c>
      <c r="Q247" s="9">
        <f t="shared" si="59"/>
        <v>4.9948255839774456</v>
      </c>
      <c r="R247" s="9">
        <f t="shared" si="60"/>
        <v>4.589704866719309</v>
      </c>
      <c r="S247" s="9">
        <f t="shared" si="60"/>
        <v>0.242189910217987</v>
      </c>
      <c r="T247" s="9">
        <f t="shared" si="61"/>
        <v>8.5472999999999999</v>
      </c>
      <c r="U247" s="107"/>
      <c r="V247" s="117">
        <f t="shared" si="62"/>
        <v>393.89638313932392</v>
      </c>
      <c r="W247" s="114">
        <v>0</v>
      </c>
      <c r="X247" s="107">
        <f t="shared" si="63"/>
        <v>393.89638313932392</v>
      </c>
      <c r="Y247" s="107">
        <v>393.89638313932392</v>
      </c>
    </row>
    <row r="248" spans="1:25" x14ac:dyDescent="0.2">
      <c r="A248" s="9">
        <v>1897</v>
      </c>
      <c r="B248" s="56">
        <v>1.4055138167789802</v>
      </c>
      <c r="C248" s="43">
        <v>1.5064574346387216</v>
      </c>
      <c r="D248" s="56">
        <v>8.6475434999999994</v>
      </c>
      <c r="E248" s="68">
        <v>19.216763333333336</v>
      </c>
      <c r="F248" s="56">
        <v>1.5428437469572489</v>
      </c>
      <c r="G248" s="109">
        <v>1.9995246555819475</v>
      </c>
      <c r="H248" s="109">
        <v>8.6475434999999994</v>
      </c>
      <c r="I248" s="99">
        <v>0.63864284539999994</v>
      </c>
      <c r="J248" s="109">
        <v>3.0074000000000001</v>
      </c>
      <c r="K248" s="107"/>
      <c r="L248" s="9">
        <f t="shared" si="54"/>
        <v>251.58697320343745</v>
      </c>
      <c r="M248" s="9">
        <f t="shared" si="55"/>
        <v>30.129148692774432</v>
      </c>
      <c r="N248" s="9">
        <f t="shared" si="56"/>
        <v>43.237717499999995</v>
      </c>
      <c r="O248" s="9">
        <f t="shared" si="57"/>
        <v>57.650290000000012</v>
      </c>
      <c r="P248" s="9">
        <f t="shared" si="58"/>
        <v>2.0056968710444236</v>
      </c>
      <c r="Q248" s="9">
        <f t="shared" si="59"/>
        <v>5.9985739667458429</v>
      </c>
      <c r="R248" s="9">
        <f t="shared" si="60"/>
        <v>11.24180655</v>
      </c>
      <c r="S248" s="9">
        <f t="shared" si="60"/>
        <v>0.83023569901999994</v>
      </c>
      <c r="T248" s="9">
        <f t="shared" si="61"/>
        <v>9.0221999999999998</v>
      </c>
      <c r="U248" s="107"/>
      <c r="V248" s="117">
        <f t="shared" si="62"/>
        <v>411.70264248302215</v>
      </c>
      <c r="W248" s="114">
        <v>0</v>
      </c>
      <c r="X248" s="107">
        <f t="shared" si="63"/>
        <v>411.70264248302215</v>
      </c>
      <c r="Y248" s="107">
        <v>411.70264248302215</v>
      </c>
    </row>
    <row r="249" spans="1:25" x14ac:dyDescent="0.2">
      <c r="A249" s="9">
        <v>1898</v>
      </c>
      <c r="B249" s="56">
        <v>1.3070083635245731</v>
      </c>
      <c r="C249" s="68">
        <v>1.4391016360834916</v>
      </c>
      <c r="D249" s="56">
        <v>7.6867053333333333</v>
      </c>
      <c r="E249" s="68">
        <v>17.295087000000002</v>
      </c>
      <c r="F249" s="56">
        <v>1.5687914839534334</v>
      </c>
      <c r="G249" s="109">
        <v>1.3970899193395934</v>
      </c>
      <c r="H249" s="109">
        <v>6.7258671666666672</v>
      </c>
      <c r="I249" s="99">
        <v>0.46876665753333335</v>
      </c>
      <c r="J249" s="109">
        <v>3.0596000000000001</v>
      </c>
      <c r="K249" s="107"/>
      <c r="L249" s="9">
        <f t="shared" si="54"/>
        <v>233.95449707089858</v>
      </c>
      <c r="M249" s="9">
        <f t="shared" si="55"/>
        <v>28.782032721669832</v>
      </c>
      <c r="N249" s="9">
        <f t="shared" si="56"/>
        <v>38.433526666666666</v>
      </c>
      <c r="O249" s="9">
        <f t="shared" si="57"/>
        <v>51.885261000000007</v>
      </c>
      <c r="P249" s="9">
        <f t="shared" si="58"/>
        <v>2.0394289291394636</v>
      </c>
      <c r="Q249" s="9">
        <f t="shared" si="59"/>
        <v>4.1912697580187803</v>
      </c>
      <c r="R249" s="9">
        <f t="shared" si="60"/>
        <v>8.743627316666668</v>
      </c>
      <c r="S249" s="9">
        <f t="shared" si="60"/>
        <v>0.60939665479333338</v>
      </c>
      <c r="T249" s="9">
        <f t="shared" si="61"/>
        <v>9.1788000000000007</v>
      </c>
      <c r="U249" s="107"/>
      <c r="V249" s="117">
        <f t="shared" si="62"/>
        <v>377.81784011785339</v>
      </c>
      <c r="W249" s="114">
        <v>0</v>
      </c>
      <c r="X249" s="107">
        <f t="shared" si="63"/>
        <v>377.81784011785339</v>
      </c>
      <c r="Y249" s="107">
        <v>377.81784011785339</v>
      </c>
    </row>
    <row r="250" spans="1:25" x14ac:dyDescent="0.2">
      <c r="A250" s="9">
        <v>1899</v>
      </c>
      <c r="B250" s="56">
        <v>1.3070083635245731</v>
      </c>
      <c r="C250" s="68">
        <v>1.4391016360834916</v>
      </c>
      <c r="D250" s="56">
        <v>7.6867053333333333</v>
      </c>
      <c r="E250" s="68">
        <v>20.177601499999998</v>
      </c>
      <c r="F250" s="56">
        <v>1.6368382787703244</v>
      </c>
      <c r="G250" s="109">
        <v>1.6425452110110501</v>
      </c>
      <c r="H250" s="109">
        <v>7.6867053333333333</v>
      </c>
      <c r="I250" s="99">
        <v>0.55370475146666664</v>
      </c>
      <c r="J250" s="109">
        <v>3.9759000000000002</v>
      </c>
      <c r="K250" s="107"/>
      <c r="L250" s="9">
        <f t="shared" si="54"/>
        <v>233.95449707089858</v>
      </c>
      <c r="M250" s="9">
        <f t="shared" si="55"/>
        <v>28.782032721669832</v>
      </c>
      <c r="N250" s="9">
        <f t="shared" si="56"/>
        <v>38.433526666666666</v>
      </c>
      <c r="O250" s="9">
        <f t="shared" si="57"/>
        <v>60.532804499999997</v>
      </c>
      <c r="P250" s="9">
        <f t="shared" si="58"/>
        <v>2.1278897624014217</v>
      </c>
      <c r="Q250" s="9">
        <f t="shared" si="59"/>
        <v>4.9276356330331499</v>
      </c>
      <c r="R250" s="9">
        <f t="shared" si="60"/>
        <v>9.9927169333333339</v>
      </c>
      <c r="S250" s="9">
        <f t="shared" si="60"/>
        <v>0.71981617690666666</v>
      </c>
      <c r="T250" s="9">
        <f t="shared" si="61"/>
        <v>11.927700000000002</v>
      </c>
      <c r="U250" s="107"/>
      <c r="V250" s="117">
        <f t="shared" si="62"/>
        <v>391.39861946490964</v>
      </c>
      <c r="W250" s="114">
        <v>0</v>
      </c>
      <c r="X250" s="107">
        <f t="shared" si="63"/>
        <v>391.39861946490964</v>
      </c>
      <c r="Y250" s="107">
        <v>391.39861946490964</v>
      </c>
    </row>
    <row r="251" spans="1:25" x14ac:dyDescent="0.2">
      <c r="A251" s="9">
        <v>1900</v>
      </c>
      <c r="B251" s="56">
        <v>1.3070083635245731</v>
      </c>
      <c r="C251" s="68">
        <v>1.4391016360834916</v>
      </c>
      <c r="D251" s="56">
        <v>7.6867053333333333</v>
      </c>
      <c r="E251" s="68">
        <v>17.295087000000002</v>
      </c>
      <c r="F251" s="56">
        <v>1.860691065327347</v>
      </c>
      <c r="G251" s="109">
        <v>1.0964380804259219</v>
      </c>
      <c r="H251" s="109">
        <v>7.6867053333333333</v>
      </c>
      <c r="I251" s="99">
        <v>0.55370475146666664</v>
      </c>
      <c r="J251" s="109">
        <v>4.1097000000000001</v>
      </c>
      <c r="K251" s="107"/>
      <c r="L251" s="9">
        <f t="shared" si="54"/>
        <v>233.95449707089858</v>
      </c>
      <c r="M251" s="9">
        <f t="shared" si="55"/>
        <v>28.782032721669832</v>
      </c>
      <c r="N251" s="9">
        <f t="shared" si="56"/>
        <v>38.433526666666666</v>
      </c>
      <c r="O251" s="9">
        <f t="shared" si="57"/>
        <v>51.885261000000007</v>
      </c>
      <c r="P251" s="9">
        <f t="shared" si="58"/>
        <v>2.418898384925551</v>
      </c>
      <c r="Q251" s="9">
        <f t="shared" si="59"/>
        <v>3.2893142412777658</v>
      </c>
      <c r="R251" s="9">
        <f t="shared" si="60"/>
        <v>9.9927169333333339</v>
      </c>
      <c r="S251" s="9">
        <f t="shared" si="60"/>
        <v>0.71981617690666666</v>
      </c>
      <c r="T251" s="9">
        <f t="shared" si="61"/>
        <v>12.3291</v>
      </c>
      <c r="U251" s="107"/>
      <c r="V251" s="117">
        <f t="shared" si="62"/>
        <v>381.8051631956784</v>
      </c>
      <c r="W251" s="114">
        <v>0</v>
      </c>
      <c r="X251" s="107">
        <f t="shared" si="63"/>
        <v>381.8051631956784</v>
      </c>
      <c r="Y251" s="107">
        <v>381.8051631956784</v>
      </c>
    </row>
    <row r="252" spans="1:25" x14ac:dyDescent="0.2">
      <c r="A252" s="9">
        <v>1901</v>
      </c>
      <c r="B252" s="56">
        <v>1.4383489678637829</v>
      </c>
      <c r="C252" s="68">
        <v>1.5289093674904648</v>
      </c>
      <c r="D252" s="56">
        <v>8.6475434999999994</v>
      </c>
      <c r="E252" s="68">
        <v>23.060116000000004</v>
      </c>
      <c r="F252" s="56">
        <v>1.9776645273805062</v>
      </c>
      <c r="G252" s="109">
        <v>1.3989886326632288</v>
      </c>
      <c r="H252" s="109">
        <v>8.6475434999999994</v>
      </c>
      <c r="I252" s="99">
        <v>0.63864284539999994</v>
      </c>
      <c r="J252" s="109">
        <v>4.6928000000000001</v>
      </c>
      <c r="K252" s="107"/>
      <c r="L252" s="9">
        <f t="shared" si="54"/>
        <v>257.46446524761711</v>
      </c>
      <c r="M252" s="9">
        <f t="shared" si="55"/>
        <v>30.578187349809298</v>
      </c>
      <c r="N252" s="9">
        <f t="shared" si="56"/>
        <v>43.237717499999995</v>
      </c>
      <c r="O252" s="9">
        <f t="shared" si="57"/>
        <v>69.180348000000009</v>
      </c>
      <c r="P252" s="9">
        <f t="shared" si="58"/>
        <v>2.5709638855946584</v>
      </c>
      <c r="Q252" s="9">
        <f t="shared" si="59"/>
        <v>4.1969658979896867</v>
      </c>
      <c r="R252" s="9">
        <f t="shared" si="60"/>
        <v>11.24180655</v>
      </c>
      <c r="S252" s="9">
        <f t="shared" si="60"/>
        <v>0.83023569901999994</v>
      </c>
      <c r="T252" s="9">
        <f t="shared" si="61"/>
        <v>14.0784</v>
      </c>
      <c r="U252" s="107"/>
      <c r="V252" s="117">
        <f t="shared" si="62"/>
        <v>433.3790901300307</v>
      </c>
      <c r="W252" s="114">
        <v>0</v>
      </c>
      <c r="X252" s="107">
        <f t="shared" si="63"/>
        <v>433.3790901300307</v>
      </c>
      <c r="Y252" s="107">
        <v>433.3790901300307</v>
      </c>
    </row>
    <row r="253" spans="1:25" x14ac:dyDescent="0.2">
      <c r="A253" s="9">
        <v>1902</v>
      </c>
      <c r="B253" s="56">
        <v>1.4383489678637829</v>
      </c>
      <c r="C253" s="68">
        <v>1.5289093674904648</v>
      </c>
      <c r="D253" s="56">
        <v>12.490896166666667</v>
      </c>
      <c r="E253" s="68">
        <v>19.216763333333336</v>
      </c>
      <c r="F253" s="56">
        <v>2.055090838970095</v>
      </c>
      <c r="G253" s="109">
        <v>1.2736155747844788</v>
      </c>
      <c r="H253" s="109">
        <v>8.6475434999999994</v>
      </c>
      <c r="I253" s="99">
        <v>0.63864284539999994</v>
      </c>
      <c r="J253" s="109">
        <v>4.0667999999999997</v>
      </c>
      <c r="K253" s="107"/>
      <c r="L253" s="9">
        <f t="shared" si="54"/>
        <v>257.46446524761711</v>
      </c>
      <c r="M253" s="9">
        <f t="shared" si="55"/>
        <v>30.578187349809298</v>
      </c>
      <c r="N253" s="9">
        <f t="shared" si="56"/>
        <v>62.454480833333335</v>
      </c>
      <c r="O253" s="9">
        <f t="shared" si="57"/>
        <v>57.650290000000012</v>
      </c>
      <c r="P253" s="9">
        <f t="shared" si="58"/>
        <v>2.6716180906611235</v>
      </c>
      <c r="Q253" s="9">
        <f t="shared" si="59"/>
        <v>3.8208467243534363</v>
      </c>
      <c r="R253" s="9">
        <f t="shared" si="60"/>
        <v>11.24180655</v>
      </c>
      <c r="S253" s="9">
        <f t="shared" si="60"/>
        <v>0.83023569901999994</v>
      </c>
      <c r="T253" s="9">
        <f t="shared" si="61"/>
        <v>12.200399999999998</v>
      </c>
      <c r="U253" s="107"/>
      <c r="V253" s="117">
        <f t="shared" si="62"/>
        <v>438.91233049479433</v>
      </c>
      <c r="W253" s="114">
        <v>0</v>
      </c>
      <c r="X253" s="107">
        <f t="shared" si="63"/>
        <v>438.91233049479433</v>
      </c>
      <c r="Y253" s="107">
        <v>438.91233049479433</v>
      </c>
    </row>
    <row r="254" spans="1:25" x14ac:dyDescent="0.2">
      <c r="A254" s="9">
        <v>1903</v>
      </c>
      <c r="B254" s="56">
        <v>1.1756677591853633</v>
      </c>
      <c r="C254" s="68">
        <v>1.3492939046765189</v>
      </c>
      <c r="D254" s="56">
        <v>9.6083816666666646</v>
      </c>
      <c r="E254" s="68">
        <v>15.373410666666667</v>
      </c>
      <c r="F254" s="57">
        <f>F253+($F$256-$F$253)/3</f>
        <v>2.0116802373820346</v>
      </c>
      <c r="G254" s="8"/>
      <c r="H254" s="109">
        <v>8.6475434999999994</v>
      </c>
      <c r="I254" s="99">
        <v>0.63864284539999994</v>
      </c>
      <c r="J254" s="55">
        <f>J253+($J$256-$J$253)/3</f>
        <v>3.4659999999999997</v>
      </c>
      <c r="K254" s="107"/>
      <c r="L254" s="9">
        <f t="shared" si="54"/>
        <v>210.44452889418002</v>
      </c>
      <c r="M254" s="9">
        <f t="shared" si="55"/>
        <v>26.985878093530378</v>
      </c>
      <c r="N254" s="9">
        <f t="shared" si="56"/>
        <v>48.041908333333325</v>
      </c>
      <c r="O254" s="9">
        <f t="shared" si="57"/>
        <v>46.120232000000001</v>
      </c>
      <c r="P254" s="9">
        <f t="shared" si="58"/>
        <v>2.6151843085966453</v>
      </c>
      <c r="Q254" s="9">
        <f t="shared" si="59"/>
        <v>0</v>
      </c>
      <c r="R254" s="9">
        <f t="shared" si="60"/>
        <v>11.24180655</v>
      </c>
      <c r="S254" s="9">
        <f t="shared" si="60"/>
        <v>0.83023569901999994</v>
      </c>
      <c r="T254" s="9">
        <f t="shared" si="61"/>
        <v>10.398</v>
      </c>
      <c r="U254" s="107"/>
      <c r="V254" s="117">
        <f t="shared" si="62"/>
        <v>356.67777387866039</v>
      </c>
      <c r="W254" s="114">
        <f>$Q$2</f>
        <v>3.0181429174424502E-2</v>
      </c>
      <c r="X254" s="107">
        <f t="shared" si="63"/>
        <v>367.7778345438694</v>
      </c>
      <c r="Y254" s="107">
        <v>360.49862060301382</v>
      </c>
    </row>
    <row r="255" spans="1:25" x14ac:dyDescent="0.2">
      <c r="A255" s="9">
        <v>1904</v>
      </c>
      <c r="B255" s="56">
        <v>1.1756677591853633</v>
      </c>
      <c r="C255" s="68">
        <v>1.3492939046765189</v>
      </c>
      <c r="D255" s="56">
        <v>7.6867053333333333</v>
      </c>
      <c r="E255" s="43">
        <v>13.451734333333334</v>
      </c>
      <c r="F255" s="57">
        <f>F254+($F$256-$F$253)/3</f>
        <v>1.9682696357939742</v>
      </c>
      <c r="G255" s="8"/>
      <c r="H255" s="109">
        <v>5.2846099166666667</v>
      </c>
      <c r="I255" s="99">
        <v>0.34135951663333342</v>
      </c>
      <c r="J255" s="55">
        <f>J254+($J$256-$J$253)/3</f>
        <v>2.8651999999999997</v>
      </c>
      <c r="K255" s="107"/>
      <c r="L255" s="9">
        <f t="shared" si="54"/>
        <v>210.44452889418002</v>
      </c>
      <c r="M255" s="9">
        <f t="shared" si="55"/>
        <v>26.985878093530378</v>
      </c>
      <c r="N255" s="9">
        <f t="shared" si="56"/>
        <v>38.433526666666666</v>
      </c>
      <c r="O255" s="9">
        <f t="shared" si="57"/>
        <v>40.355203000000003</v>
      </c>
      <c r="P255" s="9">
        <f t="shared" si="58"/>
        <v>2.5587505265321666</v>
      </c>
      <c r="Q255" s="9">
        <f t="shared" si="59"/>
        <v>0</v>
      </c>
      <c r="R255" s="9">
        <f t="shared" si="60"/>
        <v>6.8699928916666666</v>
      </c>
      <c r="S255" s="9">
        <f t="shared" si="60"/>
        <v>0.44376737162333346</v>
      </c>
      <c r="T255" s="9">
        <f t="shared" si="61"/>
        <v>8.5955999999999992</v>
      </c>
      <c r="U255" s="107"/>
      <c r="V255" s="117">
        <f t="shared" si="62"/>
        <v>334.68724744419922</v>
      </c>
      <c r="W255" s="114">
        <f t="shared" ref="W255:W264" si="66">$Q$2</f>
        <v>3.0181429174424502E-2</v>
      </c>
      <c r="X255" s="107">
        <f t="shared" si="63"/>
        <v>345.10294761554286</v>
      </c>
      <c r="Y255" s="107">
        <v>338.50809416855265</v>
      </c>
    </row>
    <row r="256" spans="1:25" x14ac:dyDescent="0.2">
      <c r="A256" s="9">
        <v>1905</v>
      </c>
      <c r="B256" s="56">
        <v>1.1756677591853633</v>
      </c>
      <c r="C256" s="43">
        <v>1.3492939046765189</v>
      </c>
      <c r="D256" s="57">
        <v>8.1671244166666668</v>
      </c>
      <c r="E256" s="68">
        <v>11.530058000000002</v>
      </c>
      <c r="F256" s="56">
        <v>1.9248590342059138</v>
      </c>
      <c r="G256" s="8"/>
      <c r="H256" s="109">
        <v>6.7258671666666672</v>
      </c>
      <c r="I256" s="99">
        <v>0.46876665753333335</v>
      </c>
      <c r="J256" s="109">
        <v>2.2644000000000002</v>
      </c>
      <c r="K256" s="107"/>
      <c r="L256" s="9">
        <f t="shared" si="54"/>
        <v>210.44452889418002</v>
      </c>
      <c r="M256" s="9">
        <f t="shared" si="55"/>
        <v>26.985878093530378</v>
      </c>
      <c r="N256" s="9">
        <f t="shared" si="56"/>
        <v>40.835622083333334</v>
      </c>
      <c r="O256" s="9">
        <f t="shared" si="57"/>
        <v>34.590174000000005</v>
      </c>
      <c r="P256" s="9">
        <f t="shared" si="58"/>
        <v>2.5023167444676879</v>
      </c>
      <c r="Q256" s="9">
        <f t="shared" si="59"/>
        <v>0</v>
      </c>
      <c r="R256" s="9">
        <f t="shared" si="60"/>
        <v>8.743627316666668</v>
      </c>
      <c r="S256" s="9">
        <f t="shared" si="60"/>
        <v>0.60939665479333338</v>
      </c>
      <c r="T256" s="9">
        <f t="shared" si="61"/>
        <v>6.7932000000000006</v>
      </c>
      <c r="U256" s="107"/>
      <c r="V256" s="117">
        <f t="shared" si="62"/>
        <v>331.5047437869714</v>
      </c>
      <c r="W256" s="114">
        <f t="shared" si="66"/>
        <v>3.0181429174424502E-2</v>
      </c>
      <c r="X256" s="107">
        <f t="shared" si="63"/>
        <v>341.82140222863745</v>
      </c>
      <c r="Y256" s="107">
        <v>335.32559051132483</v>
      </c>
    </row>
    <row r="257" spans="1:25" x14ac:dyDescent="0.2">
      <c r="A257" s="9">
        <v>1906</v>
      </c>
      <c r="B257" s="56">
        <v>1.1756677591853633</v>
      </c>
      <c r="C257" s="68">
        <v>1.3492939046765189</v>
      </c>
      <c r="D257" s="56">
        <v>8.6475434999999994</v>
      </c>
      <c r="E257" s="68">
        <v>17.295087000000002</v>
      </c>
      <c r="F257" s="57">
        <f>F256+($F$261-$F$256)/5</f>
        <v>1.9729792194565587</v>
      </c>
      <c r="G257" s="8"/>
      <c r="H257" s="109">
        <v>6.7258671666666672</v>
      </c>
      <c r="I257" s="99">
        <v>0.46876665753333335</v>
      </c>
      <c r="J257" s="55">
        <f>J256+($J$259-$J$256)/3</f>
        <v>2.3653666666666666</v>
      </c>
      <c r="K257" s="107"/>
      <c r="L257" s="9">
        <f t="shared" si="54"/>
        <v>210.44452889418002</v>
      </c>
      <c r="M257" s="9">
        <f t="shared" si="55"/>
        <v>26.985878093530378</v>
      </c>
      <c r="N257" s="9">
        <f t="shared" si="56"/>
        <v>43.237717499999995</v>
      </c>
      <c r="O257" s="9">
        <f t="shared" si="57"/>
        <v>51.885261000000007</v>
      </c>
      <c r="P257" s="9">
        <f t="shared" si="58"/>
        <v>2.5648729852935266</v>
      </c>
      <c r="Q257" s="9">
        <f t="shared" si="59"/>
        <v>0</v>
      </c>
      <c r="R257" s="9">
        <f t="shared" si="60"/>
        <v>8.743627316666668</v>
      </c>
      <c r="S257" s="9">
        <f t="shared" si="60"/>
        <v>0.60939665479333338</v>
      </c>
      <c r="T257" s="9">
        <f t="shared" si="61"/>
        <v>7.0960999999999999</v>
      </c>
      <c r="U257" s="107"/>
      <c r="V257" s="117">
        <f t="shared" si="62"/>
        <v>351.56738244446387</v>
      </c>
      <c r="W257" s="114">
        <f t="shared" si="66"/>
        <v>3.0181429174424502E-2</v>
      </c>
      <c r="X257" s="107">
        <f t="shared" si="63"/>
        <v>362.50840417005605</v>
      </c>
      <c r="Y257" s="107">
        <v>355.3882291688173</v>
      </c>
    </row>
    <row r="258" spans="1:25" x14ac:dyDescent="0.2">
      <c r="A258" s="9">
        <v>1907</v>
      </c>
      <c r="B258" s="56">
        <v>1.1756677591853633</v>
      </c>
      <c r="C258" s="68">
        <v>1.3492939046765189</v>
      </c>
      <c r="D258" s="56">
        <v>8.6475434999999994</v>
      </c>
      <c r="E258" s="68">
        <v>17.295087000000002</v>
      </c>
      <c r="F258" s="57">
        <f>F257+($F$261-$F$256)/5</f>
        <v>2.0210994047072037</v>
      </c>
      <c r="G258" s="8"/>
      <c r="H258" s="109">
        <v>6.7258671666666672</v>
      </c>
      <c r="I258" s="99">
        <v>0.46876665753333335</v>
      </c>
      <c r="J258" s="55">
        <f>J257+($J$259-$J$256)/3</f>
        <v>2.466333333333333</v>
      </c>
      <c r="K258" s="107"/>
      <c r="L258" s="9">
        <f t="shared" si="54"/>
        <v>210.44452889418002</v>
      </c>
      <c r="M258" s="9">
        <f t="shared" si="55"/>
        <v>26.985878093530378</v>
      </c>
      <c r="N258" s="9">
        <f t="shared" si="56"/>
        <v>43.237717499999995</v>
      </c>
      <c r="O258" s="9">
        <f t="shared" si="57"/>
        <v>51.885261000000007</v>
      </c>
      <c r="P258" s="9">
        <f t="shared" si="58"/>
        <v>2.6274292261193648</v>
      </c>
      <c r="Q258" s="9">
        <f t="shared" si="59"/>
        <v>0</v>
      </c>
      <c r="R258" s="9">
        <f t="shared" si="60"/>
        <v>8.743627316666668</v>
      </c>
      <c r="S258" s="9">
        <f t="shared" si="60"/>
        <v>0.60939665479333338</v>
      </c>
      <c r="T258" s="9">
        <f t="shared" si="61"/>
        <v>7.3989999999999991</v>
      </c>
      <c r="U258" s="107"/>
      <c r="V258" s="117">
        <f t="shared" si="62"/>
        <v>351.93283868528977</v>
      </c>
      <c r="W258" s="114">
        <f t="shared" si="66"/>
        <v>3.0181429174424502E-2</v>
      </c>
      <c r="X258" s="107">
        <f t="shared" si="63"/>
        <v>362.88523366355071</v>
      </c>
      <c r="Y258" s="107">
        <v>355.7536854096432</v>
      </c>
    </row>
    <row r="259" spans="1:25" x14ac:dyDescent="0.2">
      <c r="A259" s="9">
        <v>1908</v>
      </c>
      <c r="B259" s="56">
        <v>1.3726786656941781</v>
      </c>
      <c r="C259" s="68">
        <v>1.4840055017869784</v>
      </c>
      <c r="D259" s="56">
        <v>7.6867053333333333</v>
      </c>
      <c r="E259" s="68">
        <v>17.775506083333333</v>
      </c>
      <c r="F259" s="57">
        <f>F258+($F$261-$F$256)/5</f>
        <v>2.0692195899578487</v>
      </c>
      <c r="G259" s="8"/>
      <c r="H259" s="109">
        <v>7.2062862499999998</v>
      </c>
      <c r="I259" s="99">
        <v>0.5112357045</v>
      </c>
      <c r="J259" s="109">
        <v>2.5672999999999999</v>
      </c>
      <c r="K259" s="107"/>
      <c r="L259" s="9">
        <f t="shared" si="54"/>
        <v>245.70948115925788</v>
      </c>
      <c r="M259" s="9">
        <f t="shared" si="55"/>
        <v>29.680110035739567</v>
      </c>
      <c r="N259" s="9">
        <f t="shared" si="56"/>
        <v>38.433526666666666</v>
      </c>
      <c r="O259" s="9">
        <f t="shared" si="57"/>
        <v>53.326518249999999</v>
      </c>
      <c r="P259" s="9">
        <f t="shared" si="58"/>
        <v>2.6899854669452035</v>
      </c>
      <c r="Q259" s="9">
        <f t="shared" si="59"/>
        <v>0</v>
      </c>
      <c r="R259" s="9">
        <f t="shared" si="60"/>
        <v>9.3681721249999992</v>
      </c>
      <c r="S259" s="9">
        <f t="shared" si="60"/>
        <v>0.66460641585000002</v>
      </c>
      <c r="T259" s="9">
        <f t="shared" si="61"/>
        <v>7.7019000000000002</v>
      </c>
      <c r="U259" s="107"/>
      <c r="V259" s="117">
        <f t="shared" si="62"/>
        <v>387.57430011945928</v>
      </c>
      <c r="W259" s="114">
        <f t="shared" si="66"/>
        <v>3.0181429174424502E-2</v>
      </c>
      <c r="X259" s="107">
        <f t="shared" si="63"/>
        <v>399.63588219343922</v>
      </c>
      <c r="Y259" s="107">
        <v>391.39514684381271</v>
      </c>
    </row>
    <row r="260" spans="1:25" x14ac:dyDescent="0.2">
      <c r="A260" s="9">
        <v>1909</v>
      </c>
      <c r="B260" s="56">
        <v>1.3726786656941781</v>
      </c>
      <c r="C260" s="68">
        <v>1.4840055017869784</v>
      </c>
      <c r="D260" s="56">
        <v>7.6867053333333333</v>
      </c>
      <c r="E260" s="68">
        <v>20.658020583333332</v>
      </c>
      <c r="F260" s="57">
        <f>F259+($F$261-$F$256)/5</f>
        <v>2.1173397752084937</v>
      </c>
      <c r="G260" s="8"/>
      <c r="H260" s="109">
        <v>7.6867053333333333</v>
      </c>
      <c r="I260" s="99">
        <v>0.55370475146666664</v>
      </c>
      <c r="J260" s="109">
        <v>2.2269999999999999</v>
      </c>
      <c r="K260" s="107"/>
      <c r="L260" s="9">
        <f t="shared" si="54"/>
        <v>245.70948115925788</v>
      </c>
      <c r="M260" s="9">
        <f t="shared" si="55"/>
        <v>29.680110035739567</v>
      </c>
      <c r="N260" s="9">
        <f t="shared" si="56"/>
        <v>38.433526666666666</v>
      </c>
      <c r="O260" s="9">
        <f t="shared" si="57"/>
        <v>61.974061749999997</v>
      </c>
      <c r="P260" s="9">
        <f t="shared" si="58"/>
        <v>2.7525417077710421</v>
      </c>
      <c r="Q260" s="9">
        <f t="shared" si="59"/>
        <v>0</v>
      </c>
      <c r="R260" s="9">
        <f t="shared" si="60"/>
        <v>9.9927169333333339</v>
      </c>
      <c r="S260" s="9">
        <f t="shared" si="60"/>
        <v>0.71981617690666666</v>
      </c>
      <c r="T260" s="9">
        <f t="shared" si="61"/>
        <v>6.6809999999999992</v>
      </c>
      <c r="U260" s="107"/>
      <c r="V260" s="117">
        <f t="shared" si="62"/>
        <v>395.94325442967505</v>
      </c>
      <c r="W260" s="114">
        <f t="shared" si="66"/>
        <v>3.0181429174424502E-2</v>
      </c>
      <c r="X260" s="107">
        <f t="shared" si="63"/>
        <v>408.26528418879548</v>
      </c>
      <c r="Y260" s="107">
        <v>399.76410115402848</v>
      </c>
    </row>
    <row r="261" spans="1:25" x14ac:dyDescent="0.2">
      <c r="A261" s="9">
        <v>1910</v>
      </c>
      <c r="B261" s="56">
        <v>1.3726786656941781</v>
      </c>
      <c r="C261" s="68">
        <v>1.4840055017869784</v>
      </c>
      <c r="D261" s="56">
        <v>5.0444003749999995</v>
      </c>
      <c r="E261" s="68">
        <v>19.216763333333336</v>
      </c>
      <c r="F261" s="56">
        <v>2.1654599604591382</v>
      </c>
      <c r="G261" s="8"/>
      <c r="H261" s="109">
        <v>6.2454480833333337</v>
      </c>
      <c r="I261" s="99">
        <v>0.42629761056666671</v>
      </c>
      <c r="J261" s="109">
        <v>2.552</v>
      </c>
      <c r="K261" s="107"/>
      <c r="L261" s="9">
        <f t="shared" si="54"/>
        <v>245.70948115925788</v>
      </c>
      <c r="M261" s="9">
        <f t="shared" si="55"/>
        <v>29.680110035739567</v>
      </c>
      <c r="N261" s="9">
        <f t="shared" si="56"/>
        <v>25.222001874999997</v>
      </c>
      <c r="O261" s="9">
        <f t="shared" si="57"/>
        <v>57.650290000000012</v>
      </c>
      <c r="P261" s="9">
        <f t="shared" si="58"/>
        <v>2.8150979485968799</v>
      </c>
      <c r="Q261" s="9">
        <f t="shared" si="59"/>
        <v>0</v>
      </c>
      <c r="R261" s="9">
        <f t="shared" ref="R261:S264" si="67">H261*1.3</f>
        <v>8.1190825083333333</v>
      </c>
      <c r="S261" s="9">
        <f t="shared" si="67"/>
        <v>0.55418689373666674</v>
      </c>
      <c r="T261" s="9">
        <f t="shared" si="61"/>
        <v>7.6560000000000006</v>
      </c>
      <c r="U261" s="107"/>
      <c r="V261" s="117">
        <f t="shared" ref="V261:V264" si="68">SUM(L261:T261)</f>
        <v>377.40625042066432</v>
      </c>
      <c r="W261" s="114">
        <f t="shared" si="66"/>
        <v>3.0181429174424502E-2</v>
      </c>
      <c r="X261" s="107">
        <f t="shared" ref="X261:X264" si="69">V261/(1-W261)</f>
        <v>389.15139570836476</v>
      </c>
      <c r="Y261" s="107">
        <v>381.22709714501775</v>
      </c>
    </row>
    <row r="262" spans="1:25" x14ac:dyDescent="0.2">
      <c r="A262" s="9">
        <v>1911</v>
      </c>
      <c r="B262" s="56">
        <v>1.3726786656941781</v>
      </c>
      <c r="C262" s="68">
        <v>1.4840055017869784</v>
      </c>
      <c r="D262" s="56">
        <v>5.0444003749999995</v>
      </c>
      <c r="E262" s="68">
        <v>19.216763333333336</v>
      </c>
      <c r="F262" s="56">
        <v>2.0655449502923675</v>
      </c>
      <c r="G262" s="8"/>
      <c r="H262" s="109">
        <v>6.2454480833333337</v>
      </c>
      <c r="I262" s="113">
        <v>0.18997331853965235</v>
      </c>
      <c r="J262" s="40">
        <v>2.552</v>
      </c>
      <c r="K262" s="107"/>
      <c r="L262" s="9">
        <f t="shared" si="54"/>
        <v>245.70948115925788</v>
      </c>
      <c r="M262" s="9">
        <f t="shared" si="55"/>
        <v>29.680110035739567</v>
      </c>
      <c r="N262" s="9">
        <f t="shared" si="56"/>
        <v>25.222001874999997</v>
      </c>
      <c r="O262" s="9">
        <f t="shared" si="57"/>
        <v>57.650290000000012</v>
      </c>
      <c r="P262" s="9">
        <f t="shared" si="58"/>
        <v>2.685208435380078</v>
      </c>
      <c r="Q262" s="9">
        <f t="shared" si="59"/>
        <v>0</v>
      </c>
      <c r="R262" s="9">
        <f t="shared" si="67"/>
        <v>8.1190825083333333</v>
      </c>
      <c r="S262" s="9">
        <f t="shared" si="67"/>
        <v>0.24696531410154807</v>
      </c>
      <c r="T262" s="9">
        <f t="shared" si="61"/>
        <v>7.6560000000000006</v>
      </c>
      <c r="U262" s="107"/>
      <c r="V262" s="117">
        <f t="shared" si="68"/>
        <v>376.96913932781246</v>
      </c>
      <c r="W262" s="114">
        <f t="shared" si="66"/>
        <v>3.0181429174424502E-2</v>
      </c>
      <c r="X262" s="107">
        <f t="shared" si="69"/>
        <v>388.70068141395836</v>
      </c>
      <c r="Y262" s="107">
        <v>380.78998605216589</v>
      </c>
    </row>
    <row r="263" spans="1:25" x14ac:dyDescent="0.2">
      <c r="A263" s="9">
        <v>1912</v>
      </c>
      <c r="B263" s="83">
        <f>B262+($B$264-$B$262)/2</f>
        <v>1.3726786656941781</v>
      </c>
      <c r="C263" s="43">
        <v>1.4840055017869784</v>
      </c>
      <c r="D263" s="57">
        <v>6.8459719374999999</v>
      </c>
      <c r="E263" s="43">
        <v>19.697182416666667</v>
      </c>
      <c r="F263" s="56">
        <v>2.0019255961957882</v>
      </c>
      <c r="G263" s="8"/>
      <c r="H263" s="55">
        <f>H262+($H$264-$H$262)/2</f>
        <v>6.2454480833333337</v>
      </c>
      <c r="I263" s="113">
        <v>0.16694624962575511</v>
      </c>
      <c r="J263" s="40">
        <v>2.552</v>
      </c>
      <c r="K263" s="107"/>
      <c r="L263" s="9">
        <f t="shared" si="54"/>
        <v>245.70948115925788</v>
      </c>
      <c r="M263" s="9">
        <f t="shared" si="55"/>
        <v>29.680110035739567</v>
      </c>
      <c r="N263" s="9">
        <f t="shared" si="56"/>
        <v>34.229859687499996</v>
      </c>
      <c r="O263" s="9">
        <f t="shared" si="57"/>
        <v>59.091547250000005</v>
      </c>
      <c r="P263" s="9">
        <f t="shared" si="58"/>
        <v>2.6025032750545249</v>
      </c>
      <c r="Q263" s="9">
        <f t="shared" si="59"/>
        <v>0</v>
      </c>
      <c r="R263" s="9">
        <f t="shared" si="67"/>
        <v>8.1190825083333333</v>
      </c>
      <c r="S263" s="9">
        <f t="shared" si="67"/>
        <v>0.21703012451348164</v>
      </c>
      <c r="T263" s="9">
        <f t="shared" si="61"/>
        <v>7.6560000000000006</v>
      </c>
      <c r="U263" s="107"/>
      <c r="V263" s="117">
        <f t="shared" si="68"/>
        <v>387.30561404039878</v>
      </c>
      <c r="W263" s="114">
        <f t="shared" si="66"/>
        <v>3.0181429174424502E-2</v>
      </c>
      <c r="X263" s="107">
        <f t="shared" si="69"/>
        <v>399.35883441652174</v>
      </c>
      <c r="Y263" s="107">
        <v>391.12646076475221</v>
      </c>
    </row>
    <row r="264" spans="1:25" x14ac:dyDescent="0.2">
      <c r="A264" s="9">
        <v>1913</v>
      </c>
      <c r="B264" s="56">
        <v>1.3726786656941781</v>
      </c>
      <c r="C264" s="68">
        <v>1.4840055017869784</v>
      </c>
      <c r="D264" s="56">
        <v>8.6475434999999994</v>
      </c>
      <c r="E264" s="68">
        <v>20.177601499999998</v>
      </c>
      <c r="F264" s="80">
        <v>2.0019255961957882</v>
      </c>
      <c r="G264" s="8"/>
      <c r="H264" s="109">
        <v>6.2454480833333337</v>
      </c>
      <c r="I264" s="113">
        <v>0.18997331853965235</v>
      </c>
      <c r="J264" s="40">
        <v>2.552</v>
      </c>
      <c r="K264" s="107"/>
      <c r="L264" s="9">
        <f t="shared" si="54"/>
        <v>245.70948115925788</v>
      </c>
      <c r="M264" s="9">
        <f t="shared" si="55"/>
        <v>29.680110035739567</v>
      </c>
      <c r="N264" s="9">
        <f t="shared" si="56"/>
        <v>43.237717499999995</v>
      </c>
      <c r="O264" s="9">
        <f t="shared" si="57"/>
        <v>60.532804499999997</v>
      </c>
      <c r="P264" s="9">
        <f t="shared" si="58"/>
        <v>2.6025032750545249</v>
      </c>
      <c r="Q264" s="9">
        <f t="shared" si="59"/>
        <v>0</v>
      </c>
      <c r="R264" s="9">
        <f t="shared" si="67"/>
        <v>8.1190825083333333</v>
      </c>
      <c r="S264" s="9">
        <f t="shared" si="67"/>
        <v>0.24696531410154807</v>
      </c>
      <c r="T264" s="9">
        <f t="shared" si="61"/>
        <v>7.6560000000000006</v>
      </c>
      <c r="U264" s="107"/>
      <c r="V264" s="117">
        <f t="shared" si="68"/>
        <v>397.78466429248681</v>
      </c>
      <c r="W264" s="114">
        <f t="shared" si="66"/>
        <v>3.0181429174424502E-2</v>
      </c>
      <c r="X264" s="107">
        <f t="shared" si="69"/>
        <v>410.16400000864638</v>
      </c>
      <c r="Y264" s="107">
        <v>401.60551101684024</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66"/>
  <sheetViews>
    <sheetView workbookViewId="0">
      <pane xSplit="1" ySplit="6" topLeftCell="B7" activePane="bottomRight" state="frozen"/>
      <selection pane="topRight" activeCell="B1" sqref="B1"/>
      <selection pane="bottomLeft" activeCell="A2" sqref="A2"/>
      <selection pane="bottomRight" activeCell="X21" sqref="X21"/>
    </sheetView>
  </sheetViews>
  <sheetFormatPr baseColWidth="10" defaultColWidth="8.83203125" defaultRowHeight="13" x14ac:dyDescent="0.15"/>
  <cols>
    <col min="1" max="1" width="8.83203125" style="38"/>
    <col min="2" max="2" width="8.83203125" style="31"/>
    <col min="3" max="3" width="13.5" style="31" customWidth="1"/>
    <col min="4" max="5" width="8.83203125" style="31"/>
    <col min="6" max="6" width="11.6640625" style="31" customWidth="1"/>
    <col min="7" max="7" width="11.1640625" style="31" customWidth="1"/>
    <col min="8" max="8" width="11.83203125" style="31" customWidth="1"/>
    <col min="9" max="9" width="8.83203125" style="31"/>
    <col min="10" max="10" width="10.83203125" style="31" customWidth="1"/>
    <col min="11" max="14" width="8.83203125" style="31"/>
    <col min="15" max="15" width="8.83203125" style="46"/>
    <col min="16" max="17" width="8.83203125" style="31"/>
    <col min="18" max="18" width="16.33203125" style="31" customWidth="1"/>
    <col min="19" max="19" width="14.5" style="31" customWidth="1"/>
    <col min="20" max="21" width="11.1640625" style="31" bestFit="1" customWidth="1"/>
    <col min="22" max="22" width="8.83203125" style="31"/>
    <col min="23" max="264" width="8.83203125" style="38"/>
    <col min="265" max="265" width="13.83203125" style="38" bestFit="1" customWidth="1"/>
    <col min="266" max="266" width="15.5" style="38" bestFit="1" customWidth="1"/>
    <col min="267" max="274" width="8.83203125" style="38"/>
    <col min="275" max="275" width="17" style="38" customWidth="1"/>
    <col min="276" max="520" width="8.83203125" style="38"/>
    <col min="521" max="521" width="13.83203125" style="38" bestFit="1" customWidth="1"/>
    <col min="522" max="522" width="15.5" style="38" bestFit="1" customWidth="1"/>
    <col min="523" max="530" width="8.83203125" style="38"/>
    <col min="531" max="531" width="17" style="38" customWidth="1"/>
    <col min="532" max="776" width="8.83203125" style="38"/>
    <col min="777" max="777" width="13.83203125" style="38" bestFit="1" customWidth="1"/>
    <col min="778" max="778" width="15.5" style="38" bestFit="1" customWidth="1"/>
    <col min="779" max="786" width="8.83203125" style="38"/>
    <col min="787" max="787" width="17" style="38" customWidth="1"/>
    <col min="788" max="1032" width="8.83203125" style="38"/>
    <col min="1033" max="1033" width="13.83203125" style="38" bestFit="1" customWidth="1"/>
    <col min="1034" max="1034" width="15.5" style="38" bestFit="1" customWidth="1"/>
    <col min="1035" max="1042" width="8.83203125" style="38"/>
    <col min="1043" max="1043" width="17" style="38" customWidth="1"/>
    <col min="1044" max="1288" width="8.83203125" style="38"/>
    <col min="1289" max="1289" width="13.83203125" style="38" bestFit="1" customWidth="1"/>
    <col min="1290" max="1290" width="15.5" style="38" bestFit="1" customWidth="1"/>
    <col min="1291" max="1298" width="8.83203125" style="38"/>
    <col min="1299" max="1299" width="17" style="38" customWidth="1"/>
    <col min="1300" max="1544" width="8.83203125" style="38"/>
    <col min="1545" max="1545" width="13.83203125" style="38" bestFit="1" customWidth="1"/>
    <col min="1546" max="1546" width="15.5" style="38" bestFit="1" customWidth="1"/>
    <col min="1547" max="1554" width="8.83203125" style="38"/>
    <col min="1555" max="1555" width="17" style="38" customWidth="1"/>
    <col min="1556" max="1800" width="8.83203125" style="38"/>
    <col min="1801" max="1801" width="13.83203125" style="38" bestFit="1" customWidth="1"/>
    <col min="1802" max="1802" width="15.5" style="38" bestFit="1" customWidth="1"/>
    <col min="1803" max="1810" width="8.83203125" style="38"/>
    <col min="1811" max="1811" width="17" style="38" customWidth="1"/>
    <col min="1812" max="2056" width="8.83203125" style="38"/>
    <col min="2057" max="2057" width="13.83203125" style="38" bestFit="1" customWidth="1"/>
    <col min="2058" max="2058" width="15.5" style="38" bestFit="1" customWidth="1"/>
    <col min="2059" max="2066" width="8.83203125" style="38"/>
    <col min="2067" max="2067" width="17" style="38" customWidth="1"/>
    <col min="2068" max="2312" width="8.83203125" style="38"/>
    <col min="2313" max="2313" width="13.83203125" style="38" bestFit="1" customWidth="1"/>
    <col min="2314" max="2314" width="15.5" style="38" bestFit="1" customWidth="1"/>
    <col min="2315" max="2322" width="8.83203125" style="38"/>
    <col min="2323" max="2323" width="17" style="38" customWidth="1"/>
    <col min="2324" max="2568" width="8.83203125" style="38"/>
    <col min="2569" max="2569" width="13.83203125" style="38" bestFit="1" customWidth="1"/>
    <col min="2570" max="2570" width="15.5" style="38" bestFit="1" customWidth="1"/>
    <col min="2571" max="2578" width="8.83203125" style="38"/>
    <col min="2579" max="2579" width="17" style="38" customWidth="1"/>
    <col min="2580" max="2824" width="8.83203125" style="38"/>
    <col min="2825" max="2825" width="13.83203125" style="38" bestFit="1" customWidth="1"/>
    <col min="2826" max="2826" width="15.5" style="38" bestFit="1" customWidth="1"/>
    <col min="2827" max="2834" width="8.83203125" style="38"/>
    <col min="2835" max="2835" width="17" style="38" customWidth="1"/>
    <col min="2836" max="3080" width="8.83203125" style="38"/>
    <col min="3081" max="3081" width="13.83203125" style="38" bestFit="1" customWidth="1"/>
    <col min="3082" max="3082" width="15.5" style="38" bestFit="1" customWidth="1"/>
    <col min="3083" max="3090" width="8.83203125" style="38"/>
    <col min="3091" max="3091" width="17" style="38" customWidth="1"/>
    <col min="3092" max="3336" width="8.83203125" style="38"/>
    <col min="3337" max="3337" width="13.83203125" style="38" bestFit="1" customWidth="1"/>
    <col min="3338" max="3338" width="15.5" style="38" bestFit="1" customWidth="1"/>
    <col min="3339" max="3346" width="8.83203125" style="38"/>
    <col min="3347" max="3347" width="17" style="38" customWidth="1"/>
    <col min="3348" max="3592" width="8.83203125" style="38"/>
    <col min="3593" max="3593" width="13.83203125" style="38" bestFit="1" customWidth="1"/>
    <col min="3594" max="3594" width="15.5" style="38" bestFit="1" customWidth="1"/>
    <col min="3595" max="3602" width="8.83203125" style="38"/>
    <col min="3603" max="3603" width="17" style="38" customWidth="1"/>
    <col min="3604" max="3848" width="8.83203125" style="38"/>
    <col min="3849" max="3849" width="13.83203125" style="38" bestFit="1" customWidth="1"/>
    <col min="3850" max="3850" width="15.5" style="38" bestFit="1" customWidth="1"/>
    <col min="3851" max="3858" width="8.83203125" style="38"/>
    <col min="3859" max="3859" width="17" style="38" customWidth="1"/>
    <col min="3860" max="4104" width="8.83203125" style="38"/>
    <col min="4105" max="4105" width="13.83203125" style="38" bestFit="1" customWidth="1"/>
    <col min="4106" max="4106" width="15.5" style="38" bestFit="1" customWidth="1"/>
    <col min="4107" max="4114" width="8.83203125" style="38"/>
    <col min="4115" max="4115" width="17" style="38" customWidth="1"/>
    <col min="4116" max="4360" width="8.83203125" style="38"/>
    <col min="4361" max="4361" width="13.83203125" style="38" bestFit="1" customWidth="1"/>
    <col min="4362" max="4362" width="15.5" style="38" bestFit="1" customWidth="1"/>
    <col min="4363" max="4370" width="8.83203125" style="38"/>
    <col min="4371" max="4371" width="17" style="38" customWidth="1"/>
    <col min="4372" max="4616" width="8.83203125" style="38"/>
    <col min="4617" max="4617" width="13.83203125" style="38" bestFit="1" customWidth="1"/>
    <col min="4618" max="4618" width="15.5" style="38" bestFit="1" customWidth="1"/>
    <col min="4619" max="4626" width="8.83203125" style="38"/>
    <col min="4627" max="4627" width="17" style="38" customWidth="1"/>
    <col min="4628" max="4872" width="8.83203125" style="38"/>
    <col min="4873" max="4873" width="13.83203125" style="38" bestFit="1" customWidth="1"/>
    <col min="4874" max="4874" width="15.5" style="38" bestFit="1" customWidth="1"/>
    <col min="4875" max="4882" width="8.83203125" style="38"/>
    <col min="4883" max="4883" width="17" style="38" customWidth="1"/>
    <col min="4884" max="5128" width="8.83203125" style="38"/>
    <col min="5129" max="5129" width="13.83203125" style="38" bestFit="1" customWidth="1"/>
    <col min="5130" max="5130" width="15.5" style="38" bestFit="1" customWidth="1"/>
    <col min="5131" max="5138" width="8.83203125" style="38"/>
    <col min="5139" max="5139" width="17" style="38" customWidth="1"/>
    <col min="5140" max="5384" width="8.83203125" style="38"/>
    <col min="5385" max="5385" width="13.83203125" style="38" bestFit="1" customWidth="1"/>
    <col min="5386" max="5386" width="15.5" style="38" bestFit="1" customWidth="1"/>
    <col min="5387" max="5394" width="8.83203125" style="38"/>
    <col min="5395" max="5395" width="17" style="38" customWidth="1"/>
    <col min="5396" max="5640" width="8.83203125" style="38"/>
    <col min="5641" max="5641" width="13.83203125" style="38" bestFit="1" customWidth="1"/>
    <col min="5642" max="5642" width="15.5" style="38" bestFit="1" customWidth="1"/>
    <col min="5643" max="5650" width="8.83203125" style="38"/>
    <col min="5651" max="5651" width="17" style="38" customWidth="1"/>
    <col min="5652" max="5896" width="8.83203125" style="38"/>
    <col min="5897" max="5897" width="13.83203125" style="38" bestFit="1" customWidth="1"/>
    <col min="5898" max="5898" width="15.5" style="38" bestFit="1" customWidth="1"/>
    <col min="5899" max="5906" width="8.83203125" style="38"/>
    <col min="5907" max="5907" width="17" style="38" customWidth="1"/>
    <col min="5908" max="6152" width="8.83203125" style="38"/>
    <col min="6153" max="6153" width="13.83203125" style="38" bestFit="1" customWidth="1"/>
    <col min="6154" max="6154" width="15.5" style="38" bestFit="1" customWidth="1"/>
    <col min="6155" max="6162" width="8.83203125" style="38"/>
    <col min="6163" max="6163" width="17" style="38" customWidth="1"/>
    <col min="6164" max="6408" width="8.83203125" style="38"/>
    <col min="6409" max="6409" width="13.83203125" style="38" bestFit="1" customWidth="1"/>
    <col min="6410" max="6410" width="15.5" style="38" bestFit="1" customWidth="1"/>
    <col min="6411" max="6418" width="8.83203125" style="38"/>
    <col min="6419" max="6419" width="17" style="38" customWidth="1"/>
    <col min="6420" max="6664" width="8.83203125" style="38"/>
    <col min="6665" max="6665" width="13.83203125" style="38" bestFit="1" customWidth="1"/>
    <col min="6666" max="6666" width="15.5" style="38" bestFit="1" customWidth="1"/>
    <col min="6667" max="6674" width="8.83203125" style="38"/>
    <col min="6675" max="6675" width="17" style="38" customWidth="1"/>
    <col min="6676" max="6920" width="8.83203125" style="38"/>
    <col min="6921" max="6921" width="13.83203125" style="38" bestFit="1" customWidth="1"/>
    <col min="6922" max="6922" width="15.5" style="38" bestFit="1" customWidth="1"/>
    <col min="6923" max="6930" width="8.83203125" style="38"/>
    <col min="6931" max="6931" width="17" style="38" customWidth="1"/>
    <col min="6932" max="7176" width="8.83203125" style="38"/>
    <col min="7177" max="7177" width="13.83203125" style="38" bestFit="1" customWidth="1"/>
    <col min="7178" max="7178" width="15.5" style="38" bestFit="1" customWidth="1"/>
    <col min="7179" max="7186" width="8.83203125" style="38"/>
    <col min="7187" max="7187" width="17" style="38" customWidth="1"/>
    <col min="7188" max="7432" width="8.83203125" style="38"/>
    <col min="7433" max="7433" width="13.83203125" style="38" bestFit="1" customWidth="1"/>
    <col min="7434" max="7434" width="15.5" style="38" bestFit="1" customWidth="1"/>
    <col min="7435" max="7442" width="8.83203125" style="38"/>
    <col min="7443" max="7443" width="17" style="38" customWidth="1"/>
    <col min="7444" max="7688" width="8.83203125" style="38"/>
    <col min="7689" max="7689" width="13.83203125" style="38" bestFit="1" customWidth="1"/>
    <col min="7690" max="7690" width="15.5" style="38" bestFit="1" customWidth="1"/>
    <col min="7691" max="7698" width="8.83203125" style="38"/>
    <col min="7699" max="7699" width="17" style="38" customWidth="1"/>
    <col min="7700" max="7944" width="8.83203125" style="38"/>
    <col min="7945" max="7945" width="13.83203125" style="38" bestFit="1" customWidth="1"/>
    <col min="7946" max="7946" width="15.5" style="38" bestFit="1" customWidth="1"/>
    <col min="7947" max="7954" width="8.83203125" style="38"/>
    <col min="7955" max="7955" width="17" style="38" customWidth="1"/>
    <col min="7956" max="8200" width="8.83203125" style="38"/>
    <col min="8201" max="8201" width="13.83203125" style="38" bestFit="1" customWidth="1"/>
    <col min="8202" max="8202" width="15.5" style="38" bestFit="1" customWidth="1"/>
    <col min="8203" max="8210" width="8.83203125" style="38"/>
    <col min="8211" max="8211" width="17" style="38" customWidth="1"/>
    <col min="8212" max="8456" width="8.83203125" style="38"/>
    <col min="8457" max="8457" width="13.83203125" style="38" bestFit="1" customWidth="1"/>
    <col min="8458" max="8458" width="15.5" style="38" bestFit="1" customWidth="1"/>
    <col min="8459" max="8466" width="8.83203125" style="38"/>
    <col min="8467" max="8467" width="17" style="38" customWidth="1"/>
    <col min="8468" max="8712" width="8.83203125" style="38"/>
    <col min="8713" max="8713" width="13.83203125" style="38" bestFit="1" customWidth="1"/>
    <col min="8714" max="8714" width="15.5" style="38" bestFit="1" customWidth="1"/>
    <col min="8715" max="8722" width="8.83203125" style="38"/>
    <col min="8723" max="8723" width="17" style="38" customWidth="1"/>
    <col min="8724" max="8968" width="8.83203125" style="38"/>
    <col min="8969" max="8969" width="13.83203125" style="38" bestFit="1" customWidth="1"/>
    <col min="8970" max="8970" width="15.5" style="38" bestFit="1" customWidth="1"/>
    <col min="8971" max="8978" width="8.83203125" style="38"/>
    <col min="8979" max="8979" width="17" style="38" customWidth="1"/>
    <col min="8980" max="9224" width="8.83203125" style="38"/>
    <col min="9225" max="9225" width="13.83203125" style="38" bestFit="1" customWidth="1"/>
    <col min="9226" max="9226" width="15.5" style="38" bestFit="1" customWidth="1"/>
    <col min="9227" max="9234" width="8.83203125" style="38"/>
    <col min="9235" max="9235" width="17" style="38" customWidth="1"/>
    <col min="9236" max="9480" width="8.83203125" style="38"/>
    <col min="9481" max="9481" width="13.83203125" style="38" bestFit="1" customWidth="1"/>
    <col min="9482" max="9482" width="15.5" style="38" bestFit="1" customWidth="1"/>
    <col min="9483" max="9490" width="8.83203125" style="38"/>
    <col min="9491" max="9491" width="17" style="38" customWidth="1"/>
    <col min="9492" max="9736" width="8.83203125" style="38"/>
    <col min="9737" max="9737" width="13.83203125" style="38" bestFit="1" customWidth="1"/>
    <col min="9738" max="9738" width="15.5" style="38" bestFit="1" customWidth="1"/>
    <col min="9739" max="9746" width="8.83203125" style="38"/>
    <col min="9747" max="9747" width="17" style="38" customWidth="1"/>
    <col min="9748" max="9992" width="8.83203125" style="38"/>
    <col min="9993" max="9993" width="13.83203125" style="38" bestFit="1" customWidth="1"/>
    <col min="9994" max="9994" width="15.5" style="38" bestFit="1" customWidth="1"/>
    <col min="9995" max="10002" width="8.83203125" style="38"/>
    <col min="10003" max="10003" width="17" style="38" customWidth="1"/>
    <col min="10004" max="10248" width="8.83203125" style="38"/>
    <col min="10249" max="10249" width="13.83203125" style="38" bestFit="1" customWidth="1"/>
    <col min="10250" max="10250" width="15.5" style="38" bestFit="1" customWidth="1"/>
    <col min="10251" max="10258" width="8.83203125" style="38"/>
    <col min="10259" max="10259" width="17" style="38" customWidth="1"/>
    <col min="10260" max="10504" width="8.83203125" style="38"/>
    <col min="10505" max="10505" width="13.83203125" style="38" bestFit="1" customWidth="1"/>
    <col min="10506" max="10506" width="15.5" style="38" bestFit="1" customWidth="1"/>
    <col min="10507" max="10514" width="8.83203125" style="38"/>
    <col min="10515" max="10515" width="17" style="38" customWidth="1"/>
    <col min="10516" max="10760" width="8.83203125" style="38"/>
    <col min="10761" max="10761" width="13.83203125" style="38" bestFit="1" customWidth="1"/>
    <col min="10762" max="10762" width="15.5" style="38" bestFit="1" customWidth="1"/>
    <col min="10763" max="10770" width="8.83203125" style="38"/>
    <col min="10771" max="10771" width="17" style="38" customWidth="1"/>
    <col min="10772" max="11016" width="8.83203125" style="38"/>
    <col min="11017" max="11017" width="13.83203125" style="38" bestFit="1" customWidth="1"/>
    <col min="11018" max="11018" width="15.5" style="38" bestFit="1" customWidth="1"/>
    <col min="11019" max="11026" width="8.83203125" style="38"/>
    <col min="11027" max="11027" width="17" style="38" customWidth="1"/>
    <col min="11028" max="11272" width="8.83203125" style="38"/>
    <col min="11273" max="11273" width="13.83203125" style="38" bestFit="1" customWidth="1"/>
    <col min="11274" max="11274" width="15.5" style="38" bestFit="1" customWidth="1"/>
    <col min="11275" max="11282" width="8.83203125" style="38"/>
    <col min="11283" max="11283" width="17" style="38" customWidth="1"/>
    <col min="11284" max="11528" width="8.83203125" style="38"/>
    <col min="11529" max="11529" width="13.83203125" style="38" bestFit="1" customWidth="1"/>
    <col min="11530" max="11530" width="15.5" style="38" bestFit="1" customWidth="1"/>
    <col min="11531" max="11538" width="8.83203125" style="38"/>
    <col min="11539" max="11539" width="17" style="38" customWidth="1"/>
    <col min="11540" max="11784" width="8.83203125" style="38"/>
    <col min="11785" max="11785" width="13.83203125" style="38" bestFit="1" customWidth="1"/>
    <col min="11786" max="11786" width="15.5" style="38" bestFit="1" customWidth="1"/>
    <col min="11787" max="11794" width="8.83203125" style="38"/>
    <col min="11795" max="11795" width="17" style="38" customWidth="1"/>
    <col min="11796" max="12040" width="8.83203125" style="38"/>
    <col min="12041" max="12041" width="13.83203125" style="38" bestFit="1" customWidth="1"/>
    <col min="12042" max="12042" width="15.5" style="38" bestFit="1" customWidth="1"/>
    <col min="12043" max="12050" width="8.83203125" style="38"/>
    <col min="12051" max="12051" width="17" style="38" customWidth="1"/>
    <col min="12052" max="12296" width="8.83203125" style="38"/>
    <col min="12297" max="12297" width="13.83203125" style="38" bestFit="1" customWidth="1"/>
    <col min="12298" max="12298" width="15.5" style="38" bestFit="1" customWidth="1"/>
    <col min="12299" max="12306" width="8.83203125" style="38"/>
    <col min="12307" max="12307" width="17" style="38" customWidth="1"/>
    <col min="12308" max="12552" width="8.83203125" style="38"/>
    <col min="12553" max="12553" width="13.83203125" style="38" bestFit="1" customWidth="1"/>
    <col min="12554" max="12554" width="15.5" style="38" bestFit="1" customWidth="1"/>
    <col min="12555" max="12562" width="8.83203125" style="38"/>
    <col min="12563" max="12563" width="17" style="38" customWidth="1"/>
    <col min="12564" max="12808" width="8.83203125" style="38"/>
    <col min="12809" max="12809" width="13.83203125" style="38" bestFit="1" customWidth="1"/>
    <col min="12810" max="12810" width="15.5" style="38" bestFit="1" customWidth="1"/>
    <col min="12811" max="12818" width="8.83203125" style="38"/>
    <col min="12819" max="12819" width="17" style="38" customWidth="1"/>
    <col min="12820" max="13064" width="8.83203125" style="38"/>
    <col min="13065" max="13065" width="13.83203125" style="38" bestFit="1" customWidth="1"/>
    <col min="13066" max="13066" width="15.5" style="38" bestFit="1" customWidth="1"/>
    <col min="13067" max="13074" width="8.83203125" style="38"/>
    <col min="13075" max="13075" width="17" style="38" customWidth="1"/>
    <col min="13076" max="13320" width="8.83203125" style="38"/>
    <col min="13321" max="13321" width="13.83203125" style="38" bestFit="1" customWidth="1"/>
    <col min="13322" max="13322" width="15.5" style="38" bestFit="1" customWidth="1"/>
    <col min="13323" max="13330" width="8.83203125" style="38"/>
    <col min="13331" max="13331" width="17" style="38" customWidth="1"/>
    <col min="13332" max="13576" width="8.83203125" style="38"/>
    <col min="13577" max="13577" width="13.83203125" style="38" bestFit="1" customWidth="1"/>
    <col min="13578" max="13578" width="15.5" style="38" bestFit="1" customWidth="1"/>
    <col min="13579" max="13586" width="8.83203125" style="38"/>
    <col min="13587" max="13587" width="17" style="38" customWidth="1"/>
    <col min="13588" max="13832" width="8.83203125" style="38"/>
    <col min="13833" max="13833" width="13.83203125" style="38" bestFit="1" customWidth="1"/>
    <col min="13834" max="13834" width="15.5" style="38" bestFit="1" customWidth="1"/>
    <col min="13835" max="13842" width="8.83203125" style="38"/>
    <col min="13843" max="13843" width="17" style="38" customWidth="1"/>
    <col min="13844" max="14088" width="8.83203125" style="38"/>
    <col min="14089" max="14089" width="13.83203125" style="38" bestFit="1" customWidth="1"/>
    <col min="14090" max="14090" width="15.5" style="38" bestFit="1" customWidth="1"/>
    <col min="14091" max="14098" width="8.83203125" style="38"/>
    <col min="14099" max="14099" width="17" style="38" customWidth="1"/>
    <col min="14100" max="14344" width="8.83203125" style="38"/>
    <col min="14345" max="14345" width="13.83203125" style="38" bestFit="1" customWidth="1"/>
    <col min="14346" max="14346" width="15.5" style="38" bestFit="1" customWidth="1"/>
    <col min="14347" max="14354" width="8.83203125" style="38"/>
    <col min="14355" max="14355" width="17" style="38" customWidth="1"/>
    <col min="14356" max="14600" width="8.83203125" style="38"/>
    <col min="14601" max="14601" width="13.83203125" style="38" bestFit="1" customWidth="1"/>
    <col min="14602" max="14602" width="15.5" style="38" bestFit="1" customWidth="1"/>
    <col min="14603" max="14610" width="8.83203125" style="38"/>
    <col min="14611" max="14611" width="17" style="38" customWidth="1"/>
    <col min="14612" max="14856" width="8.83203125" style="38"/>
    <col min="14857" max="14857" width="13.83203125" style="38" bestFit="1" customWidth="1"/>
    <col min="14858" max="14858" width="15.5" style="38" bestFit="1" customWidth="1"/>
    <col min="14859" max="14866" width="8.83203125" style="38"/>
    <col min="14867" max="14867" width="17" style="38" customWidth="1"/>
    <col min="14868" max="15112" width="8.83203125" style="38"/>
    <col min="15113" max="15113" width="13.83203125" style="38" bestFit="1" customWidth="1"/>
    <col min="15114" max="15114" width="15.5" style="38" bestFit="1" customWidth="1"/>
    <col min="15115" max="15122" width="8.83203125" style="38"/>
    <col min="15123" max="15123" width="17" style="38" customWidth="1"/>
    <col min="15124" max="15368" width="8.83203125" style="38"/>
    <col min="15369" max="15369" width="13.83203125" style="38" bestFit="1" customWidth="1"/>
    <col min="15370" max="15370" width="15.5" style="38" bestFit="1" customWidth="1"/>
    <col min="15371" max="15378" width="8.83203125" style="38"/>
    <col min="15379" max="15379" width="17" style="38" customWidth="1"/>
    <col min="15380" max="15624" width="8.83203125" style="38"/>
    <col min="15625" max="15625" width="13.83203125" style="38" bestFit="1" customWidth="1"/>
    <col min="15626" max="15626" width="15.5" style="38" bestFit="1" customWidth="1"/>
    <col min="15627" max="15634" width="8.83203125" style="38"/>
    <col min="15635" max="15635" width="17" style="38" customWidth="1"/>
    <col min="15636" max="15880" width="8.83203125" style="38"/>
    <col min="15881" max="15881" width="13.83203125" style="38" bestFit="1" customWidth="1"/>
    <col min="15882" max="15882" width="15.5" style="38" bestFit="1" customWidth="1"/>
    <col min="15883" max="15890" width="8.83203125" style="38"/>
    <col min="15891" max="15891" width="17" style="38" customWidth="1"/>
    <col min="15892" max="16136" width="8.83203125" style="38"/>
    <col min="16137" max="16137" width="13.83203125" style="38" bestFit="1" customWidth="1"/>
    <col min="16138" max="16138" width="15.5" style="38" bestFit="1" customWidth="1"/>
    <col min="16139" max="16146" width="8.83203125" style="38"/>
    <col min="16147" max="16147" width="17" style="38" customWidth="1"/>
    <col min="16148" max="16384" width="8.83203125" style="38"/>
  </cols>
  <sheetData>
    <row r="1" spans="1:24" x14ac:dyDescent="0.15">
      <c r="B1" s="45" t="s">
        <v>62</v>
      </c>
      <c r="P1" s="45" t="s">
        <v>63</v>
      </c>
      <c r="Q1" s="45" t="s">
        <v>63</v>
      </c>
      <c r="R1" s="49" t="s">
        <v>64</v>
      </c>
      <c r="S1" s="49" t="s">
        <v>65</v>
      </c>
      <c r="T1" s="45" t="s">
        <v>65</v>
      </c>
      <c r="U1" s="45" t="s">
        <v>65</v>
      </c>
      <c r="V1" s="45" t="s">
        <v>66</v>
      </c>
    </row>
    <row r="2" spans="1:24" x14ac:dyDescent="0.15">
      <c r="B2" s="45"/>
      <c r="P2" s="45"/>
      <c r="Q2" s="45"/>
      <c r="R2" s="49"/>
      <c r="S2" s="49"/>
      <c r="T2" s="45"/>
      <c r="U2" s="45"/>
      <c r="V2" s="31" t="s">
        <v>67</v>
      </c>
    </row>
    <row r="3" spans="1:24" x14ac:dyDescent="0.15">
      <c r="A3" s="38" t="s">
        <v>68</v>
      </c>
      <c r="B3" s="31" t="s">
        <v>69</v>
      </c>
      <c r="C3" s="31" t="s">
        <v>70</v>
      </c>
      <c r="D3" s="31" t="s">
        <v>71</v>
      </c>
      <c r="E3" s="31" t="s">
        <v>72</v>
      </c>
      <c r="F3" s="31" t="s">
        <v>73</v>
      </c>
      <c r="G3" s="31" t="s">
        <v>74</v>
      </c>
      <c r="H3" s="31" t="s">
        <v>75</v>
      </c>
      <c r="I3" s="31" t="s">
        <v>76</v>
      </c>
      <c r="J3" s="31" t="s">
        <v>77</v>
      </c>
      <c r="K3" s="31" t="s">
        <v>78</v>
      </c>
      <c r="L3" s="31" t="s">
        <v>79</v>
      </c>
      <c r="M3" s="31" t="s">
        <v>80</v>
      </c>
      <c r="N3" s="31" t="s">
        <v>81</v>
      </c>
      <c r="P3" s="31" t="s">
        <v>82</v>
      </c>
      <c r="R3" s="31" t="s">
        <v>83</v>
      </c>
      <c r="T3" s="31" t="s">
        <v>82</v>
      </c>
    </row>
    <row r="4" spans="1:24" x14ac:dyDescent="0.15">
      <c r="A4" s="31" t="s">
        <v>84</v>
      </c>
      <c r="B4" s="31" t="s">
        <v>85</v>
      </c>
      <c r="C4" s="31" t="s">
        <v>85</v>
      </c>
      <c r="D4" s="31" t="s">
        <v>85</v>
      </c>
      <c r="E4" s="31" t="s">
        <v>85</v>
      </c>
      <c r="F4" s="31" t="s">
        <v>85</v>
      </c>
      <c r="G4" s="31" t="s">
        <v>85</v>
      </c>
      <c r="H4" s="31" t="s">
        <v>85</v>
      </c>
      <c r="I4" s="31" t="s">
        <v>85</v>
      </c>
      <c r="J4" s="31" t="s">
        <v>86</v>
      </c>
      <c r="K4" s="31" t="s">
        <v>87</v>
      </c>
      <c r="L4" s="31" t="s">
        <v>55</v>
      </c>
      <c r="M4" s="31" t="s">
        <v>88</v>
      </c>
      <c r="N4" s="31" t="s">
        <v>55</v>
      </c>
      <c r="P4" s="31" t="s">
        <v>85</v>
      </c>
      <c r="Q4" s="31" t="s">
        <v>87</v>
      </c>
      <c r="R4" s="31" t="s">
        <v>89</v>
      </c>
      <c r="S4" s="31" t="s">
        <v>90</v>
      </c>
      <c r="T4" s="31" t="s">
        <v>55</v>
      </c>
      <c r="U4" s="31" t="s">
        <v>55</v>
      </c>
      <c r="V4" s="31" t="s">
        <v>55</v>
      </c>
      <c r="X4" s="31" t="s">
        <v>1031</v>
      </c>
    </row>
    <row r="5" spans="1:24" x14ac:dyDescent="0.15">
      <c r="A5" s="31" t="s">
        <v>91</v>
      </c>
      <c r="B5" s="31" t="s">
        <v>92</v>
      </c>
      <c r="C5" s="31" t="s">
        <v>92</v>
      </c>
      <c r="D5" s="31" t="s">
        <v>92</v>
      </c>
      <c r="E5" s="31" t="s">
        <v>92</v>
      </c>
      <c r="F5" s="31" t="s">
        <v>92</v>
      </c>
      <c r="G5" s="31" t="s">
        <v>92</v>
      </c>
      <c r="H5" s="31" t="s">
        <v>92</v>
      </c>
      <c r="I5" s="31" t="s">
        <v>92</v>
      </c>
      <c r="J5" s="31" t="s">
        <v>92</v>
      </c>
      <c r="K5" s="31" t="s">
        <v>92</v>
      </c>
      <c r="L5" s="31" t="s">
        <v>51</v>
      </c>
      <c r="M5" s="31" t="s">
        <v>93</v>
      </c>
      <c r="N5" s="31" t="s">
        <v>51</v>
      </c>
      <c r="P5" s="31" t="s">
        <v>92</v>
      </c>
      <c r="Q5" s="31" t="s">
        <v>92</v>
      </c>
      <c r="S5" s="31" t="s">
        <v>92</v>
      </c>
      <c r="T5" s="31" t="s">
        <v>92</v>
      </c>
      <c r="U5" s="31" t="s">
        <v>51</v>
      </c>
      <c r="V5" s="31" t="s">
        <v>51</v>
      </c>
    </row>
    <row r="6" spans="1:24" x14ac:dyDescent="0.15">
      <c r="U6" s="38"/>
    </row>
    <row r="7" spans="1:24" x14ac:dyDescent="0.15">
      <c r="A7" s="38">
        <f t="shared" ref="A7:A51" si="0">A8-1</f>
        <v>1654</v>
      </c>
    </row>
    <row r="8" spans="1:24" x14ac:dyDescent="0.15">
      <c r="A8" s="38">
        <f t="shared" si="0"/>
        <v>1655</v>
      </c>
    </row>
    <row r="9" spans="1:24" x14ac:dyDescent="0.15">
      <c r="A9" s="38">
        <f t="shared" si="0"/>
        <v>1656</v>
      </c>
    </row>
    <row r="10" spans="1:24" x14ac:dyDescent="0.15">
      <c r="A10" s="38">
        <f t="shared" si="0"/>
        <v>1657</v>
      </c>
    </row>
    <row r="11" spans="1:24" x14ac:dyDescent="0.15">
      <c r="A11" s="38">
        <f t="shared" si="0"/>
        <v>1658</v>
      </c>
      <c r="E11" s="31">
        <v>8.615384615384615</v>
      </c>
      <c r="P11" s="31">
        <f>AVERAGE(B11:L11)</f>
        <v>8.615384615384615</v>
      </c>
      <c r="T11" s="31">
        <f>P11*7.84</f>
        <v>67.544615384615383</v>
      </c>
      <c r="U11" s="31">
        <f>T11/(111.5*0.772)</f>
        <v>0.78469080815789616</v>
      </c>
      <c r="V11" s="31">
        <v>0.78469080815789616</v>
      </c>
    </row>
    <row r="12" spans="1:24" x14ac:dyDescent="0.15">
      <c r="A12" s="38">
        <f t="shared" si="0"/>
        <v>1659</v>
      </c>
      <c r="V12" s="55">
        <f>V11+($V$13-$V$11)/2</f>
        <v>0.71100037705397567</v>
      </c>
    </row>
    <row r="13" spans="1:24" x14ac:dyDescent="0.15">
      <c r="A13" s="38">
        <f t="shared" si="0"/>
        <v>1660</v>
      </c>
      <c r="E13" s="31">
        <v>6.9972405009552112</v>
      </c>
      <c r="P13" s="31">
        <f>AVERAGE(B13:L13)</f>
        <v>6.9972405009552112</v>
      </c>
      <c r="T13" s="31">
        <f>P13*7.84</f>
        <v>54.858365527488857</v>
      </c>
      <c r="U13" s="31">
        <f t="shared" ref="U13:U76" si="1">T13/(111.5*0.772)</f>
        <v>0.63730994595005519</v>
      </c>
      <c r="V13" s="31">
        <v>0.63730994595005519</v>
      </c>
    </row>
    <row r="14" spans="1:24" x14ac:dyDescent="0.15">
      <c r="A14" s="38">
        <f t="shared" si="0"/>
        <v>1661</v>
      </c>
      <c r="E14" s="31">
        <v>6.4</v>
      </c>
      <c r="P14" s="31">
        <f>AVERAGE(B14:L14)</f>
        <v>6.4</v>
      </c>
      <c r="T14" s="31">
        <f>P14*7.84</f>
        <v>50.176000000000002</v>
      </c>
      <c r="U14" s="31">
        <f t="shared" si="1"/>
        <v>0.58291317177443713</v>
      </c>
      <c r="V14" s="31">
        <v>0.58291317177443713</v>
      </c>
    </row>
    <row r="15" spans="1:24" x14ac:dyDescent="0.15">
      <c r="A15" s="38">
        <f t="shared" si="0"/>
        <v>1662</v>
      </c>
      <c r="E15" s="31">
        <v>6.4</v>
      </c>
      <c r="P15" s="31">
        <f>AVERAGE(B15:L15)</f>
        <v>6.4</v>
      </c>
      <c r="T15" s="31">
        <f>P15*7.84</f>
        <v>50.176000000000002</v>
      </c>
      <c r="U15" s="31">
        <f t="shared" si="1"/>
        <v>0.58291317177443713</v>
      </c>
      <c r="V15" s="31">
        <v>0.58291317177443713</v>
      </c>
    </row>
    <row r="16" spans="1:24" x14ac:dyDescent="0.15">
      <c r="A16" s="38">
        <f t="shared" si="0"/>
        <v>1663</v>
      </c>
      <c r="E16" s="31">
        <v>6.4153477218225419</v>
      </c>
      <c r="P16" s="31">
        <f>AVERAGE(B16:L16)</f>
        <v>6.4153477218225419</v>
      </c>
      <c r="T16" s="31">
        <f>P16*7.84</f>
        <v>50.296326139088727</v>
      </c>
      <c r="U16" s="31">
        <f t="shared" si="1"/>
        <v>0.58431104508804488</v>
      </c>
      <c r="V16" s="31">
        <v>0.58431104508804488</v>
      </c>
    </row>
    <row r="17" spans="1:22" x14ac:dyDescent="0.15">
      <c r="A17" s="38">
        <f t="shared" si="0"/>
        <v>1664</v>
      </c>
      <c r="V17" s="55">
        <f>V16+($V$18-$V$16)/2</f>
        <v>0.61093616335816769</v>
      </c>
    </row>
    <row r="18" spans="1:22" x14ac:dyDescent="0.15">
      <c r="A18" s="38">
        <f t="shared" si="0"/>
        <v>1665</v>
      </c>
      <c r="E18" s="31">
        <v>7</v>
      </c>
      <c r="P18" s="31">
        <f t="shared" ref="P18:P27" si="2">AVERAGE(B18:L18)</f>
        <v>7</v>
      </c>
      <c r="T18" s="31">
        <f t="shared" ref="T18:T27" si="3">P18*7.84</f>
        <v>54.879999999999995</v>
      </c>
      <c r="U18" s="31">
        <f t="shared" si="1"/>
        <v>0.63756128162829051</v>
      </c>
      <c r="V18" s="31">
        <v>0.63756128162829051</v>
      </c>
    </row>
    <row r="19" spans="1:22" x14ac:dyDescent="0.15">
      <c r="A19" s="38">
        <f t="shared" si="0"/>
        <v>1666</v>
      </c>
      <c r="E19" s="31">
        <v>6.9975142045454541</v>
      </c>
      <c r="P19" s="31">
        <f t="shared" si="2"/>
        <v>6.9975142045454541</v>
      </c>
      <c r="T19" s="31">
        <f t="shared" si="3"/>
        <v>54.860511363636363</v>
      </c>
      <c r="U19" s="31">
        <f t="shared" si="1"/>
        <v>0.63733487492316687</v>
      </c>
      <c r="V19" s="31">
        <v>0.63733487492316687</v>
      </c>
    </row>
    <row r="20" spans="1:22" x14ac:dyDescent="0.15">
      <c r="A20" s="38">
        <f t="shared" si="0"/>
        <v>1667</v>
      </c>
      <c r="E20" s="31">
        <v>7</v>
      </c>
      <c r="P20" s="31">
        <f t="shared" si="2"/>
        <v>7</v>
      </c>
      <c r="T20" s="31">
        <f t="shared" si="3"/>
        <v>54.879999999999995</v>
      </c>
      <c r="U20" s="31">
        <f t="shared" si="1"/>
        <v>0.63756128162829051</v>
      </c>
      <c r="V20" s="31">
        <v>0.63756128162829051</v>
      </c>
    </row>
    <row r="21" spans="1:22" x14ac:dyDescent="0.15">
      <c r="A21" s="38">
        <f t="shared" si="0"/>
        <v>1668</v>
      </c>
      <c r="E21" s="31">
        <v>7.9928315412186395</v>
      </c>
      <c r="P21" s="31">
        <f t="shared" si="2"/>
        <v>7.9928315412186395</v>
      </c>
      <c r="T21" s="31">
        <f t="shared" si="3"/>
        <v>62.663799283154134</v>
      </c>
      <c r="U21" s="31">
        <f t="shared" si="1"/>
        <v>0.72798856017976876</v>
      </c>
      <c r="V21" s="31">
        <v>0.72798856017976876</v>
      </c>
    </row>
    <row r="22" spans="1:22" x14ac:dyDescent="0.15">
      <c r="A22" s="38">
        <f t="shared" si="0"/>
        <v>1669</v>
      </c>
      <c r="E22" s="31">
        <v>9.9910394265232974</v>
      </c>
      <c r="P22" s="31">
        <f t="shared" si="2"/>
        <v>9.9910394265232974</v>
      </c>
      <c r="T22" s="31">
        <f t="shared" si="3"/>
        <v>78.329749103942646</v>
      </c>
      <c r="U22" s="31">
        <f t="shared" si="1"/>
        <v>0.9099857002247107</v>
      </c>
      <c r="V22" s="31">
        <v>0.9099857002247107</v>
      </c>
    </row>
    <row r="23" spans="1:22" x14ac:dyDescent="0.15">
      <c r="A23" s="38">
        <f t="shared" si="0"/>
        <v>1670</v>
      </c>
      <c r="E23" s="31">
        <v>12</v>
      </c>
      <c r="P23" s="31">
        <f t="shared" si="2"/>
        <v>12</v>
      </c>
      <c r="T23" s="31">
        <f t="shared" si="3"/>
        <v>94.08</v>
      </c>
      <c r="U23" s="31">
        <f t="shared" si="1"/>
        <v>1.0929621970770695</v>
      </c>
      <c r="V23" s="31">
        <v>1.0929621970770695</v>
      </c>
    </row>
    <row r="24" spans="1:22" x14ac:dyDescent="0.15">
      <c r="A24" s="38">
        <f t="shared" si="0"/>
        <v>1671</v>
      </c>
      <c r="E24" s="31">
        <v>10</v>
      </c>
      <c r="P24" s="31">
        <f t="shared" si="2"/>
        <v>10</v>
      </c>
      <c r="T24" s="31">
        <f t="shared" si="3"/>
        <v>78.400000000000006</v>
      </c>
      <c r="U24" s="31">
        <f t="shared" si="1"/>
        <v>0.91080183089755806</v>
      </c>
      <c r="V24" s="31">
        <v>0.91080183089755806</v>
      </c>
    </row>
    <row r="25" spans="1:22" x14ac:dyDescent="0.15">
      <c r="A25" s="38">
        <f t="shared" si="0"/>
        <v>1672</v>
      </c>
      <c r="E25" s="31">
        <v>10</v>
      </c>
      <c r="P25" s="31">
        <f t="shared" si="2"/>
        <v>10</v>
      </c>
      <c r="T25" s="31">
        <f t="shared" si="3"/>
        <v>78.400000000000006</v>
      </c>
      <c r="U25" s="31">
        <f t="shared" si="1"/>
        <v>0.91080183089755806</v>
      </c>
      <c r="V25" s="31">
        <v>0.91080183089755806</v>
      </c>
    </row>
    <row r="26" spans="1:22" x14ac:dyDescent="0.15">
      <c r="A26" s="38">
        <f t="shared" si="0"/>
        <v>1673</v>
      </c>
      <c r="E26" s="31">
        <v>10</v>
      </c>
      <c r="P26" s="31">
        <f t="shared" si="2"/>
        <v>10</v>
      </c>
      <c r="T26" s="31">
        <f t="shared" si="3"/>
        <v>78.400000000000006</v>
      </c>
      <c r="U26" s="31">
        <f t="shared" si="1"/>
        <v>0.91080183089755806</v>
      </c>
      <c r="V26" s="31">
        <v>0.91080183089755806</v>
      </c>
    </row>
    <row r="27" spans="1:22" x14ac:dyDescent="0.15">
      <c r="A27" s="38">
        <f t="shared" si="0"/>
        <v>1674</v>
      </c>
      <c r="E27" s="31">
        <v>10</v>
      </c>
      <c r="P27" s="31">
        <f t="shared" si="2"/>
        <v>10</v>
      </c>
      <c r="T27" s="31">
        <f t="shared" si="3"/>
        <v>78.400000000000006</v>
      </c>
      <c r="U27" s="31">
        <f t="shared" si="1"/>
        <v>0.91080183089755806</v>
      </c>
      <c r="V27" s="31">
        <v>0.91080183089755806</v>
      </c>
    </row>
    <row r="28" spans="1:22" x14ac:dyDescent="0.15">
      <c r="A28" s="38">
        <f t="shared" si="0"/>
        <v>1675</v>
      </c>
      <c r="V28" s="55">
        <f>V27+($V$29-$V$27)/2</f>
        <v>0.81972164780780221</v>
      </c>
    </row>
    <row r="29" spans="1:22" x14ac:dyDescent="0.15">
      <c r="A29" s="38">
        <f t="shared" si="0"/>
        <v>1676</v>
      </c>
      <c r="E29" s="31">
        <v>8</v>
      </c>
      <c r="P29" s="31">
        <f>AVERAGE(B29:L29)</f>
        <v>8</v>
      </c>
      <c r="T29" s="31">
        <f>P29*7.84</f>
        <v>62.72</v>
      </c>
      <c r="U29" s="31">
        <f t="shared" si="1"/>
        <v>0.72864146471804636</v>
      </c>
      <c r="V29" s="31">
        <v>0.72864146471804636</v>
      </c>
    </row>
    <row r="30" spans="1:22" x14ac:dyDescent="0.15">
      <c r="A30" s="38">
        <f t="shared" si="0"/>
        <v>1677</v>
      </c>
      <c r="E30" s="31">
        <v>8</v>
      </c>
      <c r="P30" s="31">
        <f>AVERAGE(B30:L30)</f>
        <v>8</v>
      </c>
      <c r="T30" s="31">
        <f>P30*7.84</f>
        <v>62.72</v>
      </c>
      <c r="U30" s="31">
        <f t="shared" si="1"/>
        <v>0.72864146471804636</v>
      </c>
      <c r="V30" s="31">
        <v>0.72864146471804636</v>
      </c>
    </row>
    <row r="31" spans="1:22" x14ac:dyDescent="0.15">
      <c r="A31" s="38">
        <f t="shared" si="0"/>
        <v>1678</v>
      </c>
      <c r="V31" s="55">
        <f>V30+($V$34-$V$30)/4</f>
        <v>0.81449383117637486</v>
      </c>
    </row>
    <row r="32" spans="1:22" x14ac:dyDescent="0.15">
      <c r="A32" s="38">
        <f t="shared" si="0"/>
        <v>1679</v>
      </c>
      <c r="V32" s="55">
        <f>V31+($V$34-$V$30)/4</f>
        <v>0.90034619763470336</v>
      </c>
    </row>
    <row r="33" spans="1:22" x14ac:dyDescent="0.15">
      <c r="A33" s="38">
        <f t="shared" si="0"/>
        <v>1680</v>
      </c>
      <c r="V33" s="55">
        <f>V32+($V$34-$V$30)/4</f>
        <v>0.98619856409303186</v>
      </c>
    </row>
    <row r="34" spans="1:22" x14ac:dyDescent="0.15">
      <c r="A34" s="38">
        <f t="shared" si="0"/>
        <v>1681</v>
      </c>
      <c r="E34" s="31">
        <v>12</v>
      </c>
      <c r="P34" s="31">
        <f t="shared" ref="P34:P39" si="4">AVERAGE(B34:L34)</f>
        <v>12</v>
      </c>
      <c r="T34" s="31">
        <f t="shared" ref="T34:T39" si="5">P34*7.69</f>
        <v>92.28</v>
      </c>
      <c r="U34" s="31">
        <f t="shared" si="1"/>
        <v>1.0720509305513604</v>
      </c>
      <c r="V34" s="31">
        <v>1.0720509305513604</v>
      </c>
    </row>
    <row r="35" spans="1:22" x14ac:dyDescent="0.15">
      <c r="A35" s="38">
        <f t="shared" si="0"/>
        <v>1682</v>
      </c>
      <c r="E35" s="31">
        <v>11</v>
      </c>
      <c r="P35" s="31">
        <f t="shared" si="4"/>
        <v>11</v>
      </c>
      <c r="T35" s="31">
        <f t="shared" si="5"/>
        <v>84.59</v>
      </c>
      <c r="U35" s="31">
        <f t="shared" si="1"/>
        <v>0.98271335300541374</v>
      </c>
      <c r="V35" s="31">
        <v>0.98271335300541374</v>
      </c>
    </row>
    <row r="36" spans="1:22" x14ac:dyDescent="0.15">
      <c r="A36" s="38">
        <f t="shared" si="0"/>
        <v>1683</v>
      </c>
      <c r="E36" s="31">
        <v>12</v>
      </c>
      <c r="P36" s="31">
        <f t="shared" si="4"/>
        <v>12</v>
      </c>
      <c r="T36" s="31">
        <f t="shared" si="5"/>
        <v>92.28</v>
      </c>
      <c r="U36" s="31">
        <f t="shared" si="1"/>
        <v>1.0720509305513604</v>
      </c>
      <c r="V36" s="31">
        <v>1.0720509305513604</v>
      </c>
    </row>
    <row r="37" spans="1:22" x14ac:dyDescent="0.15">
      <c r="A37" s="38">
        <f t="shared" si="0"/>
        <v>1684</v>
      </c>
      <c r="E37" s="31">
        <v>11</v>
      </c>
      <c r="P37" s="31">
        <f t="shared" si="4"/>
        <v>11</v>
      </c>
      <c r="T37" s="31">
        <f t="shared" si="5"/>
        <v>84.59</v>
      </c>
      <c r="U37" s="31">
        <f t="shared" si="1"/>
        <v>0.98271335300541374</v>
      </c>
      <c r="V37" s="31">
        <v>0.98271335300541374</v>
      </c>
    </row>
    <row r="38" spans="1:22" x14ac:dyDescent="0.15">
      <c r="A38" s="38">
        <f t="shared" si="0"/>
        <v>1685</v>
      </c>
      <c r="E38" s="31">
        <v>10</v>
      </c>
      <c r="J38" s="31">
        <v>9.6</v>
      </c>
      <c r="P38" s="31">
        <f t="shared" si="4"/>
        <v>9.8000000000000007</v>
      </c>
      <c r="T38" s="31">
        <f t="shared" si="5"/>
        <v>75.362000000000009</v>
      </c>
      <c r="U38" s="31">
        <f t="shared" si="1"/>
        <v>0.8755082599502777</v>
      </c>
      <c r="V38" s="31">
        <v>0.8755082599502777</v>
      </c>
    </row>
    <row r="39" spans="1:22" x14ac:dyDescent="0.15">
      <c r="A39" s="38">
        <f t="shared" si="0"/>
        <v>1686</v>
      </c>
      <c r="E39" s="31">
        <v>10</v>
      </c>
      <c r="P39" s="31">
        <f t="shared" si="4"/>
        <v>10</v>
      </c>
      <c r="T39" s="31">
        <f t="shared" si="5"/>
        <v>76.900000000000006</v>
      </c>
      <c r="U39" s="31">
        <f t="shared" si="1"/>
        <v>0.893375775459467</v>
      </c>
      <c r="V39" s="31">
        <v>0.893375775459467</v>
      </c>
    </row>
    <row r="40" spans="1:22" x14ac:dyDescent="0.15">
      <c r="A40" s="38">
        <f t="shared" si="0"/>
        <v>1687</v>
      </c>
      <c r="V40" s="55">
        <f>V39+($V$41-$V$39)/2</f>
        <v>0.893375775459467</v>
      </c>
    </row>
    <row r="41" spans="1:22" x14ac:dyDescent="0.15">
      <c r="A41" s="38">
        <f t="shared" si="0"/>
        <v>1688</v>
      </c>
      <c r="E41" s="31">
        <v>10</v>
      </c>
      <c r="P41" s="31">
        <f>AVERAGE(B41:L41)</f>
        <v>10</v>
      </c>
      <c r="T41" s="31">
        <f>P41*7.69</f>
        <v>76.900000000000006</v>
      </c>
      <c r="U41" s="31">
        <f t="shared" si="1"/>
        <v>0.893375775459467</v>
      </c>
      <c r="V41" s="31">
        <v>0.893375775459467</v>
      </c>
    </row>
    <row r="42" spans="1:22" x14ac:dyDescent="0.15">
      <c r="A42" s="38">
        <f t="shared" si="0"/>
        <v>1689</v>
      </c>
      <c r="E42" s="31">
        <v>12</v>
      </c>
      <c r="P42" s="31">
        <f>AVERAGE(B42:L42)</f>
        <v>12</v>
      </c>
      <c r="T42" s="31">
        <f>P42*7.69</f>
        <v>92.28</v>
      </c>
      <c r="U42" s="31">
        <f t="shared" si="1"/>
        <v>1.0720509305513604</v>
      </c>
      <c r="V42" s="31">
        <v>1.0720509305513604</v>
      </c>
    </row>
    <row r="43" spans="1:22" x14ac:dyDescent="0.15">
      <c r="A43" s="38">
        <f t="shared" si="0"/>
        <v>1690</v>
      </c>
      <c r="E43" s="31">
        <v>8</v>
      </c>
      <c r="P43" s="31">
        <f>AVERAGE(B43:L43)</f>
        <v>8</v>
      </c>
      <c r="T43" s="31">
        <f>P43*7.69</f>
        <v>61.52</v>
      </c>
      <c r="U43" s="31">
        <f t="shared" si="1"/>
        <v>0.71470062036757365</v>
      </c>
      <c r="V43" s="31">
        <v>0.71470062036757365</v>
      </c>
    </row>
    <row r="44" spans="1:22" x14ac:dyDescent="0.15">
      <c r="A44" s="38">
        <f t="shared" si="0"/>
        <v>1691</v>
      </c>
      <c r="E44" s="31">
        <v>9</v>
      </c>
      <c r="P44" s="31">
        <f>AVERAGE(B44:L44)</f>
        <v>9</v>
      </c>
      <c r="T44" s="31">
        <f>P44*7.69</f>
        <v>69.210000000000008</v>
      </c>
      <c r="U44" s="31">
        <f t="shared" si="1"/>
        <v>0.80403819791352038</v>
      </c>
      <c r="V44" s="31">
        <v>0.80403819791352038</v>
      </c>
    </row>
    <row r="45" spans="1:22" x14ac:dyDescent="0.15">
      <c r="A45" s="38">
        <f t="shared" si="0"/>
        <v>1692</v>
      </c>
      <c r="V45" s="55">
        <f>V44+($V$46-$V$44)/2</f>
        <v>0.78170380352703372</v>
      </c>
    </row>
    <row r="46" spans="1:22" x14ac:dyDescent="0.15">
      <c r="A46" s="38">
        <f t="shared" si="0"/>
        <v>1693</v>
      </c>
      <c r="E46" s="31">
        <v>8.5</v>
      </c>
      <c r="P46" s="31">
        <f t="shared" ref="P46:P64" si="6">AVERAGE(B46:L46)</f>
        <v>8.5</v>
      </c>
      <c r="T46" s="31">
        <f t="shared" ref="T46:T64" si="7">P46*7.69</f>
        <v>65.365000000000009</v>
      </c>
      <c r="U46" s="31">
        <f t="shared" si="1"/>
        <v>0.75936940914054707</v>
      </c>
      <c r="V46" s="31">
        <v>0.75936940914054707</v>
      </c>
    </row>
    <row r="47" spans="1:22" x14ac:dyDescent="0.15">
      <c r="A47" s="38">
        <f t="shared" si="0"/>
        <v>1694</v>
      </c>
      <c r="E47" s="31">
        <v>8.75</v>
      </c>
      <c r="P47" s="31">
        <f t="shared" si="6"/>
        <v>8.75</v>
      </c>
      <c r="T47" s="31">
        <f t="shared" si="7"/>
        <v>67.287500000000009</v>
      </c>
      <c r="U47" s="31">
        <f t="shared" si="1"/>
        <v>0.78170380352703372</v>
      </c>
      <c r="V47" s="31">
        <v>0.78170380352703372</v>
      </c>
    </row>
    <row r="48" spans="1:22" x14ac:dyDescent="0.15">
      <c r="A48" s="38">
        <f t="shared" si="0"/>
        <v>1695</v>
      </c>
      <c r="E48" s="31">
        <v>8.5</v>
      </c>
      <c r="P48" s="31">
        <f t="shared" si="6"/>
        <v>8.5</v>
      </c>
      <c r="T48" s="31">
        <f t="shared" si="7"/>
        <v>65.365000000000009</v>
      </c>
      <c r="U48" s="31">
        <f t="shared" si="1"/>
        <v>0.75936940914054707</v>
      </c>
      <c r="V48" s="31">
        <v>0.75936940914054707</v>
      </c>
    </row>
    <row r="49" spans="1:22" x14ac:dyDescent="0.15">
      <c r="A49" s="38">
        <f t="shared" si="0"/>
        <v>1696</v>
      </c>
      <c r="E49" s="31">
        <v>8.5</v>
      </c>
      <c r="P49" s="31">
        <f t="shared" si="6"/>
        <v>8.5</v>
      </c>
      <c r="T49" s="31">
        <f t="shared" si="7"/>
        <v>65.365000000000009</v>
      </c>
      <c r="U49" s="31">
        <f t="shared" si="1"/>
        <v>0.75936940914054707</v>
      </c>
      <c r="V49" s="31">
        <v>0.75936940914054707</v>
      </c>
    </row>
    <row r="50" spans="1:22" x14ac:dyDescent="0.15">
      <c r="A50" s="38">
        <f t="shared" si="0"/>
        <v>1697</v>
      </c>
      <c r="E50" s="31">
        <v>8.5</v>
      </c>
      <c r="P50" s="31">
        <f t="shared" si="6"/>
        <v>8.5</v>
      </c>
      <c r="T50" s="31">
        <f t="shared" si="7"/>
        <v>65.365000000000009</v>
      </c>
      <c r="U50" s="31">
        <f t="shared" si="1"/>
        <v>0.75936940914054707</v>
      </c>
      <c r="V50" s="31">
        <v>0.75936940914054707</v>
      </c>
    </row>
    <row r="51" spans="1:22" x14ac:dyDescent="0.15">
      <c r="A51" s="38">
        <f t="shared" si="0"/>
        <v>1698</v>
      </c>
      <c r="E51" s="31">
        <v>8.5</v>
      </c>
      <c r="P51" s="31">
        <f t="shared" si="6"/>
        <v>8.5</v>
      </c>
      <c r="T51" s="31">
        <f t="shared" si="7"/>
        <v>65.365000000000009</v>
      </c>
      <c r="U51" s="31">
        <f t="shared" si="1"/>
        <v>0.75936940914054707</v>
      </c>
      <c r="V51" s="31">
        <v>0.75936940914054707</v>
      </c>
    </row>
    <row r="52" spans="1:22" x14ac:dyDescent="0.15">
      <c r="A52" s="38">
        <f>A53-1</f>
        <v>1699</v>
      </c>
      <c r="E52" s="31">
        <v>8.5</v>
      </c>
      <c r="P52" s="31">
        <f t="shared" si="6"/>
        <v>8.5</v>
      </c>
      <c r="T52" s="31">
        <f t="shared" si="7"/>
        <v>65.365000000000009</v>
      </c>
      <c r="U52" s="31">
        <f t="shared" si="1"/>
        <v>0.75936940914054707</v>
      </c>
      <c r="V52" s="31">
        <v>0.75936940914054707</v>
      </c>
    </row>
    <row r="53" spans="1:22" x14ac:dyDescent="0.15">
      <c r="A53" s="38">
        <v>1700</v>
      </c>
      <c r="E53" s="31">
        <v>6.6833333333333336</v>
      </c>
      <c r="P53" s="31">
        <f t="shared" si="6"/>
        <v>6.6833333333333336</v>
      </c>
      <c r="T53" s="31">
        <f t="shared" si="7"/>
        <v>51.394833333333338</v>
      </c>
      <c r="U53" s="31">
        <f t="shared" si="1"/>
        <v>0.59707280993207712</v>
      </c>
      <c r="V53" s="31">
        <v>0.59707280993207712</v>
      </c>
    </row>
    <row r="54" spans="1:22" x14ac:dyDescent="0.15">
      <c r="A54" s="38">
        <v>1701</v>
      </c>
      <c r="B54" s="31">
        <v>9.5</v>
      </c>
      <c r="E54" s="39">
        <v>8.5</v>
      </c>
      <c r="J54" s="31">
        <v>7.919999999999999</v>
      </c>
      <c r="P54" s="31">
        <f t="shared" si="6"/>
        <v>8.6399999999999988</v>
      </c>
      <c r="T54" s="31">
        <f t="shared" si="7"/>
        <v>66.441599999999994</v>
      </c>
      <c r="U54" s="31">
        <f t="shared" si="1"/>
        <v>0.77187666999697935</v>
      </c>
      <c r="V54" s="31">
        <v>0.77187666999697935</v>
      </c>
    </row>
    <row r="55" spans="1:22" x14ac:dyDescent="0.15">
      <c r="A55" s="38">
        <v>1702</v>
      </c>
      <c r="B55" s="40"/>
      <c r="E55" s="39">
        <v>8.5</v>
      </c>
      <c r="P55" s="31">
        <f t="shared" si="6"/>
        <v>8.5</v>
      </c>
      <c r="T55" s="31">
        <f t="shared" si="7"/>
        <v>65.365000000000009</v>
      </c>
      <c r="U55" s="31">
        <f t="shared" si="1"/>
        <v>0.75936940914054707</v>
      </c>
      <c r="V55" s="31">
        <v>0.75936940914054707</v>
      </c>
    </row>
    <row r="56" spans="1:22" x14ac:dyDescent="0.15">
      <c r="A56" s="38">
        <v>1703</v>
      </c>
      <c r="B56" s="31">
        <v>9</v>
      </c>
      <c r="E56" s="39">
        <v>8.5</v>
      </c>
      <c r="P56" s="31">
        <f t="shared" si="6"/>
        <v>8.75</v>
      </c>
      <c r="T56" s="31">
        <f t="shared" si="7"/>
        <v>67.287500000000009</v>
      </c>
      <c r="U56" s="31">
        <f t="shared" si="1"/>
        <v>0.78170380352703372</v>
      </c>
      <c r="V56" s="31">
        <v>0.78170380352703372</v>
      </c>
    </row>
    <row r="57" spans="1:22" x14ac:dyDescent="0.15">
      <c r="A57" s="38">
        <v>1704</v>
      </c>
      <c r="B57" s="40"/>
      <c r="E57" s="39">
        <v>8.5</v>
      </c>
      <c r="P57" s="31">
        <f t="shared" si="6"/>
        <v>8.5</v>
      </c>
      <c r="T57" s="31">
        <f t="shared" si="7"/>
        <v>65.365000000000009</v>
      </c>
      <c r="U57" s="31">
        <f t="shared" si="1"/>
        <v>0.75936940914054707</v>
      </c>
      <c r="V57" s="31">
        <v>0.75936940914054707</v>
      </c>
    </row>
    <row r="58" spans="1:22" x14ac:dyDescent="0.15">
      <c r="A58" s="38">
        <v>1705</v>
      </c>
      <c r="B58" s="31">
        <v>13.5</v>
      </c>
      <c r="E58" s="30">
        <v>8.5</v>
      </c>
      <c r="P58" s="31">
        <f t="shared" si="6"/>
        <v>11</v>
      </c>
      <c r="T58" s="31">
        <f t="shared" si="7"/>
        <v>84.59</v>
      </c>
      <c r="U58" s="31">
        <f t="shared" si="1"/>
        <v>0.98271335300541374</v>
      </c>
      <c r="V58" s="31">
        <v>0.98271335300541374</v>
      </c>
    </row>
    <row r="59" spans="1:22" x14ac:dyDescent="0.15">
      <c r="A59" s="38">
        <v>1706</v>
      </c>
      <c r="B59" s="40"/>
      <c r="E59" s="31">
        <v>8.5</v>
      </c>
      <c r="P59" s="31">
        <f t="shared" si="6"/>
        <v>8.5</v>
      </c>
      <c r="T59" s="31">
        <f t="shared" si="7"/>
        <v>65.365000000000009</v>
      </c>
      <c r="U59" s="31">
        <f t="shared" si="1"/>
        <v>0.75936940914054707</v>
      </c>
      <c r="V59" s="31">
        <v>0.75936940914054707</v>
      </c>
    </row>
    <row r="60" spans="1:22" x14ac:dyDescent="0.15">
      <c r="A60" s="38">
        <v>1707</v>
      </c>
      <c r="B60" s="40"/>
      <c r="E60" s="40"/>
      <c r="J60" s="31">
        <v>6.8</v>
      </c>
      <c r="P60" s="31">
        <f t="shared" si="6"/>
        <v>6.8</v>
      </c>
      <c r="T60" s="31">
        <f t="shared" si="7"/>
        <v>52.292000000000002</v>
      </c>
      <c r="U60" s="31">
        <f>T60/(111.5*0.772)</f>
        <v>0.6074955273124375</v>
      </c>
      <c r="V60" s="31">
        <v>0.6074955273124375</v>
      </c>
    </row>
    <row r="61" spans="1:22" x14ac:dyDescent="0.15">
      <c r="A61" s="38">
        <v>1708</v>
      </c>
      <c r="B61" s="31">
        <v>6.75</v>
      </c>
      <c r="D61" s="31">
        <v>16.8</v>
      </c>
      <c r="E61" s="31">
        <v>8.5</v>
      </c>
      <c r="J61" s="31">
        <v>8.4</v>
      </c>
      <c r="P61" s="31">
        <f t="shared" si="6"/>
        <v>10.112499999999999</v>
      </c>
      <c r="T61" s="31">
        <f t="shared" si="7"/>
        <v>77.765124999999998</v>
      </c>
      <c r="U61" s="31">
        <f t="shared" si="1"/>
        <v>0.90342625293338596</v>
      </c>
      <c r="V61" s="31">
        <v>0.90342625293338596</v>
      </c>
    </row>
    <row r="62" spans="1:22" x14ac:dyDescent="0.15">
      <c r="A62" s="38">
        <v>1709</v>
      </c>
      <c r="B62" s="31">
        <v>4.5</v>
      </c>
      <c r="E62" s="40"/>
      <c r="P62" s="31">
        <f t="shared" si="6"/>
        <v>4.5</v>
      </c>
      <c r="T62" s="31">
        <f t="shared" si="7"/>
        <v>34.605000000000004</v>
      </c>
      <c r="U62" s="31">
        <f t="shared" si="1"/>
        <v>0.40201909895676019</v>
      </c>
      <c r="V62" s="31">
        <v>0.40201909895676019</v>
      </c>
    </row>
    <row r="63" spans="1:22" x14ac:dyDescent="0.15">
      <c r="A63" s="38">
        <v>1710</v>
      </c>
      <c r="B63" s="40"/>
      <c r="E63" s="31">
        <v>9.75</v>
      </c>
      <c r="P63" s="31">
        <f t="shared" si="6"/>
        <v>9.75</v>
      </c>
      <c r="T63" s="31">
        <f t="shared" si="7"/>
        <v>74.977500000000006</v>
      </c>
      <c r="U63" s="31">
        <f t="shared" si="1"/>
        <v>0.87104138107298035</v>
      </c>
      <c r="V63" s="31">
        <v>0.87104138107298035</v>
      </c>
    </row>
    <row r="64" spans="1:22" x14ac:dyDescent="0.15">
      <c r="A64" s="38">
        <v>1711</v>
      </c>
      <c r="B64" s="31">
        <v>8</v>
      </c>
      <c r="E64" s="31">
        <v>8</v>
      </c>
      <c r="P64" s="31">
        <f t="shared" si="6"/>
        <v>8</v>
      </c>
      <c r="T64" s="31">
        <f t="shared" si="7"/>
        <v>61.52</v>
      </c>
      <c r="U64" s="31">
        <f t="shared" si="1"/>
        <v>0.71470062036757365</v>
      </c>
      <c r="V64" s="31">
        <v>0.71470062036757365</v>
      </c>
    </row>
    <row r="65" spans="1:22" x14ac:dyDescent="0.15">
      <c r="A65" s="38">
        <v>1712</v>
      </c>
      <c r="B65" s="40"/>
      <c r="E65" s="40"/>
      <c r="V65" s="55">
        <f>V64+($V$66-$V$64)/2</f>
        <v>0.55835985966216695</v>
      </c>
    </row>
    <row r="66" spans="1:22" x14ac:dyDescent="0.15">
      <c r="A66" s="38">
        <v>1713</v>
      </c>
      <c r="B66" s="31">
        <v>4.5</v>
      </c>
      <c r="E66" s="40"/>
      <c r="P66" s="31">
        <f>AVERAGE(B66:L66)</f>
        <v>4.5</v>
      </c>
      <c r="T66" s="31">
        <f>P66*7.69</f>
        <v>34.605000000000004</v>
      </c>
      <c r="U66" s="31">
        <f t="shared" si="1"/>
        <v>0.40201909895676019</v>
      </c>
      <c r="V66" s="31">
        <v>0.40201909895676019</v>
      </c>
    </row>
    <row r="67" spans="1:22" x14ac:dyDescent="0.15">
      <c r="A67" s="38">
        <v>1714</v>
      </c>
      <c r="B67" s="40"/>
      <c r="E67" s="31">
        <v>8.5</v>
      </c>
      <c r="P67" s="31">
        <f>AVERAGE(B67:L67)</f>
        <v>8.5</v>
      </c>
      <c r="T67" s="31">
        <f>P67*7.69</f>
        <v>65.365000000000009</v>
      </c>
      <c r="U67" s="31">
        <f t="shared" si="1"/>
        <v>0.75936940914054707</v>
      </c>
      <c r="V67" s="31">
        <v>0.75936940914054707</v>
      </c>
    </row>
    <row r="68" spans="1:22" x14ac:dyDescent="0.15">
      <c r="A68" s="38">
        <v>1715</v>
      </c>
      <c r="B68" s="40"/>
      <c r="E68" s="40"/>
      <c r="V68" s="55">
        <f>V67+($V$69-$V$67)/2</f>
        <v>0.59186145124189693</v>
      </c>
    </row>
    <row r="69" spans="1:22" ht="15" x14ac:dyDescent="0.2">
      <c r="A69" s="38">
        <v>1716</v>
      </c>
      <c r="B69" s="31">
        <v>4.75</v>
      </c>
      <c r="J69" s="4"/>
      <c r="P69" s="31">
        <f>AVERAGE(B69:L69)</f>
        <v>4.75</v>
      </c>
      <c r="T69" s="31">
        <f>P69*7.69</f>
        <v>36.527500000000003</v>
      </c>
      <c r="U69" s="31">
        <f t="shared" si="1"/>
        <v>0.42435349334324685</v>
      </c>
      <c r="V69" s="31">
        <v>0.42435349334324685</v>
      </c>
    </row>
    <row r="70" spans="1:22" x14ac:dyDescent="0.15">
      <c r="A70" s="38">
        <v>1717</v>
      </c>
      <c r="E70" s="31">
        <v>8</v>
      </c>
      <c r="P70" s="31">
        <f>AVERAGE(B70:L70)</f>
        <v>8</v>
      </c>
      <c r="T70" s="31">
        <f>P70*7.69</f>
        <v>61.52</v>
      </c>
      <c r="U70" s="31">
        <f t="shared" si="1"/>
        <v>0.71470062036757365</v>
      </c>
      <c r="V70" s="31">
        <v>0.71470062036757365</v>
      </c>
    </row>
    <row r="71" spans="1:22" x14ac:dyDescent="0.15">
      <c r="A71" s="38">
        <v>1718</v>
      </c>
      <c r="E71" s="31">
        <v>8</v>
      </c>
      <c r="P71" s="31">
        <f>AVERAGE(B71:L71)</f>
        <v>8</v>
      </c>
      <c r="T71" s="31">
        <f>P71*7.69</f>
        <v>61.52</v>
      </c>
      <c r="U71" s="31">
        <f t="shared" si="1"/>
        <v>0.71470062036757365</v>
      </c>
      <c r="V71" s="31">
        <v>0.71470062036757365</v>
      </c>
    </row>
    <row r="72" spans="1:22" x14ac:dyDescent="0.15">
      <c r="A72" s="38">
        <v>1719</v>
      </c>
      <c r="D72" s="31">
        <v>8</v>
      </c>
      <c r="E72" s="31">
        <v>8</v>
      </c>
      <c r="J72" s="31">
        <v>8</v>
      </c>
      <c r="P72" s="31">
        <f>AVERAGE(B72:L72)</f>
        <v>8</v>
      </c>
      <c r="T72" s="31">
        <f>P72*7.69</f>
        <v>61.52</v>
      </c>
      <c r="U72" s="31">
        <f t="shared" si="1"/>
        <v>0.71470062036757365</v>
      </c>
      <c r="V72" s="31">
        <v>0.71470062036757365</v>
      </c>
    </row>
    <row r="73" spans="1:22" x14ac:dyDescent="0.15">
      <c r="A73" s="38">
        <v>1720</v>
      </c>
      <c r="D73" s="31">
        <v>9</v>
      </c>
      <c r="E73" s="31">
        <v>8</v>
      </c>
      <c r="J73" s="31">
        <v>9</v>
      </c>
      <c r="P73" s="31">
        <f>AVERAGE(B73:L73)</f>
        <v>8.6666666666666661</v>
      </c>
      <c r="T73" s="31">
        <f>P73*7.69</f>
        <v>66.646666666666661</v>
      </c>
      <c r="U73" s="31">
        <f t="shared" si="1"/>
        <v>0.77425900539820469</v>
      </c>
      <c r="V73" s="31">
        <v>0.77425900539820469</v>
      </c>
    </row>
    <row r="74" spans="1:22" x14ac:dyDescent="0.15">
      <c r="A74" s="38">
        <v>1721</v>
      </c>
      <c r="E74" s="40"/>
      <c r="V74" s="55">
        <f>V73+($V$75-$V$73)/2</f>
        <v>0.74447981288288911</v>
      </c>
    </row>
    <row r="75" spans="1:22" x14ac:dyDescent="0.15">
      <c r="A75" s="38">
        <v>1722</v>
      </c>
      <c r="E75" s="31">
        <v>8</v>
      </c>
      <c r="P75" s="31">
        <f>AVERAGE(B75:L75)</f>
        <v>8</v>
      </c>
      <c r="T75" s="31">
        <f>P75*7.69</f>
        <v>61.52</v>
      </c>
      <c r="U75" s="31">
        <f t="shared" si="1"/>
        <v>0.71470062036757365</v>
      </c>
      <c r="V75" s="31">
        <v>0.71470062036757365</v>
      </c>
    </row>
    <row r="76" spans="1:22" x14ac:dyDescent="0.15">
      <c r="A76" s="38">
        <v>1723</v>
      </c>
      <c r="E76" s="31">
        <v>8</v>
      </c>
      <c r="J76" s="31">
        <v>6.1829999999999998</v>
      </c>
      <c r="P76" s="31">
        <f>AVERAGE(B76:L76)</f>
        <v>7.0914999999999999</v>
      </c>
      <c r="T76" s="31">
        <f>P76*7.69</f>
        <v>54.533635000000004</v>
      </c>
      <c r="U76" s="31">
        <f t="shared" si="1"/>
        <v>0.63353743116708106</v>
      </c>
      <c r="V76" s="31">
        <v>0.63353743116708106</v>
      </c>
    </row>
    <row r="77" spans="1:22" x14ac:dyDescent="0.15">
      <c r="A77" s="38">
        <v>1724</v>
      </c>
      <c r="B77" s="31">
        <v>8</v>
      </c>
      <c r="E77" s="31">
        <v>8</v>
      </c>
      <c r="P77" s="31">
        <f>AVERAGE(B77:L77)</f>
        <v>8</v>
      </c>
      <c r="T77" s="31">
        <f>P77*7.69</f>
        <v>61.52</v>
      </c>
      <c r="U77" s="31">
        <f t="shared" ref="U77:U140" si="8">T77/(111.5*0.772)</f>
        <v>0.71470062036757365</v>
      </c>
      <c r="V77" s="31">
        <v>0.71470062036757365</v>
      </c>
    </row>
    <row r="78" spans="1:22" x14ac:dyDescent="0.15">
      <c r="A78" s="38">
        <v>1725</v>
      </c>
      <c r="B78" s="40"/>
      <c r="E78" s="31">
        <v>8</v>
      </c>
      <c r="P78" s="31">
        <f>AVERAGE(B78:L78)</f>
        <v>8</v>
      </c>
      <c r="T78" s="31">
        <f>P78*7.69</f>
        <v>61.52</v>
      </c>
      <c r="U78" s="31">
        <f t="shared" si="8"/>
        <v>0.71470062036757365</v>
      </c>
      <c r="V78" s="31">
        <v>0.71470062036757365</v>
      </c>
    </row>
    <row r="79" spans="1:22" x14ac:dyDescent="0.15">
      <c r="A79" s="38">
        <v>1726</v>
      </c>
      <c r="B79" s="31">
        <v>14</v>
      </c>
      <c r="E79" s="31">
        <v>8</v>
      </c>
      <c r="P79" s="31">
        <f>AVERAGE(B79:L79)</f>
        <v>11</v>
      </c>
      <c r="T79" s="31">
        <f>P79*7.69</f>
        <v>84.59</v>
      </c>
      <c r="U79" s="31">
        <f t="shared" si="8"/>
        <v>0.98271335300541374</v>
      </c>
      <c r="V79" s="31">
        <v>0.98271335300541374</v>
      </c>
    </row>
    <row r="80" spans="1:22" x14ac:dyDescent="0.15">
      <c r="A80" s="38">
        <v>1727</v>
      </c>
      <c r="E80" s="40"/>
      <c r="V80" s="55">
        <f>V79+($V$81-$V$79)/2</f>
        <v>0.84870698668649369</v>
      </c>
    </row>
    <row r="81" spans="1:22" x14ac:dyDescent="0.15">
      <c r="A81" s="38">
        <v>1728</v>
      </c>
      <c r="E81" s="31">
        <v>8</v>
      </c>
      <c r="P81" s="31">
        <f t="shared" ref="P81:P112" si="9">AVERAGE(B81:L81)</f>
        <v>8</v>
      </c>
      <c r="T81" s="31">
        <f t="shared" ref="T81:T95" si="10">P81*7.69</f>
        <v>61.52</v>
      </c>
      <c r="U81" s="31">
        <f>T81/(111.5*0.772)</f>
        <v>0.71470062036757365</v>
      </c>
      <c r="V81" s="31">
        <v>0.71470062036757365</v>
      </c>
    </row>
    <row r="82" spans="1:22" x14ac:dyDescent="0.15">
      <c r="A82" s="38">
        <v>1729</v>
      </c>
      <c r="B82" s="31">
        <v>5.75</v>
      </c>
      <c r="E82" s="31">
        <v>7.7368421052631584</v>
      </c>
      <c r="P82" s="31">
        <f t="shared" si="9"/>
        <v>6.7434210526315788</v>
      </c>
      <c r="T82" s="31">
        <f t="shared" si="10"/>
        <v>51.856907894736842</v>
      </c>
      <c r="U82" s="31">
        <f t="shared" si="8"/>
        <v>0.60244090121444316</v>
      </c>
      <c r="V82" s="31">
        <v>0.60244090121444316</v>
      </c>
    </row>
    <row r="83" spans="1:22" x14ac:dyDescent="0.15">
      <c r="A83" s="38">
        <v>1730</v>
      </c>
      <c r="E83" s="31">
        <v>8</v>
      </c>
      <c r="P83" s="31">
        <f t="shared" si="9"/>
        <v>8</v>
      </c>
      <c r="T83" s="31">
        <f t="shared" si="10"/>
        <v>61.52</v>
      </c>
      <c r="U83" s="31">
        <f t="shared" si="8"/>
        <v>0.71470062036757365</v>
      </c>
      <c r="V83" s="31">
        <v>0.71470062036757365</v>
      </c>
    </row>
    <row r="84" spans="1:22" x14ac:dyDescent="0.15">
      <c r="A84" s="38">
        <v>1731</v>
      </c>
      <c r="E84" s="31">
        <v>8</v>
      </c>
      <c r="P84" s="31">
        <f t="shared" si="9"/>
        <v>8</v>
      </c>
      <c r="T84" s="31">
        <f t="shared" si="10"/>
        <v>61.52</v>
      </c>
      <c r="U84" s="31">
        <f t="shared" si="8"/>
        <v>0.71470062036757365</v>
      </c>
      <c r="V84" s="31">
        <v>0.71470062036757365</v>
      </c>
    </row>
    <row r="85" spans="1:22" x14ac:dyDescent="0.15">
      <c r="A85" s="38">
        <v>1732</v>
      </c>
      <c r="E85" s="31">
        <v>8</v>
      </c>
      <c r="P85" s="31">
        <f t="shared" si="9"/>
        <v>8</v>
      </c>
      <c r="T85" s="31">
        <f t="shared" si="10"/>
        <v>61.52</v>
      </c>
      <c r="U85" s="31">
        <f t="shared" si="8"/>
        <v>0.71470062036757365</v>
      </c>
      <c r="V85" s="31">
        <v>0.71470062036757365</v>
      </c>
    </row>
    <row r="86" spans="1:22" x14ac:dyDescent="0.15">
      <c r="A86" s="38">
        <v>1733</v>
      </c>
      <c r="E86" s="31">
        <v>8</v>
      </c>
      <c r="P86" s="31">
        <f t="shared" si="9"/>
        <v>8</v>
      </c>
      <c r="T86" s="31">
        <f t="shared" si="10"/>
        <v>61.52</v>
      </c>
      <c r="U86" s="31">
        <f t="shared" si="8"/>
        <v>0.71470062036757365</v>
      </c>
      <c r="V86" s="31">
        <v>0.71470062036757365</v>
      </c>
    </row>
    <row r="87" spans="1:22" x14ac:dyDescent="0.15">
      <c r="A87" s="38">
        <v>1734</v>
      </c>
      <c r="D87" s="31">
        <v>7</v>
      </c>
      <c r="E87" s="31">
        <v>8</v>
      </c>
      <c r="J87" s="31">
        <v>7</v>
      </c>
      <c r="P87" s="31">
        <f t="shared" si="9"/>
        <v>7.333333333333333</v>
      </c>
      <c r="T87" s="31">
        <f t="shared" si="10"/>
        <v>56.393333333333331</v>
      </c>
      <c r="U87" s="31">
        <f t="shared" si="8"/>
        <v>0.65514223533694238</v>
      </c>
      <c r="V87" s="31">
        <v>0.65514223533694238</v>
      </c>
    </row>
    <row r="88" spans="1:22" x14ac:dyDescent="0.15">
      <c r="A88" s="38">
        <v>1735</v>
      </c>
      <c r="E88" s="31">
        <v>8</v>
      </c>
      <c r="P88" s="31">
        <f t="shared" si="9"/>
        <v>8</v>
      </c>
      <c r="T88" s="31">
        <f t="shared" si="10"/>
        <v>61.52</v>
      </c>
      <c r="U88" s="31">
        <f t="shared" si="8"/>
        <v>0.71470062036757365</v>
      </c>
      <c r="V88" s="31">
        <v>0.71470062036757365</v>
      </c>
    </row>
    <row r="89" spans="1:22" x14ac:dyDescent="0.15">
      <c r="A89" s="38">
        <v>1736</v>
      </c>
      <c r="B89" s="31">
        <v>6</v>
      </c>
      <c r="E89" s="31">
        <v>8</v>
      </c>
      <c r="P89" s="31">
        <f t="shared" si="9"/>
        <v>7</v>
      </c>
      <c r="T89" s="31">
        <f t="shared" si="10"/>
        <v>53.830000000000005</v>
      </c>
      <c r="U89" s="31">
        <f t="shared" si="8"/>
        <v>0.62536304282162691</v>
      </c>
      <c r="V89" s="31">
        <v>0.62536304282162691</v>
      </c>
    </row>
    <row r="90" spans="1:22" x14ac:dyDescent="0.15">
      <c r="A90" s="38">
        <v>1737</v>
      </c>
      <c r="B90" s="40"/>
      <c r="E90" s="31">
        <v>8</v>
      </c>
      <c r="P90" s="31">
        <f t="shared" si="9"/>
        <v>8</v>
      </c>
      <c r="T90" s="31">
        <f t="shared" si="10"/>
        <v>61.52</v>
      </c>
      <c r="U90" s="31">
        <f t="shared" si="8"/>
        <v>0.71470062036757365</v>
      </c>
      <c r="V90" s="31">
        <v>0.71470062036757365</v>
      </c>
    </row>
    <row r="91" spans="1:22" x14ac:dyDescent="0.15">
      <c r="A91" s="38">
        <v>1738</v>
      </c>
      <c r="B91" s="31">
        <v>4.5</v>
      </c>
      <c r="D91" s="31">
        <v>5.5</v>
      </c>
      <c r="E91" s="31">
        <v>8</v>
      </c>
      <c r="J91" s="31">
        <v>5.5</v>
      </c>
      <c r="P91" s="31">
        <f t="shared" si="9"/>
        <v>5.875</v>
      </c>
      <c r="T91" s="31">
        <f t="shared" si="10"/>
        <v>45.178750000000001</v>
      </c>
      <c r="U91" s="31">
        <f t="shared" si="8"/>
        <v>0.52485826808243685</v>
      </c>
      <c r="V91" s="31">
        <v>0.52485826808243685</v>
      </c>
    </row>
    <row r="92" spans="1:22" x14ac:dyDescent="0.15">
      <c r="A92" s="38">
        <v>1739</v>
      </c>
      <c r="B92" s="31">
        <v>8.5</v>
      </c>
      <c r="E92" s="31">
        <v>8</v>
      </c>
      <c r="P92" s="31">
        <f t="shared" si="9"/>
        <v>8.25</v>
      </c>
      <c r="T92" s="31">
        <f t="shared" si="10"/>
        <v>63.442500000000003</v>
      </c>
      <c r="U92" s="31">
        <f t="shared" si="8"/>
        <v>0.7370350147540603</v>
      </c>
      <c r="V92" s="31">
        <v>0.7370350147540603</v>
      </c>
    </row>
    <row r="93" spans="1:22" x14ac:dyDescent="0.15">
      <c r="A93" s="38">
        <v>1740</v>
      </c>
      <c r="D93" s="31">
        <v>8</v>
      </c>
      <c r="E93" s="31">
        <v>8</v>
      </c>
      <c r="J93" s="31">
        <v>7.6999999999999993</v>
      </c>
      <c r="P93" s="31">
        <f t="shared" si="9"/>
        <v>7.8999999999999995</v>
      </c>
      <c r="T93" s="31">
        <f t="shared" si="10"/>
        <v>60.750999999999998</v>
      </c>
      <c r="U93" s="31">
        <f t="shared" si="8"/>
        <v>0.70576686261297883</v>
      </c>
      <c r="V93" s="31">
        <v>0.70576686261297883</v>
      </c>
    </row>
    <row r="94" spans="1:22" x14ac:dyDescent="0.15">
      <c r="A94" s="38">
        <v>1741</v>
      </c>
      <c r="D94" s="31">
        <v>2</v>
      </c>
      <c r="E94" s="40"/>
      <c r="J94" s="31">
        <v>5.1999999999999993</v>
      </c>
      <c r="P94" s="31">
        <f t="shared" si="9"/>
        <v>3.5999999999999996</v>
      </c>
      <c r="T94" s="31">
        <f t="shared" si="10"/>
        <v>27.683999999999997</v>
      </c>
      <c r="U94" s="31">
        <f t="shared" si="8"/>
        <v>0.32161527916540805</v>
      </c>
      <c r="V94" s="31">
        <v>0.32161527916540805</v>
      </c>
    </row>
    <row r="95" spans="1:22" x14ac:dyDescent="0.15">
      <c r="A95" s="38">
        <v>1742</v>
      </c>
      <c r="E95" s="31">
        <v>8</v>
      </c>
      <c r="P95" s="31">
        <f t="shared" si="9"/>
        <v>8</v>
      </c>
      <c r="T95" s="31">
        <f t="shared" si="10"/>
        <v>61.52</v>
      </c>
      <c r="U95" s="31">
        <f t="shared" si="8"/>
        <v>0.71470062036757365</v>
      </c>
      <c r="V95" s="31">
        <v>0.71470062036757365</v>
      </c>
    </row>
    <row r="96" spans="1:22" x14ac:dyDescent="0.15">
      <c r="A96" s="38">
        <v>1743</v>
      </c>
      <c r="B96" s="31">
        <v>5</v>
      </c>
      <c r="E96" s="31">
        <v>8</v>
      </c>
      <c r="P96" s="31">
        <f t="shared" si="9"/>
        <v>6.5</v>
      </c>
      <c r="T96" s="31">
        <f t="shared" ref="T96:T121" si="11">P96*8.04</f>
        <v>52.259999999999991</v>
      </c>
      <c r="U96" s="31">
        <f t="shared" si="8"/>
        <v>0.60712377146309149</v>
      </c>
      <c r="V96" s="31">
        <v>0.60712377146309149</v>
      </c>
    </row>
    <row r="97" spans="1:22" x14ac:dyDescent="0.15">
      <c r="A97" s="38">
        <v>1744</v>
      </c>
      <c r="B97" s="40"/>
      <c r="D97" s="31">
        <v>4.8</v>
      </c>
      <c r="E97" s="31">
        <v>6.4</v>
      </c>
      <c r="J97" s="31">
        <v>4.8</v>
      </c>
      <c r="P97" s="31">
        <f t="shared" si="9"/>
        <v>5.333333333333333</v>
      </c>
      <c r="T97" s="31">
        <f t="shared" si="11"/>
        <v>42.879999999999995</v>
      </c>
      <c r="U97" s="31">
        <f t="shared" si="8"/>
        <v>0.49815283812356226</v>
      </c>
      <c r="V97" s="31">
        <v>0.49815283812356226</v>
      </c>
    </row>
    <row r="98" spans="1:22" x14ac:dyDescent="0.15">
      <c r="A98" s="38">
        <v>1745</v>
      </c>
      <c r="B98" s="31">
        <v>4</v>
      </c>
      <c r="D98" s="31">
        <v>4.8</v>
      </c>
      <c r="E98" s="31">
        <v>5.6000000000000005</v>
      </c>
      <c r="J98" s="31">
        <v>4.8</v>
      </c>
      <c r="P98" s="31">
        <f t="shared" si="9"/>
        <v>4.8000000000000007</v>
      </c>
      <c r="T98" s="31">
        <f t="shared" si="11"/>
        <v>38.591999999999999</v>
      </c>
      <c r="U98" s="31">
        <f t="shared" si="8"/>
        <v>0.44833755431120609</v>
      </c>
      <c r="V98" s="31">
        <v>0.44833755431120609</v>
      </c>
    </row>
    <row r="99" spans="1:22" x14ac:dyDescent="0.15">
      <c r="A99" s="38">
        <v>1746</v>
      </c>
      <c r="B99" s="31">
        <v>6</v>
      </c>
      <c r="E99" s="31">
        <v>6.4</v>
      </c>
      <c r="P99" s="31">
        <f t="shared" si="9"/>
        <v>6.2</v>
      </c>
      <c r="T99" s="31">
        <f t="shared" si="11"/>
        <v>49.847999999999999</v>
      </c>
      <c r="U99" s="31">
        <f t="shared" si="8"/>
        <v>0.57910267431864115</v>
      </c>
      <c r="V99" s="31">
        <v>0.57910267431864115</v>
      </c>
    </row>
    <row r="100" spans="1:22" x14ac:dyDescent="0.15">
      <c r="A100" s="38">
        <v>1747</v>
      </c>
      <c r="B100" s="31">
        <v>6.25</v>
      </c>
      <c r="D100" s="31">
        <v>4.8</v>
      </c>
      <c r="E100" s="31">
        <v>6.4</v>
      </c>
      <c r="J100" s="31">
        <v>4.8</v>
      </c>
      <c r="P100" s="31">
        <f t="shared" si="9"/>
        <v>5.5625000000000009</v>
      </c>
      <c r="T100" s="31">
        <f t="shared" si="11"/>
        <v>44.722500000000004</v>
      </c>
      <c r="U100" s="31">
        <f t="shared" si="8"/>
        <v>0.51955784288668416</v>
      </c>
      <c r="V100" s="31">
        <v>0.51955784288668416</v>
      </c>
    </row>
    <row r="101" spans="1:22" x14ac:dyDescent="0.15">
      <c r="A101" s="38">
        <v>1748</v>
      </c>
      <c r="B101" s="31">
        <v>4.25</v>
      </c>
      <c r="D101" s="31">
        <v>4.8</v>
      </c>
      <c r="E101" s="31">
        <v>6.4</v>
      </c>
      <c r="J101" s="31">
        <v>3.9</v>
      </c>
      <c r="P101" s="31">
        <f t="shared" si="9"/>
        <v>4.8375000000000004</v>
      </c>
      <c r="T101" s="31">
        <f t="shared" si="11"/>
        <v>38.893499999999996</v>
      </c>
      <c r="U101" s="31">
        <f t="shared" si="8"/>
        <v>0.45184019145426235</v>
      </c>
      <c r="V101" s="31">
        <v>0.45184019145426235</v>
      </c>
    </row>
    <row r="102" spans="1:22" x14ac:dyDescent="0.15">
      <c r="A102" s="38">
        <v>1749</v>
      </c>
      <c r="B102" s="31">
        <v>10</v>
      </c>
      <c r="C102" s="31">
        <v>6.797214256452274</v>
      </c>
      <c r="E102" s="31">
        <v>6.4</v>
      </c>
      <c r="P102" s="31">
        <f>AVERAGE(B102:L102)</f>
        <v>7.7324047521507593</v>
      </c>
      <c r="T102" s="31">
        <f t="shared" si="11"/>
        <v>62.168534207292097</v>
      </c>
      <c r="U102" s="31">
        <f t="shared" si="8"/>
        <v>0.72223488240075395</v>
      </c>
      <c r="V102" s="31">
        <v>0.72223488240075395</v>
      </c>
    </row>
    <row r="103" spans="1:22" x14ac:dyDescent="0.15">
      <c r="A103" s="38">
        <v>1750</v>
      </c>
      <c r="B103" s="31">
        <v>6.75</v>
      </c>
      <c r="C103" s="31">
        <v>7.7130177514792901</v>
      </c>
      <c r="D103" s="31">
        <v>4</v>
      </c>
      <c r="E103" s="31">
        <v>6.4</v>
      </c>
      <c r="J103" s="31">
        <v>4</v>
      </c>
      <c r="P103" s="31">
        <f>AVERAGE(B103:L103)</f>
        <v>5.7726035502958579</v>
      </c>
      <c r="T103" s="31">
        <f t="shared" si="11"/>
        <v>46.411732544378694</v>
      </c>
      <c r="U103" s="31">
        <f t="shared" si="8"/>
        <v>0.53918228286413128</v>
      </c>
      <c r="V103" s="31">
        <v>0.53918228286413128</v>
      </c>
    </row>
    <row r="104" spans="1:22" x14ac:dyDescent="0.15">
      <c r="A104" s="38">
        <v>1751</v>
      </c>
      <c r="B104" s="40"/>
      <c r="C104" s="31">
        <v>7.2610861983059296</v>
      </c>
      <c r="E104" s="31">
        <v>6.4</v>
      </c>
      <c r="P104" s="31">
        <f t="shared" si="9"/>
        <v>6.8305430991529654</v>
      </c>
      <c r="T104" s="31">
        <f t="shared" si="11"/>
        <v>54.917566517189833</v>
      </c>
      <c r="U104" s="31">
        <f t="shared" si="8"/>
        <v>0.637997705769068</v>
      </c>
      <c r="V104" s="31">
        <v>0.637997705769068</v>
      </c>
    </row>
    <row r="105" spans="1:22" x14ac:dyDescent="0.15">
      <c r="A105" s="38">
        <v>1752</v>
      </c>
      <c r="B105" s="31">
        <v>5</v>
      </c>
      <c r="C105" s="31">
        <v>7.3728104575163398</v>
      </c>
      <c r="D105" s="31">
        <v>4.8</v>
      </c>
      <c r="E105" s="31">
        <v>6.4</v>
      </c>
      <c r="J105" s="31">
        <v>4.4799999999999995</v>
      </c>
      <c r="P105" s="31">
        <f t="shared" si="9"/>
        <v>5.6105620915032679</v>
      </c>
      <c r="T105" s="31">
        <f t="shared" si="11"/>
        <v>45.108919215686271</v>
      </c>
      <c r="U105" s="31">
        <f t="shared" si="8"/>
        <v>0.52404701800327924</v>
      </c>
      <c r="V105" s="31">
        <v>0.52404701800327924</v>
      </c>
    </row>
    <row r="106" spans="1:22" x14ac:dyDescent="0.15">
      <c r="A106" s="38">
        <f>A105+1</f>
        <v>1753</v>
      </c>
      <c r="C106" s="31">
        <v>7.4221771178292917</v>
      </c>
      <c r="D106" s="31">
        <v>4.008</v>
      </c>
      <c r="E106" s="31">
        <v>6.3999999999999995</v>
      </c>
      <c r="J106" s="31">
        <v>4.008</v>
      </c>
      <c r="P106" s="31">
        <f t="shared" si="9"/>
        <v>5.4595442794573223</v>
      </c>
      <c r="T106" s="31">
        <f t="shared" si="11"/>
        <v>43.894736006836865</v>
      </c>
      <c r="U106" s="31">
        <f t="shared" si="8"/>
        <v>0.50994140206367322</v>
      </c>
      <c r="V106" s="31">
        <v>0.50994140206367322</v>
      </c>
    </row>
    <row r="107" spans="1:22" x14ac:dyDescent="0.15">
      <c r="A107" s="38">
        <f t="shared" ref="A107:A146" si="12">A106+1</f>
        <v>1754</v>
      </c>
      <c r="C107" s="31">
        <v>6.9164175860007608</v>
      </c>
      <c r="E107" s="31">
        <v>6.4</v>
      </c>
      <c r="P107" s="31">
        <f t="shared" si="9"/>
        <v>6.6582087930003802</v>
      </c>
      <c r="T107" s="31">
        <f t="shared" si="11"/>
        <v>53.531998695723054</v>
      </c>
      <c r="U107" s="31">
        <f t="shared" si="8"/>
        <v>0.62190105132232454</v>
      </c>
      <c r="V107" s="31">
        <v>0.62190105132232454</v>
      </c>
    </row>
    <row r="108" spans="1:22" x14ac:dyDescent="0.15">
      <c r="A108" s="38">
        <f t="shared" si="12"/>
        <v>1755</v>
      </c>
      <c r="C108" s="31">
        <v>6.7571760176640439</v>
      </c>
      <c r="E108" s="31">
        <v>6.3999999999999995</v>
      </c>
      <c r="P108" s="31">
        <f t="shared" si="9"/>
        <v>6.5785880088320212</v>
      </c>
      <c r="T108" s="31">
        <f t="shared" si="11"/>
        <v>52.891847591009444</v>
      </c>
      <c r="U108" s="31">
        <f t="shared" si="8"/>
        <v>0.61446417889599481</v>
      </c>
      <c r="V108" s="31">
        <v>0.61446417889599481</v>
      </c>
    </row>
    <row r="109" spans="1:22" x14ac:dyDescent="0.15">
      <c r="A109" s="38">
        <f t="shared" si="12"/>
        <v>1756</v>
      </c>
      <c r="C109" s="31">
        <v>6.7002386299831551</v>
      </c>
      <c r="E109" s="31">
        <v>6.4</v>
      </c>
      <c r="P109" s="31">
        <f t="shared" si="9"/>
        <v>6.5501193149915782</v>
      </c>
      <c r="T109" s="31">
        <f t="shared" si="11"/>
        <v>52.662959292532285</v>
      </c>
      <c r="U109" s="31">
        <f t="shared" si="8"/>
        <v>0.6118050987770659</v>
      </c>
      <c r="V109" s="31">
        <v>0.6118050987770659</v>
      </c>
    </row>
    <row r="110" spans="1:22" x14ac:dyDescent="0.15">
      <c r="A110" s="38">
        <f t="shared" si="12"/>
        <v>1757</v>
      </c>
      <c r="C110" s="31">
        <v>6.5703314987840775</v>
      </c>
      <c r="E110" s="31">
        <v>6.4</v>
      </c>
      <c r="P110" s="31">
        <f t="shared" si="9"/>
        <v>6.4851657493920385</v>
      </c>
      <c r="T110" s="31">
        <f t="shared" si="11"/>
        <v>52.140732625111987</v>
      </c>
      <c r="U110" s="31">
        <f t="shared" si="8"/>
        <v>0.60573819820525554</v>
      </c>
      <c r="V110" s="31">
        <v>0.60573819820525554</v>
      </c>
    </row>
    <row r="111" spans="1:22" x14ac:dyDescent="0.15">
      <c r="A111" s="38">
        <f t="shared" si="12"/>
        <v>1758</v>
      </c>
      <c r="C111" s="31">
        <v>6.5249194148276715</v>
      </c>
      <c r="E111" s="40"/>
      <c r="P111" s="31">
        <f t="shared" si="9"/>
        <v>6.5249194148276715</v>
      </c>
      <c r="T111" s="31">
        <f t="shared" si="11"/>
        <v>52.460352095214475</v>
      </c>
      <c r="U111" s="31">
        <f t="shared" si="8"/>
        <v>0.6094513359419883</v>
      </c>
      <c r="V111" s="31">
        <v>0.6094513359419883</v>
      </c>
    </row>
    <row r="112" spans="1:22" x14ac:dyDescent="0.15">
      <c r="A112" s="38">
        <f t="shared" si="12"/>
        <v>1759</v>
      </c>
      <c r="C112" s="31">
        <v>6.4025780189959294</v>
      </c>
      <c r="D112" s="31">
        <v>4.8</v>
      </c>
      <c r="E112" s="31">
        <v>6.4</v>
      </c>
      <c r="J112" s="31">
        <v>4.8</v>
      </c>
      <c r="P112" s="31">
        <f t="shared" si="9"/>
        <v>5.6006445047489821</v>
      </c>
      <c r="T112" s="31">
        <f t="shared" si="11"/>
        <v>45.029181818181812</v>
      </c>
      <c r="U112" s="31">
        <f t="shared" si="8"/>
        <v>0.52312067913034466</v>
      </c>
      <c r="V112" s="31">
        <v>0.52312067913034466</v>
      </c>
    </row>
    <row r="113" spans="1:22" x14ac:dyDescent="0.15">
      <c r="A113" s="38">
        <f t="shared" si="12"/>
        <v>1760</v>
      </c>
      <c r="C113" s="31">
        <v>6.6030223772159253</v>
      </c>
      <c r="E113" s="31">
        <v>6.3999999999999995</v>
      </c>
      <c r="P113" s="31">
        <f t="shared" ref="P113:P149" si="13">AVERAGE(B113:L113)</f>
        <v>6.501511188607962</v>
      </c>
      <c r="T113" s="31">
        <f t="shared" si="11"/>
        <v>52.272149956408008</v>
      </c>
      <c r="U113" s="31">
        <f t="shared" si="8"/>
        <v>0.6072649220057158</v>
      </c>
      <c r="V113" s="31">
        <v>0.6072649220057158</v>
      </c>
    </row>
    <row r="114" spans="1:22" x14ac:dyDescent="0.15">
      <c r="A114" s="38">
        <f t="shared" si="12"/>
        <v>1761</v>
      </c>
      <c r="C114" s="31">
        <v>6.5049436424757765</v>
      </c>
      <c r="E114" s="31">
        <v>6.3999999999999995</v>
      </c>
      <c r="P114" s="31">
        <f t="shared" si="13"/>
        <v>6.4524718212378875</v>
      </c>
      <c r="T114" s="31">
        <f t="shared" si="11"/>
        <v>51.877873442752609</v>
      </c>
      <c r="U114" s="31">
        <f t="shared" si="8"/>
        <v>0.60268446574911827</v>
      </c>
      <c r="V114" s="31">
        <v>0.60268446574911827</v>
      </c>
    </row>
    <row r="115" spans="1:22" x14ac:dyDescent="0.15">
      <c r="A115" s="38">
        <f t="shared" si="12"/>
        <v>1762</v>
      </c>
      <c r="C115" s="31">
        <v>1.878663992594878</v>
      </c>
      <c r="D115" s="31">
        <v>4.8</v>
      </c>
      <c r="E115" s="31">
        <v>6.3999999999999995</v>
      </c>
      <c r="J115" s="31">
        <v>4.8</v>
      </c>
      <c r="P115" s="31">
        <f t="shared" si="13"/>
        <v>4.4696659981487192</v>
      </c>
      <c r="T115" s="31">
        <f t="shared" si="11"/>
        <v>35.9361146251157</v>
      </c>
      <c r="U115" s="31">
        <f t="shared" si="8"/>
        <v>0.41748315045790674</v>
      </c>
      <c r="V115" s="31">
        <v>0.41748315045790674</v>
      </c>
    </row>
    <row r="116" spans="1:22" x14ac:dyDescent="0.15">
      <c r="A116" s="38">
        <f t="shared" si="12"/>
        <v>1763</v>
      </c>
      <c r="C116" s="31">
        <v>6.5559778852798898</v>
      </c>
      <c r="E116" s="31">
        <v>6.3999999999999995</v>
      </c>
      <c r="P116" s="31">
        <f t="shared" si="13"/>
        <v>6.4779889426399446</v>
      </c>
      <c r="T116" s="31">
        <f t="shared" si="11"/>
        <v>52.083031098825153</v>
      </c>
      <c r="U116" s="31">
        <f t="shared" si="8"/>
        <v>0.60506785820796427</v>
      </c>
      <c r="V116" s="31">
        <v>0.60506785820796427</v>
      </c>
    </row>
    <row r="117" spans="1:22" x14ac:dyDescent="0.15">
      <c r="A117" s="38">
        <f t="shared" si="12"/>
        <v>1764</v>
      </c>
      <c r="C117" s="31">
        <v>6.9676767676767675</v>
      </c>
      <c r="E117" s="31">
        <v>6.3999999999999995</v>
      </c>
      <c r="P117" s="31">
        <f t="shared" si="13"/>
        <v>6.683838383838383</v>
      </c>
      <c r="T117" s="31">
        <f t="shared" si="11"/>
        <v>53.738060606060593</v>
      </c>
      <c r="U117" s="31">
        <f t="shared" si="8"/>
        <v>0.62429494883780512</v>
      </c>
      <c r="V117" s="31">
        <v>0.62429494883780512</v>
      </c>
    </row>
    <row r="118" spans="1:22" x14ac:dyDescent="0.15">
      <c r="A118" s="38">
        <f t="shared" si="12"/>
        <v>1765</v>
      </c>
      <c r="C118" s="31">
        <v>7.5542168674698793</v>
      </c>
      <c r="E118" s="31">
        <v>6.3999999999999995</v>
      </c>
      <c r="P118" s="31">
        <f t="shared" si="13"/>
        <v>6.9771084337349389</v>
      </c>
      <c r="T118" s="31">
        <f t="shared" si="11"/>
        <v>56.0959518072289</v>
      </c>
      <c r="U118" s="31">
        <f t="shared" si="8"/>
        <v>0.65168744403016909</v>
      </c>
      <c r="V118" s="31">
        <v>0.65168744403016909</v>
      </c>
    </row>
    <row r="119" spans="1:22" x14ac:dyDescent="0.15">
      <c r="A119" s="38">
        <f t="shared" si="12"/>
        <v>1766</v>
      </c>
      <c r="C119" s="31">
        <v>6.6552699693011501</v>
      </c>
      <c r="D119" s="31">
        <v>3.6</v>
      </c>
      <c r="E119" s="31">
        <v>6.3999999999999995</v>
      </c>
      <c r="J119" s="31">
        <v>3.5999999999999996</v>
      </c>
      <c r="P119" s="31">
        <f t="shared" si="13"/>
        <v>5.0638174923252866</v>
      </c>
      <c r="T119" s="31">
        <f t="shared" si="11"/>
        <v>40.713092638295301</v>
      </c>
      <c r="U119" s="31">
        <f t="shared" si="8"/>
        <v>0.47297907291404656</v>
      </c>
      <c r="V119" s="31">
        <v>0.47297907291404656</v>
      </c>
    </row>
    <row r="120" spans="1:22" x14ac:dyDescent="0.15">
      <c r="A120" s="38">
        <f t="shared" si="12"/>
        <v>1767</v>
      </c>
      <c r="C120" s="31">
        <v>6.6663596013734194</v>
      </c>
      <c r="E120" s="31">
        <v>6.3999999999999995</v>
      </c>
      <c r="P120" s="31">
        <f t="shared" si="13"/>
        <v>6.5331798006867094</v>
      </c>
      <c r="T120" s="31">
        <f t="shared" si="11"/>
        <v>52.526765597521141</v>
      </c>
      <c r="U120" s="31">
        <f t="shared" si="8"/>
        <v>0.61022288619067755</v>
      </c>
      <c r="V120" s="31">
        <v>0.61022288619067755</v>
      </c>
    </row>
    <row r="121" spans="1:22" x14ac:dyDescent="0.15">
      <c r="A121" s="38">
        <f t="shared" si="12"/>
        <v>1768</v>
      </c>
      <c r="C121" s="31">
        <v>6.6049086547333458</v>
      </c>
      <c r="E121" s="31">
        <v>6.3999999999999995</v>
      </c>
      <c r="P121" s="31">
        <f t="shared" si="13"/>
        <v>6.5024543273666726</v>
      </c>
      <c r="T121" s="31">
        <f t="shared" si="11"/>
        <v>52.279732792028042</v>
      </c>
      <c r="U121" s="31">
        <f t="shared" si="8"/>
        <v>0.60735301461497759</v>
      </c>
      <c r="V121" s="31">
        <v>0.60735301461497759</v>
      </c>
    </row>
    <row r="122" spans="1:22" x14ac:dyDescent="0.15">
      <c r="A122" s="38">
        <f t="shared" si="12"/>
        <v>1769</v>
      </c>
      <c r="C122" s="31">
        <v>6.6214262508122159</v>
      </c>
      <c r="E122" s="31">
        <v>6.4</v>
      </c>
      <c r="P122" s="31">
        <f t="shared" si="13"/>
        <v>6.5107131254061077</v>
      </c>
      <c r="T122" s="31">
        <f t="shared" ref="T122:T147" si="14">P122*9.61</f>
        <v>62.567953135152692</v>
      </c>
      <c r="U122" s="31">
        <f t="shared" si="8"/>
        <v>0.72687507998736833</v>
      </c>
      <c r="V122" s="31">
        <v>0.72687507998736833</v>
      </c>
    </row>
    <row r="123" spans="1:22" x14ac:dyDescent="0.15">
      <c r="A123" s="38">
        <f t="shared" si="12"/>
        <v>1770</v>
      </c>
      <c r="C123" s="31">
        <v>6.0018960674157302</v>
      </c>
      <c r="E123" s="31">
        <v>5.8666666666666663</v>
      </c>
      <c r="P123" s="31">
        <f t="shared" si="13"/>
        <v>5.9342813670411978</v>
      </c>
      <c r="T123" s="31">
        <f t="shared" si="14"/>
        <v>57.028443937265905</v>
      </c>
      <c r="U123" s="31">
        <f t="shared" si="8"/>
        <v>0.6625205503992414</v>
      </c>
      <c r="V123" s="31">
        <v>0.6625205503992414</v>
      </c>
    </row>
    <row r="124" spans="1:22" x14ac:dyDescent="0.15">
      <c r="A124" s="38">
        <f t="shared" si="12"/>
        <v>1771</v>
      </c>
      <c r="C124" s="31">
        <v>5.9519254154843937</v>
      </c>
      <c r="D124" s="31">
        <v>2.1</v>
      </c>
      <c r="E124" s="31">
        <v>5.8666666666666663</v>
      </c>
      <c r="J124" s="31">
        <v>2.1</v>
      </c>
      <c r="P124" s="31">
        <f t="shared" si="13"/>
        <v>4.0046480205377657</v>
      </c>
      <c r="T124" s="31">
        <f t="shared" si="14"/>
        <v>38.484667477367928</v>
      </c>
      <c r="U124" s="31">
        <f t="shared" si="8"/>
        <v>0.44709063265140836</v>
      </c>
      <c r="V124" s="31">
        <v>0.44709063265140836</v>
      </c>
    </row>
    <row r="125" spans="1:22" x14ac:dyDescent="0.15">
      <c r="A125" s="38">
        <f t="shared" si="12"/>
        <v>1772</v>
      </c>
      <c r="C125" s="31">
        <v>5.888816874852699</v>
      </c>
      <c r="E125" s="31">
        <v>5.8668354430379734</v>
      </c>
      <c r="P125" s="31">
        <f t="shared" si="13"/>
        <v>5.8778261589453358</v>
      </c>
      <c r="T125" s="31">
        <f t="shared" si="14"/>
        <v>56.485909387464673</v>
      </c>
      <c r="U125" s="31">
        <f t="shared" si="8"/>
        <v>0.6562177256379641</v>
      </c>
      <c r="V125" s="31">
        <v>0.6562177256379641</v>
      </c>
    </row>
    <row r="126" spans="1:22" x14ac:dyDescent="0.15">
      <c r="A126" s="38">
        <f t="shared" si="12"/>
        <v>1773</v>
      </c>
      <c r="C126" s="31">
        <v>5.0205901082572701</v>
      </c>
      <c r="E126" s="31">
        <v>5.8668711656441719</v>
      </c>
      <c r="P126" s="31">
        <f t="shared" si="13"/>
        <v>5.443730636950721</v>
      </c>
      <c r="T126" s="31">
        <f t="shared" si="14"/>
        <v>52.314251421096429</v>
      </c>
      <c r="U126" s="31">
        <f t="shared" si="8"/>
        <v>0.6077540303108393</v>
      </c>
      <c r="V126" s="31">
        <v>0.6077540303108393</v>
      </c>
    </row>
    <row r="127" spans="1:22" x14ac:dyDescent="0.15">
      <c r="A127" s="38">
        <f t="shared" si="12"/>
        <v>1774</v>
      </c>
      <c r="C127" s="31">
        <v>5.1829818137803736</v>
      </c>
      <c r="E127" s="31">
        <v>5.8670588235294119</v>
      </c>
      <c r="J127" s="31">
        <v>8</v>
      </c>
      <c r="P127" s="31">
        <f t="shared" si="13"/>
        <v>6.3500135457699285</v>
      </c>
      <c r="T127" s="31">
        <f t="shared" si="14"/>
        <v>61.023630174849011</v>
      </c>
      <c r="U127" s="31">
        <f t="shared" si="8"/>
        <v>0.70893410830698911</v>
      </c>
      <c r="V127" s="31">
        <v>0.70893410830698911</v>
      </c>
    </row>
    <row r="128" spans="1:22" x14ac:dyDescent="0.15">
      <c r="A128" s="38">
        <f t="shared" si="12"/>
        <v>1775</v>
      </c>
      <c r="C128" s="31">
        <v>5.007498928724468</v>
      </c>
      <c r="D128" s="31">
        <v>4.8</v>
      </c>
      <c r="E128" s="31">
        <v>5.8669683257918557</v>
      </c>
      <c r="P128" s="31">
        <f t="shared" si="13"/>
        <v>5.2248224181721072</v>
      </c>
      <c r="T128" s="31">
        <f t="shared" si="14"/>
        <v>50.210543438633948</v>
      </c>
      <c r="U128" s="31">
        <f t="shared" si="8"/>
        <v>0.58331447569220873</v>
      </c>
      <c r="V128" s="31">
        <v>0.58331447569220873</v>
      </c>
    </row>
    <row r="129" spans="1:22" x14ac:dyDescent="0.15">
      <c r="A129" s="38">
        <f t="shared" si="12"/>
        <v>1776</v>
      </c>
      <c r="C129" s="31">
        <v>4.6529547926485764</v>
      </c>
      <c r="E129" s="31">
        <v>5.8667439165701039</v>
      </c>
      <c r="J129" s="31">
        <v>6</v>
      </c>
      <c r="P129" s="31">
        <f t="shared" si="13"/>
        <v>5.5065662364062264</v>
      </c>
      <c r="T129" s="31">
        <f t="shared" si="14"/>
        <v>52.918101531863833</v>
      </c>
      <c r="U129" s="31">
        <f t="shared" si="8"/>
        <v>0.61476918064852615</v>
      </c>
      <c r="V129" s="31">
        <v>0.61476918064852615</v>
      </c>
    </row>
    <row r="130" spans="1:22" x14ac:dyDescent="0.15">
      <c r="A130" s="38">
        <f t="shared" si="12"/>
        <v>1777</v>
      </c>
      <c r="C130" s="31">
        <v>5.4661692100538604</v>
      </c>
      <c r="E130" s="31">
        <v>5.8666666666666663</v>
      </c>
      <c r="P130" s="31">
        <f t="shared" si="13"/>
        <v>5.6664179383602633</v>
      </c>
      <c r="T130" s="31">
        <f t="shared" si="14"/>
        <v>54.454276387642125</v>
      </c>
      <c r="U130" s="31">
        <f t="shared" si="8"/>
        <v>0.63261549278145546</v>
      </c>
      <c r="V130" s="31">
        <v>0.63261549278145546</v>
      </c>
    </row>
    <row r="131" spans="1:22" x14ac:dyDescent="0.15">
      <c r="A131" s="38">
        <f t="shared" si="12"/>
        <v>1778</v>
      </c>
      <c r="C131" s="31">
        <v>6.020867020867021</v>
      </c>
      <c r="E131" s="31">
        <v>5.8669421487603302</v>
      </c>
      <c r="P131" s="31">
        <f t="shared" si="13"/>
        <v>5.9439045848136756</v>
      </c>
      <c r="T131" s="31">
        <f t="shared" si="14"/>
        <v>57.120923060059418</v>
      </c>
      <c r="U131" s="31">
        <f t="shared" si="8"/>
        <v>0.66359491461301856</v>
      </c>
      <c r="V131" s="31">
        <v>0.66359491461301856</v>
      </c>
    </row>
    <row r="132" spans="1:22" x14ac:dyDescent="0.15">
      <c r="A132" s="38">
        <f t="shared" si="12"/>
        <v>1779</v>
      </c>
      <c r="C132" s="31">
        <v>4.984348693645944</v>
      </c>
      <c r="E132" s="31">
        <v>5.8666666666666663</v>
      </c>
      <c r="P132" s="31">
        <f t="shared" si="13"/>
        <v>5.4255076801563051</v>
      </c>
      <c r="T132" s="31">
        <f t="shared" si="14"/>
        <v>52.139128806302089</v>
      </c>
      <c r="U132" s="31">
        <f t="shared" si="8"/>
        <v>0.60571956604825961</v>
      </c>
      <c r="V132" s="31">
        <v>0.60571956604825961</v>
      </c>
    </row>
    <row r="133" spans="1:22" x14ac:dyDescent="0.15">
      <c r="A133" s="38">
        <f t="shared" si="12"/>
        <v>1780</v>
      </c>
      <c r="C133" s="31">
        <v>5.0780820703713552</v>
      </c>
      <c r="E133" s="31">
        <v>5.8666666666666663</v>
      </c>
      <c r="P133" s="31">
        <f t="shared" si="13"/>
        <v>5.4723743685190112</v>
      </c>
      <c r="T133" s="31">
        <f t="shared" si="14"/>
        <v>52.589517681467697</v>
      </c>
      <c r="U133" s="31">
        <f t="shared" si="8"/>
        <v>0.61095190038648317</v>
      </c>
      <c r="V133" s="31">
        <v>0.61095190038648317</v>
      </c>
    </row>
    <row r="134" spans="1:22" x14ac:dyDescent="0.15">
      <c r="A134" s="38">
        <f t="shared" si="12"/>
        <v>1781</v>
      </c>
      <c r="C134" s="31">
        <v>4.9211144822870816</v>
      </c>
      <c r="E134" s="31">
        <v>5.8662721893491128</v>
      </c>
      <c r="P134" s="31">
        <f t="shared" si="13"/>
        <v>5.3936933358180976</v>
      </c>
      <c r="T134" s="31">
        <f t="shared" si="14"/>
        <v>51.833392957211913</v>
      </c>
      <c r="U134" s="31">
        <f t="shared" si="8"/>
        <v>0.60216771947782144</v>
      </c>
      <c r="V134" s="31">
        <v>0.60216771947782144</v>
      </c>
    </row>
    <row r="135" spans="1:22" x14ac:dyDescent="0.15">
      <c r="A135" s="38">
        <f t="shared" si="12"/>
        <v>1782</v>
      </c>
      <c r="C135" s="31">
        <v>6.2160705536501712</v>
      </c>
      <c r="E135" s="40"/>
      <c r="J135" s="31">
        <v>6.3</v>
      </c>
      <c r="P135" s="31">
        <f t="shared" si="13"/>
        <v>6.2580352768250851</v>
      </c>
      <c r="T135" s="31">
        <f t="shared" si="14"/>
        <v>60.139719010289063</v>
      </c>
      <c r="U135" s="31">
        <f t="shared" si="8"/>
        <v>0.69866538500300956</v>
      </c>
      <c r="V135" s="31">
        <v>0.69866538500300956</v>
      </c>
    </row>
    <row r="136" spans="1:22" x14ac:dyDescent="0.15">
      <c r="A136" s="38">
        <f t="shared" si="12"/>
        <v>1783</v>
      </c>
      <c r="C136" s="31">
        <v>6.0308082638637188</v>
      </c>
      <c r="E136" s="31">
        <v>5.8666666666666671</v>
      </c>
      <c r="P136" s="31">
        <f t="shared" si="13"/>
        <v>5.948737465265193</v>
      </c>
      <c r="T136" s="31">
        <f t="shared" si="14"/>
        <v>57.167367041198503</v>
      </c>
      <c r="U136" s="31">
        <f t="shared" si="8"/>
        <v>0.66413447153974881</v>
      </c>
      <c r="V136" s="31">
        <v>0.66413447153974881</v>
      </c>
    </row>
    <row r="137" spans="1:22" x14ac:dyDescent="0.15">
      <c r="A137" s="38">
        <f t="shared" si="12"/>
        <v>1784</v>
      </c>
      <c r="E137" s="31">
        <v>5.8666666666666671</v>
      </c>
      <c r="F137" s="31">
        <v>5.6472099527437551</v>
      </c>
      <c r="G137" s="31">
        <v>5.8669230769230776</v>
      </c>
      <c r="H137" s="31">
        <v>5.8666666666666663</v>
      </c>
      <c r="P137" s="31">
        <f t="shared" si="13"/>
        <v>5.8118665907500411</v>
      </c>
      <c r="T137" s="31">
        <f t="shared" si="14"/>
        <v>55.852037937107895</v>
      </c>
      <c r="U137" s="31">
        <f t="shared" si="8"/>
        <v>0.64885380628160383</v>
      </c>
      <c r="V137" s="31">
        <v>0.64885380628160383</v>
      </c>
    </row>
    <row r="138" spans="1:22" x14ac:dyDescent="0.15">
      <c r="A138" s="38">
        <f t="shared" si="12"/>
        <v>1785</v>
      </c>
      <c r="C138" s="31">
        <v>5.9</v>
      </c>
      <c r="E138" s="31">
        <v>5.8666666666666671</v>
      </c>
      <c r="F138" s="31">
        <v>6.84</v>
      </c>
      <c r="G138" s="31">
        <v>5.8666873834679922</v>
      </c>
      <c r="P138" s="31">
        <f t="shared" si="13"/>
        <v>6.1183385125336649</v>
      </c>
      <c r="T138" s="31">
        <f t="shared" si="14"/>
        <v>58.79723310544852</v>
      </c>
      <c r="U138" s="31">
        <f t="shared" si="8"/>
        <v>0.68306922913460488</v>
      </c>
      <c r="V138" s="31">
        <v>0.68306922913460488</v>
      </c>
    </row>
    <row r="139" spans="1:22" x14ac:dyDescent="0.15">
      <c r="A139" s="38">
        <f t="shared" si="12"/>
        <v>1786</v>
      </c>
      <c r="E139" s="31">
        <v>8.8000000000000007</v>
      </c>
      <c r="F139" s="31">
        <v>9.6</v>
      </c>
      <c r="P139" s="31">
        <f t="shared" si="13"/>
        <v>9.1999999999999993</v>
      </c>
      <c r="T139" s="31">
        <f t="shared" si="14"/>
        <v>88.411999999999992</v>
      </c>
      <c r="U139" s="31">
        <f t="shared" si="8"/>
        <v>1.0271149422616694</v>
      </c>
      <c r="V139" s="31">
        <v>1.0271149422616694</v>
      </c>
    </row>
    <row r="140" spans="1:22" x14ac:dyDescent="0.15">
      <c r="A140" s="38">
        <f t="shared" si="12"/>
        <v>1787</v>
      </c>
      <c r="C140" s="31">
        <v>6.3581533879374534</v>
      </c>
      <c r="E140" s="31">
        <v>23.150000000000002</v>
      </c>
      <c r="P140" s="31">
        <f t="shared" si="13"/>
        <v>14.754076693968727</v>
      </c>
      <c r="T140" s="31">
        <f t="shared" si="14"/>
        <v>141.78667702903945</v>
      </c>
      <c r="U140" s="31">
        <f t="shared" si="8"/>
        <v>1.6471883295271665</v>
      </c>
      <c r="V140" s="31">
        <v>1.6471883295271665</v>
      </c>
    </row>
    <row r="141" spans="1:22" x14ac:dyDescent="0.15">
      <c r="A141" s="38">
        <f t="shared" si="12"/>
        <v>1788</v>
      </c>
      <c r="C141" s="31">
        <v>5.8813122923588042</v>
      </c>
      <c r="E141" s="31">
        <v>5.8705882352941172</v>
      </c>
      <c r="J141" s="31">
        <v>7.1999999999999993</v>
      </c>
      <c r="P141" s="31">
        <f t="shared" si="13"/>
        <v>6.3173001758843066</v>
      </c>
      <c r="T141" s="31">
        <f t="shared" si="14"/>
        <v>60.70925469024818</v>
      </c>
      <c r="U141" s="31">
        <f t="shared" ref="U141:U146" si="15">T141/(111.5*0.772)</f>
        <v>0.70528189189163526</v>
      </c>
      <c r="V141" s="31">
        <v>0.70528189189163526</v>
      </c>
    </row>
    <row r="142" spans="1:22" x14ac:dyDescent="0.15">
      <c r="A142" s="38">
        <f t="shared" si="12"/>
        <v>1789</v>
      </c>
      <c r="C142" s="31">
        <v>19.77027027027027</v>
      </c>
      <c r="E142" s="31">
        <v>5.86</v>
      </c>
      <c r="P142" s="31">
        <f t="shared" si="13"/>
        <v>12.815135135135135</v>
      </c>
      <c r="T142" s="31">
        <f t="shared" si="14"/>
        <v>123.15344864864863</v>
      </c>
      <c r="U142" s="31">
        <f t="shared" si="15"/>
        <v>1.4307192156956323</v>
      </c>
      <c r="V142" s="31">
        <v>1.4307192156956323</v>
      </c>
    </row>
    <row r="143" spans="1:22" x14ac:dyDescent="0.15">
      <c r="A143" s="38">
        <f t="shared" si="12"/>
        <v>1790</v>
      </c>
      <c r="C143" s="31">
        <v>6.3769007965242581</v>
      </c>
      <c r="E143" s="31">
        <v>5.8714285714285719</v>
      </c>
      <c r="P143" s="31">
        <f t="shared" si="13"/>
        <v>6.1241646839764154</v>
      </c>
      <c r="T143" s="31">
        <f t="shared" si="14"/>
        <v>58.853222613013351</v>
      </c>
      <c r="U143" s="31">
        <f t="shared" si="15"/>
        <v>0.68371967997645566</v>
      </c>
      <c r="V143" s="31">
        <v>0.68371967997645566</v>
      </c>
    </row>
    <row r="144" spans="1:22" x14ac:dyDescent="0.15">
      <c r="A144" s="38">
        <f t="shared" si="12"/>
        <v>1791</v>
      </c>
      <c r="C144" s="31">
        <v>5.9242690793331656</v>
      </c>
      <c r="E144" s="31">
        <v>5.8510312499999992</v>
      </c>
      <c r="P144" s="31">
        <f t="shared" si="13"/>
        <v>5.8876501646665824</v>
      </c>
      <c r="T144" s="31">
        <f t="shared" si="14"/>
        <v>56.580318082445856</v>
      </c>
      <c r="U144" s="31">
        <f t="shared" si="15"/>
        <v>0.6573145064063507</v>
      </c>
      <c r="V144" s="31">
        <v>0.6573145064063507</v>
      </c>
    </row>
    <row r="145" spans="1:22" x14ac:dyDescent="0.15">
      <c r="A145" s="38">
        <f t="shared" si="12"/>
        <v>1792</v>
      </c>
      <c r="C145" s="31">
        <v>5.9758214507129574</v>
      </c>
      <c r="E145" s="31">
        <v>5.861538461538462</v>
      </c>
      <c r="P145" s="31">
        <f t="shared" si="13"/>
        <v>5.9186799561257093</v>
      </c>
      <c r="T145" s="31">
        <f t="shared" si="14"/>
        <v>56.87851437836806</v>
      </c>
      <c r="U145" s="31">
        <f t="shared" si="15"/>
        <v>0.66077876319579987</v>
      </c>
      <c r="V145" s="31">
        <v>0.66077876319579987</v>
      </c>
    </row>
    <row r="146" spans="1:22" x14ac:dyDescent="0.15">
      <c r="A146" s="38">
        <f t="shared" si="12"/>
        <v>1793</v>
      </c>
      <c r="C146" s="31">
        <v>5.8666184523194547</v>
      </c>
      <c r="F146" s="31">
        <v>6.1198173139658669</v>
      </c>
      <c r="G146" s="31">
        <v>7.2</v>
      </c>
      <c r="P146" s="31">
        <f t="shared" si="13"/>
        <v>6.3954785887617733</v>
      </c>
      <c r="T146" s="31">
        <f t="shared" si="14"/>
        <v>61.460549238000638</v>
      </c>
      <c r="U146" s="31">
        <f t="shared" si="15"/>
        <v>0.71400995885128182</v>
      </c>
      <c r="V146" s="31">
        <v>0.71400995885128182</v>
      </c>
    </row>
    <row r="147" spans="1:22" x14ac:dyDescent="0.15">
      <c r="A147" s="38">
        <v>1794</v>
      </c>
      <c r="F147" s="31">
        <v>6.1</v>
      </c>
      <c r="G147" s="31">
        <v>7.2</v>
      </c>
      <c r="H147" s="51">
        <v>6.1199238820171269</v>
      </c>
      <c r="J147" s="31">
        <v>3.5999999999999996</v>
      </c>
      <c r="P147" s="31">
        <f t="shared" si="13"/>
        <v>5.7549809705042811</v>
      </c>
      <c r="T147" s="31">
        <f t="shared" si="14"/>
        <v>55.305367126546138</v>
      </c>
      <c r="U147" s="31">
        <f>T147/(111.5*0.772)</f>
        <v>0.64250292904744688</v>
      </c>
      <c r="V147" s="31">
        <v>0.64250292904744688</v>
      </c>
    </row>
    <row r="148" spans="1:22" x14ac:dyDescent="0.15">
      <c r="A148" s="38">
        <v>1795</v>
      </c>
      <c r="F148" s="31">
        <v>6.8</v>
      </c>
      <c r="G148" s="31">
        <v>7.2</v>
      </c>
      <c r="J148" s="31">
        <v>2.4</v>
      </c>
      <c r="P148" s="31">
        <f t="shared" si="13"/>
        <v>5.4666666666666659</v>
      </c>
      <c r="Q148" s="31">
        <f>P148/2.4</f>
        <v>2.2777777777777777</v>
      </c>
      <c r="R148" s="31">
        <v>0.2</v>
      </c>
      <c r="S148" s="31">
        <f>Q148*R148</f>
        <v>0.45555555555555555</v>
      </c>
      <c r="T148" s="31">
        <f>((S148*111.4)+(P148*9.61))/2</f>
        <v>51.641777777777776</v>
      </c>
      <c r="U148" s="31">
        <f>T148/(111.5*0.772)</f>
        <v>0.59994165498475538</v>
      </c>
      <c r="V148" s="31">
        <v>0.59994165498475538</v>
      </c>
    </row>
    <row r="149" spans="1:22" x14ac:dyDescent="0.15">
      <c r="A149" s="38">
        <f t="shared" ref="A149:A212" si="16">A148+1</f>
        <v>1796</v>
      </c>
      <c r="J149" s="31">
        <v>6.375</v>
      </c>
      <c r="P149" s="31">
        <f t="shared" si="13"/>
        <v>6.375</v>
      </c>
      <c r="R149" s="31">
        <v>0.2</v>
      </c>
      <c r="T149" s="31">
        <f>P149*9.61</f>
        <v>61.263749999999995</v>
      </c>
      <c r="U149" s="31">
        <f>T149/(111.5*0.772)</f>
        <v>0.711723669230233</v>
      </c>
      <c r="V149" s="31">
        <v>0.711723669230233</v>
      </c>
    </row>
    <row r="150" spans="1:22" x14ac:dyDescent="0.15">
      <c r="A150" s="38">
        <f t="shared" si="16"/>
        <v>1797</v>
      </c>
      <c r="J150" s="40">
        <v>3.9393939393939394</v>
      </c>
      <c r="K150" s="31">
        <v>2.5</v>
      </c>
      <c r="Q150" s="31">
        <f>AVERAGE(J150:K150)</f>
        <v>3.2196969696969697</v>
      </c>
      <c r="R150" s="31">
        <v>0.2</v>
      </c>
      <c r="S150" s="31">
        <f>Q150*R150</f>
        <v>0.64393939393939403</v>
      </c>
      <c r="T150" s="31">
        <f>S150*111.4</f>
        <v>71.734848484848499</v>
      </c>
      <c r="U150" s="31">
        <f>T150/(111.5*0.772)</f>
        <v>0.83337029769335369</v>
      </c>
      <c r="V150" s="31">
        <v>0.83337029769335369</v>
      </c>
    </row>
    <row r="151" spans="1:22" x14ac:dyDescent="0.15">
      <c r="A151" s="38">
        <f t="shared" si="16"/>
        <v>1798</v>
      </c>
      <c r="K151" s="31">
        <v>3.25</v>
      </c>
      <c r="Q151" s="31">
        <f>K151</f>
        <v>3.25</v>
      </c>
      <c r="R151" s="31">
        <v>0.2</v>
      </c>
      <c r="S151" s="31">
        <f>Q151*R151</f>
        <v>0.65</v>
      </c>
      <c r="T151" s="31">
        <f>S151*111.4</f>
        <v>72.410000000000011</v>
      </c>
      <c r="U151" s="31">
        <f>T151/(111.5*0.772)</f>
        <v>0.84121378284811454</v>
      </c>
      <c r="V151" s="31">
        <v>0.84121378284811454</v>
      </c>
    </row>
    <row r="152" spans="1:22" x14ac:dyDescent="0.15">
      <c r="A152" s="38">
        <f t="shared" si="16"/>
        <v>1799</v>
      </c>
      <c r="R152" s="31">
        <v>0.2</v>
      </c>
      <c r="V152" s="55">
        <f>V151+($V$154-$V$151)/3</f>
        <v>0.91670732746268901</v>
      </c>
    </row>
    <row r="153" spans="1:22" x14ac:dyDescent="0.15">
      <c r="A153" s="38">
        <f t="shared" si="16"/>
        <v>1800</v>
      </c>
      <c r="R153" s="31">
        <v>0.2</v>
      </c>
      <c r="V153" s="55">
        <f>V152+($V$154-$V$151)/3</f>
        <v>0.99220087207726348</v>
      </c>
    </row>
    <row r="154" spans="1:22" x14ac:dyDescent="0.15">
      <c r="A154" s="38">
        <f t="shared" si="16"/>
        <v>1801</v>
      </c>
      <c r="J154" s="40">
        <v>3</v>
      </c>
      <c r="K154" s="31">
        <v>5.25</v>
      </c>
      <c r="Q154" s="31">
        <f>AVERAGE(J154:K154)</f>
        <v>4.125</v>
      </c>
      <c r="R154" s="31">
        <v>0.2</v>
      </c>
      <c r="S154" s="31">
        <f>Q154*R154</f>
        <v>0.82500000000000007</v>
      </c>
      <c r="T154" s="31">
        <f>S154*111.4</f>
        <v>91.905000000000015</v>
      </c>
      <c r="U154" s="31">
        <f>T154/(111.5*0.772)</f>
        <v>1.0676944166918378</v>
      </c>
      <c r="V154" s="31">
        <v>1.0676944166918378</v>
      </c>
    </row>
    <row r="155" spans="1:22" x14ac:dyDescent="0.15">
      <c r="A155" s="38">
        <f t="shared" si="16"/>
        <v>1802</v>
      </c>
      <c r="K155" s="31">
        <v>4.3</v>
      </c>
      <c r="Q155" s="31">
        <f>K155</f>
        <v>4.3</v>
      </c>
      <c r="R155" s="31">
        <v>0.2</v>
      </c>
      <c r="S155" s="31">
        <f>Q155*R155</f>
        <v>0.86</v>
      </c>
      <c r="T155" s="31">
        <f>S155*111.4</f>
        <v>95.804000000000002</v>
      </c>
      <c r="U155" s="31">
        <f>T155/(111.5*0.772)</f>
        <v>1.1129905434605822</v>
      </c>
      <c r="V155" s="31">
        <v>1.1129905434605822</v>
      </c>
    </row>
    <row r="156" spans="1:22" x14ac:dyDescent="0.15">
      <c r="A156" s="38">
        <f t="shared" si="16"/>
        <v>1803</v>
      </c>
      <c r="R156" s="31">
        <v>0.2</v>
      </c>
      <c r="V156" s="55">
        <f>V155+($V$158-$V$155)/3</f>
        <v>1.0690670265939208</v>
      </c>
    </row>
    <row r="157" spans="1:22" x14ac:dyDescent="0.15">
      <c r="A157" s="38">
        <f t="shared" si="16"/>
        <v>1804</v>
      </c>
      <c r="R157" s="31">
        <v>0.2</v>
      </c>
      <c r="V157" s="55">
        <f>V156+($V$158-$V$155)/3</f>
        <v>1.0251435097272594</v>
      </c>
    </row>
    <row r="158" spans="1:22" x14ac:dyDescent="0.15">
      <c r="A158" s="38">
        <f t="shared" si="16"/>
        <v>1805</v>
      </c>
      <c r="F158" s="31">
        <v>10.917818181818181</v>
      </c>
      <c r="P158" s="31">
        <f>AVERAGE(B158:L158)</f>
        <v>10.917818181818181</v>
      </c>
      <c r="Q158" s="31">
        <f>P158/2.4</f>
        <v>4.5490909090909089</v>
      </c>
      <c r="R158" s="31">
        <v>0.16666666666666666</v>
      </c>
      <c r="S158" s="31">
        <f>Q158*R158</f>
        <v>0.75818181818181807</v>
      </c>
      <c r="T158" s="31">
        <f>S158*111.4</f>
        <v>84.461454545454544</v>
      </c>
      <c r="U158" s="31">
        <f>T158/(111.5*0.772)</f>
        <v>0.9812199928605978</v>
      </c>
      <c r="V158" s="31">
        <v>0.9812199928605978</v>
      </c>
    </row>
    <row r="159" spans="1:22" x14ac:dyDescent="0.15">
      <c r="A159" s="38">
        <f t="shared" si="16"/>
        <v>1806</v>
      </c>
      <c r="R159" s="31">
        <v>0.2</v>
      </c>
      <c r="V159" s="55">
        <f t="shared" ref="V159:V165" si="17">V158+($V$166-$V$158)/8</f>
        <v>1.0359604723596361</v>
      </c>
    </row>
    <row r="160" spans="1:22" x14ac:dyDescent="0.15">
      <c r="A160" s="38">
        <f t="shared" si="16"/>
        <v>1807</v>
      </c>
      <c r="R160" s="31">
        <v>0.1875</v>
      </c>
      <c r="V160" s="55">
        <f t="shared" si="17"/>
        <v>1.0907009518586746</v>
      </c>
    </row>
    <row r="161" spans="1:22" x14ac:dyDescent="0.15">
      <c r="A161" s="38">
        <f t="shared" si="16"/>
        <v>1808</v>
      </c>
      <c r="R161" s="31">
        <v>0.164583333333333</v>
      </c>
      <c r="V161" s="55">
        <f t="shared" si="17"/>
        <v>1.145441431357713</v>
      </c>
    </row>
    <row r="162" spans="1:22" x14ac:dyDescent="0.15">
      <c r="A162" s="38">
        <f t="shared" si="16"/>
        <v>1809</v>
      </c>
      <c r="R162" s="31">
        <v>0.16666666666666699</v>
      </c>
      <c r="V162" s="55">
        <f t="shared" si="17"/>
        <v>1.2001819108567515</v>
      </c>
    </row>
    <row r="163" spans="1:22" x14ac:dyDescent="0.15">
      <c r="A163" s="38">
        <f t="shared" si="16"/>
        <v>1810</v>
      </c>
      <c r="R163" s="31">
        <v>0.15937499999999999</v>
      </c>
      <c r="V163" s="55">
        <f t="shared" si="17"/>
        <v>1.25492239035579</v>
      </c>
    </row>
    <row r="164" spans="1:22" x14ac:dyDescent="0.15">
      <c r="A164" s="38">
        <f t="shared" si="16"/>
        <v>1811</v>
      </c>
      <c r="R164" s="31">
        <v>0.139583333333333</v>
      </c>
      <c r="V164" s="55">
        <f t="shared" si="17"/>
        <v>1.3096628698548285</v>
      </c>
    </row>
    <row r="165" spans="1:22" x14ac:dyDescent="0.15">
      <c r="A165" s="38">
        <f t="shared" si="16"/>
        <v>1812</v>
      </c>
      <c r="R165" s="31">
        <v>0.13645833333333299</v>
      </c>
      <c r="V165" s="55">
        <f t="shared" si="17"/>
        <v>1.364403349353867</v>
      </c>
    </row>
    <row r="166" spans="1:22" x14ac:dyDescent="0.15">
      <c r="A166" s="38">
        <f t="shared" si="16"/>
        <v>1813</v>
      </c>
      <c r="I166" s="31">
        <v>24.96</v>
      </c>
      <c r="J166" s="113">
        <f>7*2.4</f>
        <v>16.8</v>
      </c>
      <c r="P166" s="31">
        <f t="shared" ref="P166:P180" si="18">AVERAGE(B166:K166)</f>
        <v>20.880000000000003</v>
      </c>
      <c r="Q166" s="31">
        <f>P166/2.4</f>
        <v>8.7000000000000011</v>
      </c>
      <c r="R166" s="31">
        <v>0.126041666666667</v>
      </c>
      <c r="S166" s="31">
        <f t="shared" ref="S166:S180" si="19">Q166*R166</f>
        <v>1.096562500000003</v>
      </c>
      <c r="T166" s="31">
        <f>S166*111.4</f>
        <v>122.15706250000034</v>
      </c>
      <c r="U166" s="31">
        <f>T166/(111.5*0.772)</f>
        <v>1.4191438288529048</v>
      </c>
      <c r="V166" s="31">
        <v>1.4191438288529048</v>
      </c>
    </row>
    <row r="167" spans="1:22" x14ac:dyDescent="0.15">
      <c r="A167" s="38">
        <f t="shared" si="16"/>
        <v>1814</v>
      </c>
      <c r="I167" s="31">
        <v>31.68</v>
      </c>
      <c r="P167" s="31">
        <f t="shared" si="18"/>
        <v>31.68</v>
      </c>
      <c r="Q167" s="31">
        <f t="shared" ref="Q167:Q180" si="20">P167/2.4</f>
        <v>13.200000000000001</v>
      </c>
      <c r="R167" s="31">
        <v>0.113541666666667</v>
      </c>
      <c r="S167" s="31">
        <f t="shared" si="19"/>
        <v>1.4987500000000045</v>
      </c>
      <c r="T167" s="31">
        <f>S167*111.4</f>
        <v>166.9607500000005</v>
      </c>
      <c r="U167" s="31">
        <f t="shared" ref="U167:U180" si="21">T167/(111.5*0.772)</f>
        <v>1.9396448569901774</v>
      </c>
      <c r="V167" s="31">
        <v>1.9396448569901774</v>
      </c>
    </row>
    <row r="168" spans="1:22" x14ac:dyDescent="0.15">
      <c r="A168" s="38">
        <f t="shared" si="16"/>
        <v>1815</v>
      </c>
      <c r="F168" s="31">
        <v>21.607142857142854</v>
      </c>
      <c r="I168" s="31">
        <v>22.32</v>
      </c>
      <c r="P168" s="31">
        <f t="shared" si="18"/>
        <v>21.963571428571427</v>
      </c>
      <c r="Q168" s="31">
        <f t="shared" si="20"/>
        <v>9.1514880952380953</v>
      </c>
      <c r="R168" s="31">
        <v>0.1125</v>
      </c>
      <c r="S168" s="31">
        <f t="shared" si="19"/>
        <v>1.0295424107142856</v>
      </c>
      <c r="T168" s="31">
        <f>S168*111.4</f>
        <v>114.69102455357142</v>
      </c>
      <c r="U168" s="31">
        <f t="shared" si="21"/>
        <v>1.3324081014146636</v>
      </c>
      <c r="V168" s="31">
        <v>1.3324081014146636</v>
      </c>
    </row>
    <row r="169" spans="1:22" x14ac:dyDescent="0.15">
      <c r="A169" s="38">
        <f t="shared" si="16"/>
        <v>1816</v>
      </c>
      <c r="I169" s="31">
        <v>16.32</v>
      </c>
      <c r="P169" s="31">
        <f t="shared" si="18"/>
        <v>16.32</v>
      </c>
      <c r="Q169" s="31">
        <f t="shared" si="20"/>
        <v>6.8000000000000007</v>
      </c>
      <c r="R169" s="31">
        <v>0.104166666666667</v>
      </c>
      <c r="S169" s="31">
        <f t="shared" si="19"/>
        <v>0.7083333333333357</v>
      </c>
      <c r="T169" s="31">
        <f t="shared" ref="T169:T180" si="22">S169*104.6</f>
        <v>74.09166666666691</v>
      </c>
      <c r="U169" s="31">
        <f t="shared" si="21"/>
        <v>0.86075032722259937</v>
      </c>
      <c r="V169" s="31">
        <v>0.86075032722259937</v>
      </c>
    </row>
    <row r="170" spans="1:22" x14ac:dyDescent="0.15">
      <c r="A170" s="38">
        <f t="shared" si="16"/>
        <v>1817</v>
      </c>
      <c r="I170" s="31">
        <v>22.32</v>
      </c>
      <c r="P170" s="31">
        <f t="shared" si="18"/>
        <v>22.32</v>
      </c>
      <c r="Q170" s="31">
        <f t="shared" si="20"/>
        <v>9.3000000000000007</v>
      </c>
      <c r="R170" s="31">
        <v>8.8541666666666671E-2</v>
      </c>
      <c r="S170" s="31">
        <f t="shared" si="19"/>
        <v>0.82343750000000016</v>
      </c>
      <c r="T170" s="31">
        <f t="shared" si="22"/>
        <v>86.131562500000015</v>
      </c>
      <c r="U170" s="31">
        <f t="shared" si="21"/>
        <v>1.0006222553962687</v>
      </c>
      <c r="V170" s="31">
        <v>1.0006222553962687</v>
      </c>
    </row>
    <row r="171" spans="1:22" x14ac:dyDescent="0.15">
      <c r="A171" s="38">
        <f t="shared" si="16"/>
        <v>1818</v>
      </c>
      <c r="F171" s="31">
        <v>41.425000000000004</v>
      </c>
      <c r="G171" s="31">
        <v>41.674999999999997</v>
      </c>
      <c r="H171" s="31">
        <v>51.178723404255315</v>
      </c>
      <c r="I171" s="31">
        <v>41.76</v>
      </c>
      <c r="P171" s="31">
        <f t="shared" si="18"/>
        <v>44.009680851063827</v>
      </c>
      <c r="Q171" s="31">
        <f t="shared" si="20"/>
        <v>18.337367021276595</v>
      </c>
      <c r="R171" s="31">
        <v>8.7499999999999994E-2</v>
      </c>
      <c r="S171" s="31">
        <f t="shared" si="19"/>
        <v>1.604519614361702</v>
      </c>
      <c r="T171" s="31">
        <f t="shared" si="22"/>
        <v>167.83275166223402</v>
      </c>
      <c r="U171" s="31">
        <f t="shared" si="21"/>
        <v>1.9497752231956367</v>
      </c>
      <c r="V171" s="31">
        <v>1.9497752231956367</v>
      </c>
    </row>
    <row r="172" spans="1:22" x14ac:dyDescent="0.15">
      <c r="A172" s="38">
        <f t="shared" si="16"/>
        <v>1819</v>
      </c>
      <c r="F172" s="31">
        <v>41.3</v>
      </c>
      <c r="G172" s="31">
        <v>42.499999999999993</v>
      </c>
      <c r="H172" s="31">
        <v>45.544223321158434</v>
      </c>
      <c r="I172" s="31">
        <v>41.04</v>
      </c>
      <c r="P172" s="31">
        <f t="shared" si="18"/>
        <v>42.5960558302896</v>
      </c>
      <c r="Q172" s="31">
        <f t="shared" si="20"/>
        <v>17.748356595954</v>
      </c>
      <c r="R172" s="31">
        <v>9.2708333333333295E-2</v>
      </c>
      <c r="S172" s="31">
        <f t="shared" si="19"/>
        <v>1.6454205594165681</v>
      </c>
      <c r="T172" s="31">
        <f t="shared" si="22"/>
        <v>172.110990514973</v>
      </c>
      <c r="U172" s="31">
        <f t="shared" si="21"/>
        <v>1.9994771081457863</v>
      </c>
      <c r="V172" s="31">
        <v>1.9994771081457863</v>
      </c>
    </row>
    <row r="173" spans="1:22" x14ac:dyDescent="0.15">
      <c r="A173" s="38">
        <f t="shared" si="16"/>
        <v>1820</v>
      </c>
      <c r="F173" s="31">
        <v>18.925000000000001</v>
      </c>
      <c r="G173" s="31">
        <v>20.95</v>
      </c>
      <c r="H173" s="31">
        <v>17.031070584262075</v>
      </c>
      <c r="I173" s="31">
        <v>22.32</v>
      </c>
      <c r="P173" s="31">
        <f t="shared" si="18"/>
        <v>19.806517646065519</v>
      </c>
      <c r="Q173" s="31">
        <f t="shared" si="20"/>
        <v>8.2527156858606325</v>
      </c>
      <c r="R173" s="31">
        <v>8.7499999999999994E-2</v>
      </c>
      <c r="S173" s="31">
        <f t="shared" si="19"/>
        <v>0.72211262251280528</v>
      </c>
      <c r="T173" s="31">
        <f t="shared" si="22"/>
        <v>75.532980314839435</v>
      </c>
      <c r="U173" s="31">
        <f t="shared" si="21"/>
        <v>0.87749460158042047</v>
      </c>
      <c r="V173" s="31">
        <v>0.87749460158042047</v>
      </c>
    </row>
    <row r="174" spans="1:22" x14ac:dyDescent="0.15">
      <c r="A174" s="38">
        <f t="shared" si="16"/>
        <v>1821</v>
      </c>
      <c r="F174" s="31">
        <v>46.300000000000004</v>
      </c>
      <c r="G174" s="31">
        <v>48.1</v>
      </c>
      <c r="H174" s="31">
        <v>46.56545454545455</v>
      </c>
      <c r="I174" s="31">
        <v>51.12</v>
      </c>
      <c r="P174" s="31">
        <f t="shared" si="18"/>
        <v>48.021363636363638</v>
      </c>
      <c r="Q174" s="31">
        <f t="shared" si="20"/>
        <v>20.008901515151518</v>
      </c>
      <c r="R174" s="31">
        <v>8.3333333333333301E-2</v>
      </c>
      <c r="S174" s="31">
        <f t="shared" si="19"/>
        <v>1.6674084595959591</v>
      </c>
      <c r="T174" s="31">
        <f t="shared" si="22"/>
        <v>174.41092487373732</v>
      </c>
      <c r="U174" s="31">
        <f t="shared" si="21"/>
        <v>2.0261962972389846</v>
      </c>
      <c r="V174" s="31">
        <v>2.0261962972389846</v>
      </c>
    </row>
    <row r="175" spans="1:22" x14ac:dyDescent="0.15">
      <c r="A175" s="38">
        <f t="shared" si="16"/>
        <v>1822</v>
      </c>
      <c r="F175" s="31">
        <v>70.05</v>
      </c>
      <c r="G175" s="31">
        <v>56.599999999999994</v>
      </c>
      <c r="H175" s="31">
        <v>50.160000000000004</v>
      </c>
      <c r="I175" s="31">
        <v>63.36</v>
      </c>
      <c r="P175" s="31">
        <f t="shared" si="18"/>
        <v>60.042500000000004</v>
      </c>
      <c r="Q175" s="31">
        <f t="shared" si="20"/>
        <v>25.017708333333335</v>
      </c>
      <c r="R175" s="31">
        <v>7.1874999999999994E-2</v>
      </c>
      <c r="S175" s="31">
        <f t="shared" si="19"/>
        <v>1.7981477864583333</v>
      </c>
      <c r="T175" s="31">
        <f t="shared" si="22"/>
        <v>188.08625846354164</v>
      </c>
      <c r="U175" s="31">
        <f t="shared" si="21"/>
        <v>2.185067711419197</v>
      </c>
      <c r="V175" s="31">
        <v>2.185067711419197</v>
      </c>
    </row>
    <row r="176" spans="1:22" x14ac:dyDescent="0.15">
      <c r="A176" s="38">
        <f t="shared" si="16"/>
        <v>1823</v>
      </c>
      <c r="F176" s="31">
        <v>22.224999999999998</v>
      </c>
      <c r="G176" s="31">
        <v>27.35</v>
      </c>
      <c r="I176" s="31">
        <v>24.96</v>
      </c>
      <c r="P176" s="31">
        <f t="shared" si="18"/>
        <v>24.844999999999999</v>
      </c>
      <c r="Q176" s="31">
        <f t="shared" si="20"/>
        <v>10.352083333333333</v>
      </c>
      <c r="R176" s="31">
        <v>7.8125E-2</v>
      </c>
      <c r="S176" s="31">
        <f t="shared" si="19"/>
        <v>0.80875651041666663</v>
      </c>
      <c r="T176" s="31">
        <f t="shared" si="22"/>
        <v>84.595930989583323</v>
      </c>
      <c r="U176" s="31">
        <f t="shared" si="21"/>
        <v>0.98278225550760145</v>
      </c>
      <c r="V176" s="31">
        <v>0.98278225550760145</v>
      </c>
    </row>
    <row r="177" spans="1:22" x14ac:dyDescent="0.15">
      <c r="A177" s="38">
        <f t="shared" si="16"/>
        <v>1824</v>
      </c>
      <c r="F177" s="31">
        <v>27.8</v>
      </c>
      <c r="G177" s="31">
        <v>33</v>
      </c>
      <c r="I177" s="31">
        <v>31.919999999999998</v>
      </c>
      <c r="P177" s="31">
        <f t="shared" si="18"/>
        <v>30.906666666666666</v>
      </c>
      <c r="Q177" s="31">
        <f t="shared" si="20"/>
        <v>12.877777777777778</v>
      </c>
      <c r="R177" s="31">
        <v>7.2916666666666699E-2</v>
      </c>
      <c r="S177" s="31">
        <f t="shared" si="19"/>
        <v>0.93900462962963005</v>
      </c>
      <c r="T177" s="31">
        <f t="shared" si="22"/>
        <v>98.219884259259302</v>
      </c>
      <c r="U177" s="31">
        <f t="shared" si="21"/>
        <v>1.1410567654831583</v>
      </c>
      <c r="V177" s="31">
        <v>1.1410567654831583</v>
      </c>
    </row>
    <row r="178" spans="1:22" x14ac:dyDescent="0.15">
      <c r="A178" s="38">
        <f t="shared" si="16"/>
        <v>1825</v>
      </c>
      <c r="F178" s="31">
        <v>26.3</v>
      </c>
      <c r="G178" s="31">
        <v>29.6</v>
      </c>
      <c r="I178" s="31">
        <v>26.639999999999997</v>
      </c>
      <c r="L178" s="31">
        <v>1.2531512116917214</v>
      </c>
      <c r="P178" s="31">
        <f t="shared" si="18"/>
        <v>27.513333333333335</v>
      </c>
      <c r="Q178" s="31">
        <f t="shared" si="20"/>
        <v>11.46388888888889</v>
      </c>
      <c r="R178" s="31">
        <v>7.4999999999999997E-2</v>
      </c>
      <c r="S178" s="31">
        <f t="shared" si="19"/>
        <v>0.85979166666666673</v>
      </c>
      <c r="T178" s="31">
        <f t="shared" si="22"/>
        <v>89.934208333333331</v>
      </c>
      <c r="U178" s="31">
        <f t="shared" si="21"/>
        <v>1.0447990001316634</v>
      </c>
      <c r="V178" s="31">
        <v>1.0447990001316634</v>
      </c>
    </row>
    <row r="179" spans="1:22" x14ac:dyDescent="0.15">
      <c r="A179" s="38">
        <f t="shared" si="16"/>
        <v>1826</v>
      </c>
      <c r="G179" s="31">
        <v>52.75</v>
      </c>
      <c r="I179" s="31">
        <v>53.760000000000005</v>
      </c>
      <c r="L179" s="31">
        <v>2.0100131170671842</v>
      </c>
      <c r="P179" s="31">
        <f t="shared" si="18"/>
        <v>53.255000000000003</v>
      </c>
      <c r="Q179" s="31">
        <f t="shared" si="20"/>
        <v>22.189583333333335</v>
      </c>
      <c r="R179" s="31">
        <v>7.5000000000000011E-2</v>
      </c>
      <c r="S179" s="31">
        <f t="shared" si="19"/>
        <v>1.6642187500000003</v>
      </c>
      <c r="T179" s="31">
        <f t="shared" si="22"/>
        <v>174.07728125000003</v>
      </c>
      <c r="U179" s="31">
        <f t="shared" si="21"/>
        <v>2.0223202357164434</v>
      </c>
      <c r="V179" s="31">
        <v>2.0223202357164434</v>
      </c>
    </row>
    <row r="180" spans="1:22" x14ac:dyDescent="0.15">
      <c r="A180" s="38">
        <f t="shared" si="16"/>
        <v>1827</v>
      </c>
      <c r="F180" s="38"/>
      <c r="H180" s="31">
        <v>35.164285714285711</v>
      </c>
      <c r="L180" s="31">
        <v>1.3989724435976669</v>
      </c>
      <c r="P180" s="31">
        <f t="shared" si="18"/>
        <v>35.164285714285711</v>
      </c>
      <c r="Q180" s="31">
        <f t="shared" si="20"/>
        <v>14.651785714285714</v>
      </c>
      <c r="R180" s="31">
        <v>7.5000000000000011E-2</v>
      </c>
      <c r="S180" s="31">
        <f t="shared" si="19"/>
        <v>1.0988839285714287</v>
      </c>
      <c r="T180" s="31">
        <f t="shared" si="22"/>
        <v>114.94325892857144</v>
      </c>
      <c r="U180" s="31">
        <f t="shared" si="21"/>
        <v>1.3353384015494254</v>
      </c>
      <c r="V180" s="31">
        <v>1.3353384015494254</v>
      </c>
    </row>
    <row r="181" spans="1:22" x14ac:dyDescent="0.15">
      <c r="A181" s="38">
        <f t="shared" si="16"/>
        <v>1828</v>
      </c>
      <c r="J181" s="40"/>
      <c r="L181" s="31">
        <v>0.7667006958804804</v>
      </c>
      <c r="M181" s="113">
        <v>0.24583333333333335</v>
      </c>
      <c r="N181" s="113"/>
      <c r="O181" s="47"/>
      <c r="U181" s="31">
        <f>((M181*104.6)/27.2154+L181)/2</f>
        <v>0.85576976243840419</v>
      </c>
      <c r="V181" s="31">
        <v>0.85576976243840419</v>
      </c>
    </row>
    <row r="182" spans="1:22" x14ac:dyDescent="0.15">
      <c r="A182" s="38">
        <f t="shared" si="16"/>
        <v>1829</v>
      </c>
      <c r="L182" s="31">
        <v>1.1511902721949858</v>
      </c>
      <c r="M182" s="113"/>
      <c r="N182" s="113"/>
      <c r="O182" s="47"/>
      <c r="U182" s="31">
        <f>L182</f>
        <v>1.1511902721949858</v>
      </c>
      <c r="V182" s="31">
        <v>1.1511902721949858</v>
      </c>
    </row>
    <row r="183" spans="1:22" x14ac:dyDescent="0.15">
      <c r="A183" s="38">
        <f t="shared" si="16"/>
        <v>1830</v>
      </c>
      <c r="L183" s="31">
        <v>1.3940357873091849</v>
      </c>
      <c r="M183" s="113"/>
      <c r="N183" s="113"/>
      <c r="O183" s="47"/>
      <c r="U183" s="31">
        <f>L183</f>
        <v>1.3940357873091849</v>
      </c>
      <c r="V183" s="31">
        <v>1.3940357873091849</v>
      </c>
    </row>
    <row r="184" spans="1:22" x14ac:dyDescent="0.15">
      <c r="A184" s="38">
        <f t="shared" si="16"/>
        <v>1831</v>
      </c>
      <c r="L184" s="31">
        <v>1.012394281930342</v>
      </c>
      <c r="M184" s="113"/>
      <c r="N184" s="113"/>
      <c r="O184" s="47"/>
      <c r="U184" s="31">
        <f>L184</f>
        <v>1.012394281930342</v>
      </c>
      <c r="V184" s="31">
        <v>1.012394281930342</v>
      </c>
    </row>
    <row r="185" spans="1:22" x14ac:dyDescent="0.15">
      <c r="A185" s="38">
        <f t="shared" si="16"/>
        <v>1832</v>
      </c>
      <c r="L185" s="31">
        <v>1.1361904319338272</v>
      </c>
      <c r="M185" s="113"/>
      <c r="N185" s="113"/>
      <c r="O185" s="47"/>
      <c r="U185" s="31">
        <f>L185</f>
        <v>1.1361904319338272</v>
      </c>
      <c r="V185" s="31">
        <v>1.1361904319338272</v>
      </c>
    </row>
    <row r="186" spans="1:22" x14ac:dyDescent="0.15">
      <c r="A186" s="38">
        <f t="shared" si="16"/>
        <v>1833</v>
      </c>
      <c r="J186" s="40"/>
      <c r="L186" s="31">
        <v>1.0685962150607586</v>
      </c>
      <c r="M186" s="113">
        <v>0.24062500000000001</v>
      </c>
      <c r="N186" s="113"/>
      <c r="O186" s="47"/>
      <c r="U186" s="31">
        <f>((M186*104.6)/27.2154+L186)/2</f>
        <v>0.99670863612815852</v>
      </c>
      <c r="V186" s="31">
        <v>0.99670863612815852</v>
      </c>
    </row>
    <row r="187" spans="1:22" x14ac:dyDescent="0.15">
      <c r="A187" s="38">
        <f t="shared" si="16"/>
        <v>1834</v>
      </c>
      <c r="L187" s="31">
        <v>0.72872641673830707</v>
      </c>
      <c r="M187" s="113"/>
      <c r="N187" s="113"/>
      <c r="O187" s="47"/>
      <c r="U187" s="31">
        <f>L187</f>
        <v>0.72872641673830707</v>
      </c>
      <c r="V187" s="31">
        <v>0.72872641673830707</v>
      </c>
    </row>
    <row r="188" spans="1:22" x14ac:dyDescent="0.15">
      <c r="A188" s="38">
        <f t="shared" si="16"/>
        <v>1835</v>
      </c>
      <c r="J188" s="40"/>
      <c r="L188" s="31">
        <v>0.79821934756848434</v>
      </c>
      <c r="M188" s="113">
        <v>0.26176086641202923</v>
      </c>
      <c r="N188" s="113"/>
      <c r="O188" s="47"/>
      <c r="U188" s="31">
        <f>((M188*104.6)/27.2154+L188)/2</f>
        <v>0.90213712564418636</v>
      </c>
      <c r="V188" s="31">
        <v>0.90213712564418636</v>
      </c>
    </row>
    <row r="189" spans="1:22" x14ac:dyDescent="0.15">
      <c r="A189" s="38">
        <f t="shared" si="16"/>
        <v>1836</v>
      </c>
      <c r="L189" s="31">
        <v>1.2248603737308021</v>
      </c>
      <c r="M189" s="38"/>
      <c r="N189" s="109">
        <v>1.3371871562914135</v>
      </c>
      <c r="O189" s="48"/>
      <c r="U189" s="31">
        <f t="shared" ref="U189:U206" si="23">AVERAGE(N189,L189)</f>
        <v>1.2810237650111078</v>
      </c>
      <c r="V189" s="31">
        <v>1.2810237650111078</v>
      </c>
    </row>
    <row r="190" spans="1:22" x14ac:dyDescent="0.15">
      <c r="A190" s="38">
        <f t="shared" si="16"/>
        <v>1837</v>
      </c>
      <c r="L190" s="31">
        <v>1.5490657819071074</v>
      </c>
      <c r="M190" s="38"/>
      <c r="N190" s="109">
        <v>1.4412795696554155</v>
      </c>
      <c r="O190" s="48"/>
      <c r="U190" s="31">
        <f t="shared" si="23"/>
        <v>1.4951726757812613</v>
      </c>
      <c r="V190" s="31">
        <v>1.4951726757812613</v>
      </c>
    </row>
    <row r="191" spans="1:22" x14ac:dyDescent="0.15">
      <c r="A191" s="38">
        <f t="shared" si="16"/>
        <v>1838</v>
      </c>
      <c r="L191" s="31">
        <v>1.5976124455831813</v>
      </c>
      <c r="M191" s="38"/>
      <c r="N191" s="109">
        <v>1.4733080045366471</v>
      </c>
      <c r="O191" s="48"/>
      <c r="U191" s="31">
        <f t="shared" si="23"/>
        <v>1.5354602250599143</v>
      </c>
      <c r="V191" s="31">
        <v>1.5354602250599143</v>
      </c>
    </row>
    <row r="192" spans="1:22" x14ac:dyDescent="0.15">
      <c r="A192" s="38">
        <f t="shared" si="16"/>
        <v>1839</v>
      </c>
      <c r="L192" s="31">
        <v>2.4894038691651752</v>
      </c>
      <c r="M192" s="38"/>
      <c r="N192" s="109">
        <v>2.6263316602609796</v>
      </c>
      <c r="O192" s="48"/>
      <c r="U192" s="31">
        <f t="shared" si="23"/>
        <v>2.5578677647130776</v>
      </c>
      <c r="V192" s="31">
        <v>2.5578677647130776</v>
      </c>
    </row>
    <row r="193" spans="1:22" x14ac:dyDescent="0.15">
      <c r="A193" s="38">
        <f t="shared" si="16"/>
        <v>1840</v>
      </c>
      <c r="L193" s="31">
        <v>2.1777903867316954</v>
      </c>
      <c r="M193" s="38"/>
      <c r="N193" s="109">
        <v>2.2219726698854325</v>
      </c>
      <c r="O193" s="48"/>
      <c r="U193" s="31">
        <f t="shared" si="23"/>
        <v>2.199881528308564</v>
      </c>
      <c r="V193" s="31">
        <v>2.199881528308564</v>
      </c>
    </row>
    <row r="194" spans="1:22" x14ac:dyDescent="0.15">
      <c r="A194" s="38">
        <f t="shared" si="16"/>
        <v>1841</v>
      </c>
      <c r="L194" s="31">
        <v>1.28789767710681</v>
      </c>
      <c r="M194" s="38"/>
      <c r="N194" s="109">
        <v>1.345194265011721</v>
      </c>
      <c r="O194" s="48"/>
      <c r="U194" s="31">
        <f t="shared" si="23"/>
        <v>1.3165459710592655</v>
      </c>
      <c r="V194" s="31">
        <v>1.3165459710592655</v>
      </c>
    </row>
    <row r="195" spans="1:22" x14ac:dyDescent="0.15">
      <c r="A195" s="38">
        <f t="shared" si="16"/>
        <v>1842</v>
      </c>
      <c r="L195" s="31">
        <v>1.3691626344710608</v>
      </c>
      <c r="M195" s="38"/>
      <c r="N195" s="109">
        <v>1.4372760152952619</v>
      </c>
      <c r="O195" s="48"/>
      <c r="U195" s="31">
        <f t="shared" si="23"/>
        <v>1.4032193248831613</v>
      </c>
      <c r="V195" s="31">
        <v>1.4032193248831613</v>
      </c>
    </row>
    <row r="196" spans="1:22" x14ac:dyDescent="0.15">
      <c r="A196" s="38">
        <f t="shared" si="16"/>
        <v>1843</v>
      </c>
      <c r="L196" s="31">
        <v>1.3313782267245986</v>
      </c>
      <c r="M196" s="38"/>
      <c r="N196" s="109"/>
      <c r="O196" s="48"/>
      <c r="U196" s="31">
        <f t="shared" si="23"/>
        <v>1.3313782267245986</v>
      </c>
      <c r="V196" s="31">
        <v>1.3313782267245986</v>
      </c>
    </row>
    <row r="197" spans="1:22" x14ac:dyDescent="0.15">
      <c r="A197" s="38">
        <f t="shared" si="16"/>
        <v>1844</v>
      </c>
      <c r="L197" s="31">
        <v>1.1086590795557516</v>
      </c>
      <c r="M197" s="38"/>
      <c r="N197" s="109">
        <v>0.88878906795417301</v>
      </c>
      <c r="O197" s="48"/>
      <c r="U197" s="31">
        <f>AVERAGE(N197,L197)</f>
        <v>0.9987240737549623</v>
      </c>
      <c r="V197" s="31">
        <v>0.9987240737549623</v>
      </c>
    </row>
    <row r="198" spans="1:22" x14ac:dyDescent="0.15">
      <c r="A198" s="38">
        <f t="shared" si="16"/>
        <v>1845</v>
      </c>
      <c r="L198" s="31">
        <v>1.4075166564046562</v>
      </c>
      <c r="M198" s="38"/>
      <c r="N198" s="109">
        <v>1.0929703403220234</v>
      </c>
      <c r="O198" s="48"/>
      <c r="U198" s="31">
        <f t="shared" si="23"/>
        <v>1.2502434983633397</v>
      </c>
      <c r="V198" s="31">
        <v>1.2502434983633397</v>
      </c>
    </row>
    <row r="199" spans="1:22" x14ac:dyDescent="0.15">
      <c r="A199" s="38">
        <f t="shared" si="16"/>
        <v>1846</v>
      </c>
      <c r="L199" s="31">
        <v>1.6352199277109132</v>
      </c>
      <c r="M199" s="38"/>
      <c r="N199" s="109">
        <v>1.1530236557243325</v>
      </c>
      <c r="O199" s="48"/>
      <c r="U199" s="31">
        <f t="shared" si="23"/>
        <v>1.3941217917176227</v>
      </c>
      <c r="V199" s="31">
        <v>1.3941217917176227</v>
      </c>
    </row>
    <row r="200" spans="1:22" x14ac:dyDescent="0.15">
      <c r="A200" s="38">
        <f t="shared" si="16"/>
        <v>1847</v>
      </c>
      <c r="L200" s="31">
        <v>1.6896618990580095</v>
      </c>
      <c r="M200" s="38"/>
      <c r="N200" s="109">
        <v>1.1530236557243325</v>
      </c>
      <c r="O200" s="48"/>
      <c r="U200" s="31">
        <f t="shared" si="23"/>
        <v>1.4213427773911711</v>
      </c>
      <c r="V200" s="31">
        <v>1.4213427773911711</v>
      </c>
    </row>
    <row r="201" spans="1:22" x14ac:dyDescent="0.15">
      <c r="A201" s="38">
        <f t="shared" si="16"/>
        <v>1848</v>
      </c>
      <c r="L201" s="31">
        <v>1.3157138365784522</v>
      </c>
      <c r="M201" s="38"/>
      <c r="N201" s="109">
        <v>1.1530236557243325</v>
      </c>
      <c r="O201" s="48"/>
      <c r="U201" s="31">
        <f t="shared" si="23"/>
        <v>1.2343687461513924</v>
      </c>
      <c r="V201" s="31">
        <v>1.2343687461513924</v>
      </c>
    </row>
    <row r="202" spans="1:22" x14ac:dyDescent="0.15">
      <c r="A202" s="38">
        <f t="shared" si="16"/>
        <v>1849</v>
      </c>
      <c r="L202" s="31">
        <v>1.2958722757266665</v>
      </c>
      <c r="M202" s="38"/>
      <c r="N202" s="109">
        <v>1.1530236557243325</v>
      </c>
      <c r="O202" s="48"/>
      <c r="U202" s="31">
        <f t="shared" si="23"/>
        <v>1.2244479657254996</v>
      </c>
      <c r="V202" s="31">
        <v>1.2244479657254996</v>
      </c>
    </row>
    <row r="203" spans="1:22" x14ac:dyDescent="0.15">
      <c r="A203" s="38">
        <f t="shared" si="16"/>
        <v>1850</v>
      </c>
      <c r="L203" s="31">
        <v>1.0905134154883838</v>
      </c>
      <c r="M203" s="38"/>
      <c r="N203" s="109">
        <v>1.1530236557243325</v>
      </c>
      <c r="O203" s="48"/>
      <c r="U203" s="31">
        <f t="shared" si="23"/>
        <v>1.1217685356063583</v>
      </c>
      <c r="V203" s="31">
        <v>1.1217685356063583</v>
      </c>
    </row>
    <row r="204" spans="1:22" x14ac:dyDescent="0.15">
      <c r="A204" s="38">
        <f t="shared" si="16"/>
        <v>1851</v>
      </c>
      <c r="L204" s="52">
        <v>0.42254692419230222</v>
      </c>
      <c r="M204" s="38"/>
      <c r="N204" s="109">
        <v>1.1530236557243325</v>
      </c>
      <c r="O204" s="48"/>
      <c r="U204" s="31">
        <f t="shared" si="23"/>
        <v>0.78778528995831731</v>
      </c>
      <c r="V204" s="31">
        <v>0.78778528995831731</v>
      </c>
    </row>
    <row r="205" spans="1:22" x14ac:dyDescent="0.15">
      <c r="A205" s="38">
        <f t="shared" si="16"/>
        <v>1852</v>
      </c>
      <c r="L205" s="52">
        <v>0.2482746503353063</v>
      </c>
      <c r="M205" s="38"/>
      <c r="N205" s="109">
        <v>1.1530236557243325</v>
      </c>
      <c r="O205" s="48"/>
      <c r="U205" s="31">
        <f t="shared" si="23"/>
        <v>0.70064915302981945</v>
      </c>
      <c r="V205" s="31">
        <v>0.70064915302981945</v>
      </c>
    </row>
    <row r="206" spans="1:22" x14ac:dyDescent="0.15">
      <c r="A206" s="38">
        <f t="shared" si="16"/>
        <v>1853</v>
      </c>
      <c r="L206" s="52">
        <v>0.12465650476530006</v>
      </c>
      <c r="M206" s="38"/>
      <c r="N206" s="109">
        <v>1.5373648742991102</v>
      </c>
      <c r="O206" s="48"/>
      <c r="U206" s="31">
        <f t="shared" si="23"/>
        <v>0.83101068953220514</v>
      </c>
      <c r="V206" s="31">
        <v>0.83101068953220514</v>
      </c>
    </row>
    <row r="207" spans="1:22" x14ac:dyDescent="0.15">
      <c r="A207" s="38">
        <f t="shared" si="16"/>
        <v>1854</v>
      </c>
      <c r="M207" s="38"/>
      <c r="N207" s="109">
        <v>1.5693933091803416</v>
      </c>
      <c r="O207" s="48"/>
      <c r="U207" s="31">
        <f t="shared" ref="U207:U263" si="24">N207</f>
        <v>1.5693933091803416</v>
      </c>
      <c r="V207" s="31">
        <v>1.5693933091803416</v>
      </c>
    </row>
    <row r="208" spans="1:22" x14ac:dyDescent="0.15">
      <c r="A208" s="38">
        <f t="shared" si="16"/>
        <v>1855</v>
      </c>
      <c r="M208" s="38"/>
      <c r="N208" s="109">
        <v>1.4412795696554155</v>
      </c>
      <c r="O208" s="48"/>
      <c r="U208" s="31">
        <f t="shared" si="24"/>
        <v>1.4412795696554155</v>
      </c>
      <c r="V208" s="31">
        <v>1.4412795696554155</v>
      </c>
    </row>
    <row r="209" spans="1:22" x14ac:dyDescent="0.15">
      <c r="A209" s="38">
        <f t="shared" si="16"/>
        <v>1856</v>
      </c>
      <c r="M209" s="38"/>
      <c r="N209" s="109">
        <v>1.7295354835864989</v>
      </c>
      <c r="O209" s="48"/>
      <c r="U209" s="31">
        <f t="shared" si="24"/>
        <v>1.7295354835864989</v>
      </c>
      <c r="V209" s="31">
        <v>1.7295354835864989</v>
      </c>
    </row>
    <row r="210" spans="1:22" x14ac:dyDescent="0.15">
      <c r="A210" s="38">
        <f t="shared" si="16"/>
        <v>1857</v>
      </c>
      <c r="M210" s="38"/>
      <c r="N210" s="109">
        <v>1.798930425829167</v>
      </c>
      <c r="O210" s="48"/>
      <c r="U210" s="31">
        <f t="shared" si="24"/>
        <v>1.798930425829167</v>
      </c>
      <c r="V210" s="31">
        <v>1.798930425829167</v>
      </c>
    </row>
    <row r="211" spans="1:22" x14ac:dyDescent="0.15">
      <c r="A211" s="38">
        <f t="shared" si="16"/>
        <v>1858</v>
      </c>
      <c r="M211" s="38"/>
      <c r="N211" s="109">
        <v>1.8683253680718352</v>
      </c>
      <c r="O211" s="48"/>
      <c r="U211" s="31">
        <f t="shared" si="24"/>
        <v>1.8683253680718352</v>
      </c>
      <c r="V211" s="31">
        <v>1.8683253680718352</v>
      </c>
    </row>
    <row r="212" spans="1:22" x14ac:dyDescent="0.15">
      <c r="A212" s="38">
        <f t="shared" si="16"/>
        <v>1859</v>
      </c>
      <c r="M212" s="38"/>
      <c r="N212" s="109">
        <v>1.9377203103145033</v>
      </c>
      <c r="O212" s="48"/>
      <c r="U212" s="31">
        <f t="shared" si="24"/>
        <v>1.9377203103145033</v>
      </c>
      <c r="V212" s="31">
        <v>1.9377203103145033</v>
      </c>
    </row>
    <row r="213" spans="1:22" x14ac:dyDescent="0.15">
      <c r="A213" s="38">
        <f t="shared" ref="A213:A263" si="25">A212+1</f>
        <v>1860</v>
      </c>
      <c r="M213" s="38"/>
      <c r="N213" s="109">
        <v>1.8256207882301934</v>
      </c>
      <c r="O213" s="48"/>
      <c r="U213" s="31">
        <f t="shared" si="24"/>
        <v>1.8256207882301934</v>
      </c>
      <c r="V213" s="31">
        <v>1.8256207882301934</v>
      </c>
    </row>
    <row r="214" spans="1:22" x14ac:dyDescent="0.15">
      <c r="A214" s="38">
        <f t="shared" si="25"/>
        <v>1861</v>
      </c>
      <c r="M214" s="38"/>
      <c r="N214" s="109">
        <v>1.9217060928738876</v>
      </c>
      <c r="O214" s="48"/>
      <c r="U214" s="31">
        <f t="shared" si="24"/>
        <v>1.9217060928738876</v>
      </c>
      <c r="V214" s="31">
        <v>1.9217060928738876</v>
      </c>
    </row>
    <row r="215" spans="1:22" x14ac:dyDescent="0.15">
      <c r="A215" s="38">
        <f t="shared" si="25"/>
        <v>1862</v>
      </c>
      <c r="M215" s="38"/>
      <c r="N215" s="109">
        <v>2.6583600951422111</v>
      </c>
      <c r="O215" s="48"/>
      <c r="U215" s="31">
        <f t="shared" si="24"/>
        <v>2.6583600951422111</v>
      </c>
      <c r="V215" s="31">
        <v>2.6583600951422111</v>
      </c>
    </row>
    <row r="216" spans="1:22" x14ac:dyDescent="0.15">
      <c r="A216" s="38">
        <f t="shared" si="25"/>
        <v>1863</v>
      </c>
      <c r="M216" s="38"/>
      <c r="N216" s="109">
        <v>2.2900330940080491</v>
      </c>
      <c r="O216" s="48"/>
      <c r="U216" s="31">
        <f t="shared" si="24"/>
        <v>2.2900330940080491</v>
      </c>
      <c r="V216" s="31">
        <v>2.2900330940080491</v>
      </c>
    </row>
    <row r="217" spans="1:22" x14ac:dyDescent="0.15">
      <c r="A217" s="38">
        <f t="shared" si="25"/>
        <v>1864</v>
      </c>
      <c r="M217" s="38"/>
      <c r="N217" s="109">
        <v>1.6334501789428046</v>
      </c>
      <c r="O217" s="48"/>
      <c r="U217" s="31">
        <f t="shared" si="24"/>
        <v>1.6334501789428046</v>
      </c>
      <c r="V217" s="31">
        <v>1.6334501789428046</v>
      </c>
    </row>
    <row r="218" spans="1:22" x14ac:dyDescent="0.15">
      <c r="A218" s="38">
        <f t="shared" si="25"/>
        <v>1865</v>
      </c>
      <c r="M218" s="38"/>
      <c r="N218" s="109">
        <v>2.0658340498394292</v>
      </c>
      <c r="O218" s="48"/>
      <c r="U218" s="31">
        <f t="shared" si="24"/>
        <v>2.0658340498394292</v>
      </c>
      <c r="V218" s="31">
        <v>2.0658340498394292</v>
      </c>
    </row>
    <row r="219" spans="1:22" x14ac:dyDescent="0.15">
      <c r="A219" s="38">
        <f t="shared" si="25"/>
        <v>1866</v>
      </c>
      <c r="M219" s="38"/>
      <c r="N219" s="109">
        <v>2.0658340498394292</v>
      </c>
      <c r="O219" s="48"/>
      <c r="U219" s="31">
        <f t="shared" si="24"/>
        <v>2.0658340498394292</v>
      </c>
      <c r="V219" s="31">
        <v>2.0658340498394292</v>
      </c>
    </row>
    <row r="220" spans="1:22" x14ac:dyDescent="0.15">
      <c r="A220" s="38">
        <f t="shared" si="25"/>
        <v>1867</v>
      </c>
      <c r="M220" s="38"/>
      <c r="N220" s="109">
        <v>1.5693933091803416</v>
      </c>
      <c r="O220" s="48"/>
      <c r="U220" s="31">
        <f t="shared" si="24"/>
        <v>1.5693933091803416</v>
      </c>
      <c r="V220" s="31">
        <v>1.5693933091803416</v>
      </c>
    </row>
    <row r="221" spans="1:22" x14ac:dyDescent="0.15">
      <c r="A221" s="38">
        <f t="shared" si="25"/>
        <v>1868</v>
      </c>
      <c r="M221" s="38"/>
      <c r="N221" s="109">
        <v>1.249108960368027</v>
      </c>
      <c r="O221" s="48"/>
      <c r="U221" s="31">
        <f t="shared" si="24"/>
        <v>1.249108960368027</v>
      </c>
      <c r="V221" s="31">
        <v>1.249108960368027</v>
      </c>
    </row>
    <row r="222" spans="1:22" x14ac:dyDescent="0.15">
      <c r="A222" s="38">
        <f t="shared" si="25"/>
        <v>1869</v>
      </c>
      <c r="M222" s="38"/>
      <c r="N222" s="109">
        <v>1.1690378731649482</v>
      </c>
      <c r="O222" s="48"/>
      <c r="U222" s="31">
        <f t="shared" si="24"/>
        <v>1.1690378731649482</v>
      </c>
      <c r="V222" s="31">
        <v>1.1690378731649482</v>
      </c>
    </row>
    <row r="223" spans="1:22" x14ac:dyDescent="0.15">
      <c r="A223" s="38">
        <f t="shared" si="25"/>
        <v>1870</v>
      </c>
      <c r="M223" s="38"/>
      <c r="N223" s="109">
        <v>1.2130769711266414</v>
      </c>
      <c r="O223" s="48"/>
      <c r="U223" s="31">
        <f t="shared" si="24"/>
        <v>1.2130769711266414</v>
      </c>
      <c r="V223" s="31">
        <v>1.2130769711266414</v>
      </c>
    </row>
    <row r="224" spans="1:22" x14ac:dyDescent="0.15">
      <c r="A224" s="38">
        <f t="shared" si="25"/>
        <v>1871</v>
      </c>
      <c r="M224" s="38"/>
      <c r="N224" s="109">
        <v>1.5696895722029929</v>
      </c>
      <c r="O224" s="48"/>
      <c r="U224" s="31">
        <f t="shared" si="24"/>
        <v>1.5696895722029929</v>
      </c>
      <c r="V224" s="31">
        <v>1.5696895722029929</v>
      </c>
    </row>
    <row r="225" spans="1:22" x14ac:dyDescent="0.15">
      <c r="A225" s="38">
        <f t="shared" si="25"/>
        <v>1872</v>
      </c>
      <c r="M225" s="38"/>
      <c r="N225" s="109">
        <v>1.6353598743725977</v>
      </c>
      <c r="O225" s="48"/>
      <c r="U225" s="31">
        <f t="shared" si="24"/>
        <v>1.6353598743725977</v>
      </c>
      <c r="V225" s="31">
        <v>1.6353598743725977</v>
      </c>
    </row>
    <row r="226" spans="1:22" x14ac:dyDescent="0.15">
      <c r="A226" s="38">
        <f t="shared" si="25"/>
        <v>1873</v>
      </c>
      <c r="M226" s="38"/>
      <c r="N226" s="109">
        <v>1.8980410830510177</v>
      </c>
      <c r="O226" s="48"/>
      <c r="U226" s="31">
        <f t="shared" si="24"/>
        <v>1.8980410830510177</v>
      </c>
      <c r="V226" s="31">
        <v>1.8980410830510177</v>
      </c>
    </row>
    <row r="227" spans="1:22" x14ac:dyDescent="0.15">
      <c r="A227" s="38">
        <f t="shared" si="25"/>
        <v>1874</v>
      </c>
      <c r="M227" s="38"/>
      <c r="N227" s="109">
        <v>1.8980410830510177</v>
      </c>
      <c r="O227" s="48"/>
      <c r="U227" s="31">
        <f t="shared" si="24"/>
        <v>1.8980410830510177</v>
      </c>
      <c r="V227" s="31">
        <v>1.8980410830510177</v>
      </c>
    </row>
    <row r="228" spans="1:22" x14ac:dyDescent="0.15">
      <c r="A228" s="38">
        <f t="shared" si="25"/>
        <v>1875</v>
      </c>
      <c r="M228" s="38"/>
      <c r="N228" s="109">
        <v>1.9637113852206227</v>
      </c>
      <c r="O228" s="48"/>
      <c r="U228" s="31">
        <f t="shared" si="24"/>
        <v>1.9637113852206227</v>
      </c>
      <c r="V228" s="31">
        <v>1.9637113852206227</v>
      </c>
    </row>
    <row r="229" spans="1:22" x14ac:dyDescent="0.15">
      <c r="A229" s="38">
        <f t="shared" si="25"/>
        <v>1876</v>
      </c>
      <c r="M229" s="38"/>
      <c r="N229" s="109">
        <v>1.7010301765422027</v>
      </c>
      <c r="O229" s="48"/>
      <c r="U229" s="31">
        <f t="shared" si="24"/>
        <v>1.7010301765422027</v>
      </c>
      <c r="V229" s="31">
        <v>1.7010301765422027</v>
      </c>
    </row>
    <row r="230" spans="1:22" x14ac:dyDescent="0.15">
      <c r="A230" s="38">
        <f t="shared" si="25"/>
        <v>1877</v>
      </c>
      <c r="M230" s="38"/>
      <c r="N230" s="109">
        <v>1.8980410830510177</v>
      </c>
      <c r="O230" s="48"/>
      <c r="U230" s="31">
        <f t="shared" si="24"/>
        <v>1.8980410830510177</v>
      </c>
      <c r="V230" s="31">
        <v>1.8980410830510177</v>
      </c>
    </row>
    <row r="231" spans="1:22" x14ac:dyDescent="0.15">
      <c r="A231" s="38">
        <f t="shared" si="25"/>
        <v>1878</v>
      </c>
      <c r="M231" s="38"/>
      <c r="N231" s="109">
        <v>1.9637113852206227</v>
      </c>
      <c r="O231" s="48"/>
      <c r="U231" s="31">
        <f t="shared" si="24"/>
        <v>1.9637113852206227</v>
      </c>
      <c r="V231" s="31">
        <v>1.9637113852206227</v>
      </c>
    </row>
    <row r="232" spans="1:22" x14ac:dyDescent="0.15">
      <c r="A232" s="38">
        <f t="shared" si="25"/>
        <v>1879</v>
      </c>
      <c r="M232" s="38"/>
      <c r="N232" s="109">
        <v>1.7667004787118079</v>
      </c>
      <c r="O232" s="48"/>
      <c r="U232" s="31">
        <f t="shared" si="24"/>
        <v>1.7667004787118079</v>
      </c>
      <c r="V232" s="31">
        <v>1.7667004787118079</v>
      </c>
    </row>
    <row r="233" spans="1:22" x14ac:dyDescent="0.15">
      <c r="A233" s="38">
        <f t="shared" si="25"/>
        <v>1880</v>
      </c>
      <c r="M233" s="38"/>
      <c r="N233" s="109">
        <v>1.8323707808814127</v>
      </c>
      <c r="O233" s="48"/>
      <c r="U233" s="31">
        <f t="shared" si="24"/>
        <v>1.8323707808814127</v>
      </c>
      <c r="V233" s="31">
        <v>1.8323707808814127</v>
      </c>
    </row>
    <row r="234" spans="1:22" x14ac:dyDescent="0.15">
      <c r="A234" s="38">
        <f t="shared" si="25"/>
        <v>1881</v>
      </c>
      <c r="M234" s="38"/>
      <c r="N234" s="109">
        <v>1.9637113852206227</v>
      </c>
      <c r="O234" s="48"/>
      <c r="U234" s="31">
        <f t="shared" si="24"/>
        <v>1.9637113852206227</v>
      </c>
      <c r="V234" s="31">
        <v>1.9637113852206227</v>
      </c>
    </row>
    <row r="235" spans="1:22" x14ac:dyDescent="0.15">
      <c r="A235" s="38">
        <f t="shared" si="25"/>
        <v>1882</v>
      </c>
      <c r="M235" s="38"/>
      <c r="N235" s="109">
        <v>1.9637113852206227</v>
      </c>
      <c r="O235" s="48"/>
      <c r="U235" s="31">
        <f t="shared" si="24"/>
        <v>1.9637113852206227</v>
      </c>
      <c r="V235" s="31">
        <v>1.9637113852206227</v>
      </c>
    </row>
    <row r="236" spans="1:22" x14ac:dyDescent="0.15">
      <c r="A236" s="38">
        <f t="shared" si="25"/>
        <v>1883</v>
      </c>
      <c r="M236" s="38"/>
      <c r="N236" s="109">
        <v>1.8980410830510177</v>
      </c>
      <c r="O236" s="48"/>
      <c r="U236" s="31">
        <f t="shared" si="24"/>
        <v>1.8980410830510177</v>
      </c>
      <c r="V236" s="31">
        <v>1.8980410830510177</v>
      </c>
    </row>
    <row r="237" spans="1:22" x14ac:dyDescent="0.15">
      <c r="A237" s="38">
        <f t="shared" si="25"/>
        <v>1884</v>
      </c>
      <c r="M237" s="38"/>
      <c r="N237" s="109">
        <v>1.7667004787118079</v>
      </c>
      <c r="O237" s="48"/>
      <c r="U237" s="31">
        <f t="shared" si="24"/>
        <v>1.7667004787118079</v>
      </c>
      <c r="V237" s="31">
        <v>1.7667004787118079</v>
      </c>
    </row>
    <row r="238" spans="1:22" x14ac:dyDescent="0.15">
      <c r="A238" s="38">
        <f t="shared" si="25"/>
        <v>1885</v>
      </c>
      <c r="M238" s="38"/>
      <c r="N238" s="109">
        <v>1.7010301765422027</v>
      </c>
      <c r="O238" s="48"/>
      <c r="U238" s="31">
        <f t="shared" si="24"/>
        <v>1.7010301765422027</v>
      </c>
      <c r="V238" s="31">
        <v>1.7010301765422027</v>
      </c>
    </row>
    <row r="239" spans="1:22" x14ac:dyDescent="0.15">
      <c r="A239" s="38">
        <f t="shared" si="25"/>
        <v>1886</v>
      </c>
      <c r="M239" s="38"/>
      <c r="N239" s="109">
        <v>1.5696895722029929</v>
      </c>
      <c r="O239" s="48"/>
      <c r="U239" s="31">
        <f t="shared" si="24"/>
        <v>1.5696895722029929</v>
      </c>
      <c r="V239" s="31">
        <v>1.5696895722029929</v>
      </c>
    </row>
    <row r="240" spans="1:22" x14ac:dyDescent="0.15">
      <c r="A240" s="38">
        <f t="shared" si="25"/>
        <v>1887</v>
      </c>
      <c r="M240" s="38"/>
      <c r="N240" s="109">
        <v>1.3726786656941781</v>
      </c>
      <c r="O240" s="48"/>
      <c r="U240" s="31">
        <f t="shared" si="24"/>
        <v>1.3726786656941781</v>
      </c>
      <c r="V240" s="31">
        <v>1.3726786656941781</v>
      </c>
    </row>
    <row r="241" spans="1:22" x14ac:dyDescent="0.15">
      <c r="A241" s="38">
        <f t="shared" si="25"/>
        <v>1888</v>
      </c>
      <c r="M241" s="38"/>
      <c r="N241" s="109">
        <v>1.3464105448263359</v>
      </c>
      <c r="O241" s="48"/>
      <c r="U241" s="31">
        <f t="shared" si="24"/>
        <v>1.3464105448263359</v>
      </c>
      <c r="V241" s="31">
        <v>1.3464105448263359</v>
      </c>
    </row>
    <row r="242" spans="1:22" x14ac:dyDescent="0.15">
      <c r="A242" s="38">
        <f t="shared" si="25"/>
        <v>1889</v>
      </c>
      <c r="M242" s="38"/>
      <c r="N242" s="109">
        <v>1.5696895722029929</v>
      </c>
      <c r="O242" s="48"/>
      <c r="U242" s="31">
        <f t="shared" si="24"/>
        <v>1.5696895722029929</v>
      </c>
      <c r="V242" s="31">
        <v>1.5696895722029929</v>
      </c>
    </row>
    <row r="243" spans="1:22" x14ac:dyDescent="0.15">
      <c r="A243" s="38">
        <f t="shared" si="25"/>
        <v>1890</v>
      </c>
      <c r="M243" s="38"/>
      <c r="N243" s="109">
        <v>1.5696895722029929</v>
      </c>
      <c r="O243" s="48"/>
      <c r="U243" s="31">
        <f t="shared" si="24"/>
        <v>1.5696895722029929</v>
      </c>
      <c r="V243" s="31">
        <v>1.5696895722029929</v>
      </c>
    </row>
    <row r="244" spans="1:22" x14ac:dyDescent="0.15">
      <c r="A244" s="38">
        <f t="shared" si="25"/>
        <v>1891</v>
      </c>
      <c r="M244" s="38"/>
      <c r="N244" s="109">
        <v>1.5696895722029929</v>
      </c>
      <c r="O244" s="48"/>
      <c r="U244" s="31">
        <f t="shared" si="24"/>
        <v>1.5696895722029929</v>
      </c>
      <c r="V244" s="31">
        <v>1.5696895722029929</v>
      </c>
    </row>
    <row r="245" spans="1:22" x14ac:dyDescent="0.15">
      <c r="A245" s="38">
        <f t="shared" si="25"/>
        <v>1892</v>
      </c>
      <c r="M245" s="38"/>
      <c r="N245" s="109">
        <v>1.5040192700333879</v>
      </c>
      <c r="O245" s="48"/>
      <c r="U245" s="31">
        <f t="shared" si="24"/>
        <v>1.5040192700333879</v>
      </c>
      <c r="V245" s="31">
        <v>1.5040192700333879</v>
      </c>
    </row>
    <row r="246" spans="1:22" x14ac:dyDescent="0.15">
      <c r="A246" s="38">
        <f t="shared" si="25"/>
        <v>1893</v>
      </c>
      <c r="M246" s="38"/>
      <c r="N246" s="109">
        <v>1.5696895722029929</v>
      </c>
      <c r="O246" s="48"/>
      <c r="U246" s="31">
        <f t="shared" si="24"/>
        <v>1.5696895722029929</v>
      </c>
      <c r="V246" s="31">
        <v>1.5696895722029929</v>
      </c>
    </row>
    <row r="247" spans="1:22" x14ac:dyDescent="0.15">
      <c r="A247" s="38">
        <f t="shared" si="25"/>
        <v>1894</v>
      </c>
      <c r="M247" s="38"/>
      <c r="N247" s="109">
        <v>1.5040192700333879</v>
      </c>
      <c r="O247" s="48"/>
      <c r="U247" s="31">
        <f t="shared" si="24"/>
        <v>1.5040192700333879</v>
      </c>
      <c r="V247" s="31">
        <v>1.5040192700333879</v>
      </c>
    </row>
    <row r="248" spans="1:22" x14ac:dyDescent="0.15">
      <c r="A248" s="38">
        <f t="shared" si="25"/>
        <v>1895</v>
      </c>
      <c r="M248" s="38"/>
      <c r="N248" s="109">
        <v>1.5040192700333879</v>
      </c>
      <c r="O248" s="48"/>
      <c r="U248" s="31">
        <f t="shared" si="24"/>
        <v>1.5040192700333879</v>
      </c>
      <c r="V248" s="31">
        <v>1.5040192700333879</v>
      </c>
    </row>
    <row r="249" spans="1:22" x14ac:dyDescent="0.15">
      <c r="A249" s="38">
        <f t="shared" si="25"/>
        <v>1896</v>
      </c>
      <c r="M249" s="38"/>
      <c r="N249" s="109">
        <v>1.5040192700333879</v>
      </c>
      <c r="O249" s="48"/>
      <c r="U249" s="31">
        <f t="shared" si="24"/>
        <v>1.5040192700333879</v>
      </c>
      <c r="V249" s="31">
        <v>1.5040192700333879</v>
      </c>
    </row>
    <row r="250" spans="1:22" x14ac:dyDescent="0.15">
      <c r="A250" s="38">
        <f t="shared" si="25"/>
        <v>1897</v>
      </c>
      <c r="M250" s="38"/>
      <c r="N250" s="109">
        <v>1.4055138167789802</v>
      </c>
      <c r="O250" s="48"/>
      <c r="U250" s="31">
        <f t="shared" si="24"/>
        <v>1.4055138167789802</v>
      </c>
      <c r="V250" s="31">
        <v>1.4055138167789802</v>
      </c>
    </row>
    <row r="251" spans="1:22" x14ac:dyDescent="0.15">
      <c r="A251" s="38">
        <f t="shared" si="25"/>
        <v>1898</v>
      </c>
      <c r="M251" s="38"/>
      <c r="N251" s="109">
        <v>1.3070083635245731</v>
      </c>
      <c r="O251" s="48"/>
      <c r="U251" s="31">
        <f t="shared" si="24"/>
        <v>1.3070083635245731</v>
      </c>
      <c r="V251" s="31">
        <v>1.3070083635245731</v>
      </c>
    </row>
    <row r="252" spans="1:22" x14ac:dyDescent="0.15">
      <c r="A252" s="38">
        <f t="shared" si="25"/>
        <v>1899</v>
      </c>
      <c r="M252" s="38"/>
      <c r="N252" s="109">
        <v>1.3070083635245731</v>
      </c>
      <c r="O252" s="48"/>
      <c r="U252" s="31">
        <f t="shared" si="24"/>
        <v>1.3070083635245731</v>
      </c>
      <c r="V252" s="31">
        <v>1.3070083635245731</v>
      </c>
    </row>
    <row r="253" spans="1:22" x14ac:dyDescent="0.15">
      <c r="A253" s="38">
        <f t="shared" si="25"/>
        <v>1900</v>
      </c>
      <c r="M253" s="38"/>
      <c r="N253" s="109">
        <v>1.3070083635245731</v>
      </c>
      <c r="O253" s="48"/>
      <c r="U253" s="31">
        <f t="shared" si="24"/>
        <v>1.3070083635245731</v>
      </c>
      <c r="V253" s="31">
        <v>1.3070083635245731</v>
      </c>
    </row>
    <row r="254" spans="1:22" x14ac:dyDescent="0.15">
      <c r="A254" s="38">
        <f t="shared" si="25"/>
        <v>1901</v>
      </c>
      <c r="M254" s="38"/>
      <c r="N254" s="109">
        <v>1.4383489678637829</v>
      </c>
      <c r="O254" s="48"/>
      <c r="U254" s="31">
        <f t="shared" si="24"/>
        <v>1.4383489678637829</v>
      </c>
      <c r="V254" s="31">
        <v>1.4383489678637829</v>
      </c>
    </row>
    <row r="255" spans="1:22" x14ac:dyDescent="0.15">
      <c r="A255" s="38">
        <f t="shared" si="25"/>
        <v>1902</v>
      </c>
      <c r="M255" s="38"/>
      <c r="N255" s="109">
        <v>1.4383489678637829</v>
      </c>
      <c r="O255" s="48"/>
      <c r="U255" s="31">
        <f t="shared" si="24"/>
        <v>1.4383489678637829</v>
      </c>
      <c r="V255" s="31">
        <v>1.4383489678637829</v>
      </c>
    </row>
    <row r="256" spans="1:22" x14ac:dyDescent="0.15">
      <c r="A256" s="38">
        <f t="shared" si="25"/>
        <v>1903</v>
      </c>
      <c r="M256" s="38"/>
      <c r="N256" s="109">
        <v>1.1756677591853633</v>
      </c>
      <c r="O256" s="48"/>
      <c r="U256" s="31">
        <f t="shared" si="24"/>
        <v>1.1756677591853633</v>
      </c>
      <c r="V256" s="31">
        <v>1.1756677591853633</v>
      </c>
    </row>
    <row r="257" spans="1:22" x14ac:dyDescent="0.15">
      <c r="A257" s="38">
        <f t="shared" si="25"/>
        <v>1904</v>
      </c>
      <c r="M257" s="38"/>
      <c r="N257" s="109">
        <v>1.1756677591853633</v>
      </c>
      <c r="O257" s="48"/>
      <c r="U257" s="31">
        <f t="shared" si="24"/>
        <v>1.1756677591853633</v>
      </c>
      <c r="V257" s="31">
        <v>1.1756677591853633</v>
      </c>
    </row>
    <row r="258" spans="1:22" x14ac:dyDescent="0.15">
      <c r="A258" s="38">
        <f t="shared" si="25"/>
        <v>1905</v>
      </c>
      <c r="M258" s="38"/>
      <c r="N258" s="109">
        <v>1.1756677591853633</v>
      </c>
      <c r="O258" s="48"/>
      <c r="U258" s="31">
        <f t="shared" si="24"/>
        <v>1.1756677591853633</v>
      </c>
      <c r="V258" s="31">
        <v>1.1756677591853633</v>
      </c>
    </row>
    <row r="259" spans="1:22" x14ac:dyDescent="0.15">
      <c r="A259" s="38">
        <f t="shared" si="25"/>
        <v>1906</v>
      </c>
      <c r="M259" s="38"/>
      <c r="N259" s="109">
        <v>1.1756677591853633</v>
      </c>
      <c r="O259" s="48"/>
      <c r="U259" s="31">
        <f t="shared" si="24"/>
        <v>1.1756677591853633</v>
      </c>
      <c r="V259" s="31">
        <v>1.1756677591853633</v>
      </c>
    </row>
    <row r="260" spans="1:22" x14ac:dyDescent="0.15">
      <c r="A260" s="38">
        <f t="shared" si="25"/>
        <v>1907</v>
      </c>
      <c r="M260" s="38"/>
      <c r="N260" s="109">
        <v>1.1756677591853633</v>
      </c>
      <c r="O260" s="48"/>
      <c r="U260" s="31">
        <f t="shared" si="24"/>
        <v>1.1756677591853633</v>
      </c>
      <c r="V260" s="31">
        <v>1.1756677591853633</v>
      </c>
    </row>
    <row r="261" spans="1:22" x14ac:dyDescent="0.15">
      <c r="A261" s="38">
        <f t="shared" si="25"/>
        <v>1908</v>
      </c>
      <c r="M261" s="38"/>
      <c r="N261" s="109">
        <v>1.3726786656941781</v>
      </c>
      <c r="O261" s="48"/>
      <c r="U261" s="31">
        <f t="shared" si="24"/>
        <v>1.3726786656941781</v>
      </c>
      <c r="V261" s="31">
        <v>1.3726786656941781</v>
      </c>
    </row>
    <row r="262" spans="1:22" x14ac:dyDescent="0.15">
      <c r="A262" s="38">
        <f t="shared" si="25"/>
        <v>1909</v>
      </c>
      <c r="M262" s="38"/>
      <c r="N262" s="109">
        <v>1.3726786656941781</v>
      </c>
      <c r="O262" s="48"/>
      <c r="U262" s="31">
        <f t="shared" si="24"/>
        <v>1.3726786656941781</v>
      </c>
      <c r="V262" s="31">
        <v>1.3726786656941781</v>
      </c>
    </row>
    <row r="263" spans="1:22" x14ac:dyDescent="0.15">
      <c r="A263" s="38">
        <f t="shared" si="25"/>
        <v>1910</v>
      </c>
      <c r="M263" s="38"/>
      <c r="N263" s="109">
        <v>1.3726786656941781</v>
      </c>
      <c r="O263" s="48"/>
      <c r="U263" s="31">
        <f t="shared" si="24"/>
        <v>1.3726786656941781</v>
      </c>
      <c r="V263" s="31">
        <v>1.3726786656941781</v>
      </c>
    </row>
    <row r="264" spans="1:22" x14ac:dyDescent="0.15">
      <c r="U264" s="113"/>
    </row>
    <row r="265" spans="1:22" x14ac:dyDescent="0.15">
      <c r="U265" s="113"/>
    </row>
    <row r="266" spans="1:22" x14ac:dyDescent="0.15">
      <c r="U266" s="113"/>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67"/>
  <sheetViews>
    <sheetView zoomScale="85" zoomScaleNormal="85" zoomScalePageLayoutView="85" workbookViewId="0">
      <pane xSplit="1" ySplit="6" topLeftCell="B7" activePane="bottomRight" state="frozen"/>
      <selection pane="topRight" activeCell="B1" sqref="B1"/>
      <selection pane="bottomLeft" activeCell="A7" sqref="A7"/>
      <selection pane="bottomRight" activeCell="Q4" sqref="Q4"/>
    </sheetView>
  </sheetViews>
  <sheetFormatPr baseColWidth="10" defaultColWidth="8.83203125" defaultRowHeight="13" x14ac:dyDescent="0.15"/>
  <cols>
    <col min="1" max="1" width="8.83203125" style="38"/>
    <col min="2" max="2" width="8.83203125" style="29"/>
    <col min="9" max="9" width="8.83203125" style="48"/>
  </cols>
  <sheetData>
    <row r="1" spans="1:17" x14ac:dyDescent="0.15">
      <c r="B1" s="45" t="s">
        <v>62</v>
      </c>
      <c r="C1" s="107"/>
      <c r="D1" s="107"/>
      <c r="E1" s="107"/>
      <c r="F1" s="107"/>
      <c r="G1" s="107"/>
      <c r="H1" s="107"/>
      <c r="J1" s="23" t="s">
        <v>63</v>
      </c>
      <c r="K1" s="107"/>
      <c r="L1" s="107"/>
      <c r="M1" s="107"/>
      <c r="N1" s="107"/>
      <c r="O1" s="107" t="s">
        <v>66</v>
      </c>
    </row>
    <row r="2" spans="1:17" x14ac:dyDescent="0.15">
      <c r="B2" s="109"/>
      <c r="C2" s="107"/>
      <c r="D2" s="107"/>
      <c r="E2" s="107"/>
      <c r="F2" s="107"/>
      <c r="G2" s="107"/>
      <c r="H2" s="107"/>
      <c r="J2" s="107"/>
      <c r="K2" s="107"/>
      <c r="L2" s="107"/>
      <c r="M2" s="107"/>
      <c r="N2" s="107"/>
      <c r="O2" s="107" t="s">
        <v>67</v>
      </c>
    </row>
    <row r="3" spans="1:17" x14ac:dyDescent="0.15">
      <c r="A3" s="38" t="s">
        <v>68</v>
      </c>
      <c r="B3" s="109" t="s">
        <v>72</v>
      </c>
      <c r="C3" s="107" t="s">
        <v>73</v>
      </c>
      <c r="D3" s="107" t="s">
        <v>74</v>
      </c>
      <c r="E3" s="107" t="s">
        <v>78</v>
      </c>
      <c r="F3" s="107" t="s">
        <v>94</v>
      </c>
      <c r="G3" s="107" t="s">
        <v>78</v>
      </c>
      <c r="H3" s="107" t="s">
        <v>95</v>
      </c>
      <c r="J3" s="107"/>
      <c r="K3" s="107"/>
      <c r="L3" s="107" t="s">
        <v>65</v>
      </c>
      <c r="M3" s="107" t="s">
        <v>65</v>
      </c>
      <c r="N3" s="107" t="s">
        <v>65</v>
      </c>
      <c r="O3" s="107"/>
    </row>
    <row r="4" spans="1:17" x14ac:dyDescent="0.15">
      <c r="A4" s="31" t="s">
        <v>84</v>
      </c>
      <c r="B4" s="109" t="s">
        <v>85</v>
      </c>
      <c r="C4" s="107" t="s">
        <v>85</v>
      </c>
      <c r="D4" s="107" t="s">
        <v>87</v>
      </c>
      <c r="E4" s="107" t="s">
        <v>87</v>
      </c>
      <c r="F4" s="107" t="s">
        <v>87</v>
      </c>
      <c r="G4" s="107" t="s">
        <v>88</v>
      </c>
      <c r="H4" s="107" t="s">
        <v>55</v>
      </c>
      <c r="J4" s="107" t="s">
        <v>85</v>
      </c>
      <c r="K4" s="107" t="s">
        <v>87</v>
      </c>
      <c r="L4" s="107" t="s">
        <v>88</v>
      </c>
      <c r="M4" s="107" t="s">
        <v>55</v>
      </c>
      <c r="N4" s="107" t="s">
        <v>55</v>
      </c>
      <c r="O4" s="107" t="s">
        <v>55</v>
      </c>
      <c r="Q4" s="31" t="s">
        <v>1031</v>
      </c>
    </row>
    <row r="5" spans="1:17" x14ac:dyDescent="0.15">
      <c r="A5" s="31" t="s">
        <v>91</v>
      </c>
      <c r="B5" s="107" t="s">
        <v>92</v>
      </c>
      <c r="C5" s="107" t="s">
        <v>92</v>
      </c>
      <c r="D5" s="107" t="s">
        <v>92</v>
      </c>
      <c r="E5" s="107" t="s">
        <v>92</v>
      </c>
      <c r="F5" s="107" t="s">
        <v>92</v>
      </c>
      <c r="G5" s="107" t="s">
        <v>92</v>
      </c>
      <c r="H5" s="107" t="s">
        <v>51</v>
      </c>
      <c r="J5" s="107" t="s">
        <v>92</v>
      </c>
      <c r="K5" s="107" t="s">
        <v>92</v>
      </c>
      <c r="L5" s="107" t="s">
        <v>92</v>
      </c>
      <c r="M5" s="107" t="s">
        <v>92</v>
      </c>
      <c r="N5" s="107" t="s">
        <v>51</v>
      </c>
      <c r="O5" s="107" t="s">
        <v>51</v>
      </c>
    </row>
    <row r="7" spans="1:17" x14ac:dyDescent="0.15">
      <c r="A7" s="38">
        <v>1653</v>
      </c>
      <c r="B7" s="109">
        <v>4.2507059800664448</v>
      </c>
      <c r="C7" s="109"/>
      <c r="D7" s="107"/>
      <c r="E7" s="107"/>
      <c r="F7" s="107"/>
      <c r="G7" s="107"/>
      <c r="H7" s="107"/>
      <c r="J7" s="109">
        <f>AVERAGE(B7:C7)</f>
        <v>4.2507059800664448</v>
      </c>
      <c r="K7" s="107"/>
      <c r="L7" s="107"/>
      <c r="M7" s="31">
        <f>J7*7.84</f>
        <v>33.325534883720927</v>
      </c>
      <c r="N7" s="31">
        <f>M7/(111.5*0.772)</f>
        <v>0.38715507892517165</v>
      </c>
      <c r="O7" s="31">
        <v>0.38715507892517165</v>
      </c>
    </row>
    <row r="8" spans="1:17" x14ac:dyDescent="0.15">
      <c r="A8" s="38">
        <f t="shared" ref="A8:A52" si="0">A9-1</f>
        <v>1654</v>
      </c>
      <c r="B8" s="109"/>
      <c r="C8" s="109"/>
      <c r="D8" s="107"/>
      <c r="E8" s="107"/>
      <c r="F8" s="107"/>
      <c r="G8" s="107"/>
      <c r="H8" s="107"/>
      <c r="J8" s="109"/>
      <c r="K8" s="107"/>
      <c r="L8" s="107"/>
      <c r="M8" s="107"/>
      <c r="N8" s="107"/>
      <c r="O8" s="55">
        <f t="shared" ref="O8:O15" si="1">O7+($O$16-$O$7)/9</f>
        <v>0.53844223852496498</v>
      </c>
    </row>
    <row r="9" spans="1:17" x14ac:dyDescent="0.15">
      <c r="A9" s="38">
        <f t="shared" si="0"/>
        <v>1655</v>
      </c>
      <c r="B9" s="109"/>
      <c r="C9" s="109"/>
      <c r="D9" s="107"/>
      <c r="E9" s="107"/>
      <c r="F9" s="107"/>
      <c r="G9" s="107"/>
      <c r="H9" s="107"/>
      <c r="J9" s="109"/>
      <c r="K9" s="107"/>
      <c r="L9" s="107"/>
      <c r="M9" s="107"/>
      <c r="N9" s="107"/>
      <c r="O9" s="55">
        <f t="shared" si="1"/>
        <v>0.68972939812475831</v>
      </c>
    </row>
    <row r="10" spans="1:17" x14ac:dyDescent="0.15">
      <c r="A10" s="38">
        <f t="shared" si="0"/>
        <v>1656</v>
      </c>
      <c r="B10" s="109"/>
      <c r="C10" s="109"/>
      <c r="D10" s="107"/>
      <c r="E10" s="107"/>
      <c r="F10" s="107"/>
      <c r="G10" s="107"/>
      <c r="H10" s="107"/>
      <c r="J10" s="109"/>
      <c r="K10" s="107"/>
      <c r="L10" s="107"/>
      <c r="M10" s="107"/>
      <c r="N10" s="107"/>
      <c r="O10" s="55">
        <f t="shared" si="1"/>
        <v>0.84101655772455164</v>
      </c>
    </row>
    <row r="11" spans="1:17" x14ac:dyDescent="0.15">
      <c r="A11" s="38">
        <f t="shared" si="0"/>
        <v>1657</v>
      </c>
      <c r="B11" s="109"/>
      <c r="C11" s="109"/>
      <c r="D11" s="107"/>
      <c r="E11" s="107"/>
      <c r="F11" s="107"/>
      <c r="G11" s="107"/>
      <c r="H11" s="107"/>
      <c r="J11" s="109"/>
      <c r="K11" s="107"/>
      <c r="L11" s="107"/>
      <c r="M11" s="107"/>
      <c r="N11" s="107"/>
      <c r="O11" s="55">
        <f t="shared" si="1"/>
        <v>0.99230371732434497</v>
      </c>
    </row>
    <row r="12" spans="1:17" x14ac:dyDescent="0.15">
      <c r="A12" s="38">
        <f t="shared" si="0"/>
        <v>1658</v>
      </c>
      <c r="B12" s="109"/>
      <c r="C12" s="109"/>
      <c r="D12" s="107"/>
      <c r="E12" s="107"/>
      <c r="F12" s="107"/>
      <c r="G12" s="107"/>
      <c r="H12" s="107"/>
      <c r="J12" s="109"/>
      <c r="K12" s="107"/>
      <c r="L12" s="107"/>
      <c r="M12" s="107"/>
      <c r="N12" s="107"/>
      <c r="O12" s="55">
        <f t="shared" si="1"/>
        <v>1.1435908769241383</v>
      </c>
    </row>
    <row r="13" spans="1:17" x14ac:dyDescent="0.15">
      <c r="A13" s="38">
        <f t="shared" si="0"/>
        <v>1659</v>
      </c>
      <c r="B13" s="109"/>
      <c r="C13" s="109"/>
      <c r="D13" s="107"/>
      <c r="E13" s="107"/>
      <c r="F13" s="107"/>
      <c r="G13" s="107"/>
      <c r="H13" s="107"/>
      <c r="J13" s="109"/>
      <c r="K13" s="107"/>
      <c r="L13" s="107"/>
      <c r="M13" s="107"/>
      <c r="N13" s="107"/>
      <c r="O13" s="55">
        <f t="shared" si="1"/>
        <v>1.2948780365239316</v>
      </c>
    </row>
    <row r="14" spans="1:17" x14ac:dyDescent="0.15">
      <c r="A14" s="38">
        <f t="shared" si="0"/>
        <v>1660</v>
      </c>
      <c r="B14" s="109"/>
      <c r="C14" s="109"/>
      <c r="D14" s="107"/>
      <c r="E14" s="107"/>
      <c r="F14" s="107"/>
      <c r="G14" s="107"/>
      <c r="H14" s="107"/>
      <c r="J14" s="109"/>
      <c r="K14" s="107"/>
      <c r="L14" s="107"/>
      <c r="M14" s="107"/>
      <c r="N14" s="107"/>
      <c r="O14" s="55">
        <f t="shared" si="1"/>
        <v>1.446165196123725</v>
      </c>
    </row>
    <row r="15" spans="1:17" x14ac:dyDescent="0.15">
      <c r="A15" s="38">
        <f t="shared" si="0"/>
        <v>1661</v>
      </c>
      <c r="B15" s="109"/>
      <c r="C15" s="109"/>
      <c r="D15" s="107"/>
      <c r="E15" s="107"/>
      <c r="F15" s="107"/>
      <c r="G15" s="107"/>
      <c r="H15" s="107"/>
      <c r="J15" s="109"/>
      <c r="K15" s="107"/>
      <c r="L15" s="107"/>
      <c r="M15" s="107"/>
      <c r="N15" s="107"/>
      <c r="O15" s="55">
        <f t="shared" si="1"/>
        <v>1.5974523557235183</v>
      </c>
    </row>
    <row r="16" spans="1:17" x14ac:dyDescent="0.15">
      <c r="A16" s="38">
        <f t="shared" si="0"/>
        <v>1662</v>
      </c>
      <c r="B16" s="109">
        <v>19.2</v>
      </c>
      <c r="C16" s="109"/>
      <c r="D16" s="107"/>
      <c r="E16" s="107"/>
      <c r="F16" s="107"/>
      <c r="G16" s="107"/>
      <c r="H16" s="107"/>
      <c r="J16" s="109">
        <f>AVERAGE(B16:C16)</f>
        <v>19.2</v>
      </c>
      <c r="K16" s="107"/>
      <c r="L16" s="107"/>
      <c r="M16" s="31">
        <f>J16*7.84</f>
        <v>150.52799999999999</v>
      </c>
      <c r="N16" s="31">
        <f>M16/(111.5*0.772)</f>
        <v>1.7487395153233112</v>
      </c>
      <c r="O16" s="31">
        <v>1.7487395153233112</v>
      </c>
    </row>
    <row r="17" spans="1:15" x14ac:dyDescent="0.15">
      <c r="A17" s="38">
        <f t="shared" si="0"/>
        <v>1663</v>
      </c>
      <c r="B17" s="109">
        <v>19.24210829078881</v>
      </c>
      <c r="C17" s="109"/>
      <c r="D17" s="107"/>
      <c r="E17" s="107"/>
      <c r="F17" s="107"/>
      <c r="G17" s="107"/>
      <c r="H17" s="107"/>
      <c r="J17" s="109">
        <f>AVERAGE(B17:C17)</f>
        <v>19.24210829078881</v>
      </c>
      <c r="K17" s="107"/>
      <c r="L17" s="107"/>
      <c r="M17" s="31">
        <f>J17*7.84</f>
        <v>150.85812899978427</v>
      </c>
      <c r="N17" s="31">
        <f>M17/(111.5*0.772)</f>
        <v>1.7525747461579528</v>
      </c>
      <c r="O17" s="31">
        <v>1.7525747461579528</v>
      </c>
    </row>
    <row r="18" spans="1:15" x14ac:dyDescent="0.15">
      <c r="A18" s="38">
        <f t="shared" si="0"/>
        <v>1664</v>
      </c>
      <c r="B18" s="109"/>
      <c r="C18" s="109"/>
      <c r="D18" s="107"/>
      <c r="E18" s="107"/>
      <c r="F18" s="107"/>
      <c r="G18" s="107"/>
      <c r="H18" s="107"/>
      <c r="J18" s="109"/>
      <c r="K18" s="107"/>
      <c r="L18" s="107"/>
      <c r="M18" s="107"/>
      <c r="N18" s="107"/>
      <c r="O18" s="55">
        <f>O17+($O$19-$O$17)/2</f>
        <v>1.750657130740632</v>
      </c>
    </row>
    <row r="19" spans="1:15" x14ac:dyDescent="0.15">
      <c r="A19" s="38">
        <f t="shared" si="0"/>
        <v>1665</v>
      </c>
      <c r="B19" s="109">
        <v>19.2</v>
      </c>
      <c r="C19" s="109"/>
      <c r="D19" s="107"/>
      <c r="E19" s="107"/>
      <c r="F19" s="107"/>
      <c r="G19" s="107"/>
      <c r="H19" s="107"/>
      <c r="J19" s="109">
        <f>AVERAGE(B19:C19)</f>
        <v>19.2</v>
      </c>
      <c r="K19" s="107"/>
      <c r="L19" s="107"/>
      <c r="M19" s="31">
        <f t="shared" ref="M19:M20" si="2">J19*7.84</f>
        <v>150.52799999999999</v>
      </c>
      <c r="N19" s="31">
        <f t="shared" ref="N19:N20" si="3">M19/(111.5*0.772)</f>
        <v>1.7487395153233112</v>
      </c>
      <c r="O19" s="31">
        <v>1.7487395153233112</v>
      </c>
    </row>
    <row r="20" spans="1:15" x14ac:dyDescent="0.15">
      <c r="A20" s="38">
        <f t="shared" si="0"/>
        <v>1666</v>
      </c>
      <c r="B20" s="109">
        <v>19.2</v>
      </c>
      <c r="C20" s="109"/>
      <c r="D20" s="107"/>
      <c r="E20" s="107"/>
      <c r="F20" s="107"/>
      <c r="G20" s="107"/>
      <c r="H20" s="107"/>
      <c r="J20" s="109">
        <f>AVERAGE(B20:C20)</f>
        <v>19.2</v>
      </c>
      <c r="K20" s="107"/>
      <c r="L20" s="107"/>
      <c r="M20" s="31">
        <f t="shared" si="2"/>
        <v>150.52799999999999</v>
      </c>
      <c r="N20" s="31">
        <f t="shared" si="3"/>
        <v>1.7487395153233112</v>
      </c>
      <c r="O20" s="31">
        <v>1.7487395153233112</v>
      </c>
    </row>
    <row r="21" spans="1:15" x14ac:dyDescent="0.15">
      <c r="A21" s="38">
        <f t="shared" si="0"/>
        <v>1667</v>
      </c>
      <c r="B21" s="109"/>
      <c r="C21" s="109"/>
      <c r="D21" s="107"/>
      <c r="E21" s="107"/>
      <c r="F21" s="107"/>
      <c r="G21" s="107"/>
      <c r="H21" s="107"/>
      <c r="J21" s="107"/>
      <c r="K21" s="107"/>
      <c r="L21" s="107"/>
      <c r="M21" s="107"/>
      <c r="N21" s="107"/>
      <c r="O21" s="55">
        <f t="shared" ref="O21:O49" si="4">O20+($O$50-$O$20)/30</f>
        <v>1.7633123446176722</v>
      </c>
    </row>
    <row r="22" spans="1:15" x14ac:dyDescent="0.15">
      <c r="A22" s="38">
        <f t="shared" si="0"/>
        <v>1668</v>
      </c>
      <c r="B22" s="109"/>
      <c r="C22" s="109"/>
      <c r="D22" s="107"/>
      <c r="E22" s="107"/>
      <c r="F22" s="107"/>
      <c r="G22" s="107"/>
      <c r="H22" s="107"/>
      <c r="J22" s="107"/>
      <c r="K22" s="107"/>
      <c r="L22" s="107"/>
      <c r="M22" s="107"/>
      <c r="N22" s="107"/>
      <c r="O22" s="55">
        <f t="shared" si="4"/>
        <v>1.7778851739120332</v>
      </c>
    </row>
    <row r="23" spans="1:15" x14ac:dyDescent="0.15">
      <c r="A23" s="38">
        <f t="shared" si="0"/>
        <v>1669</v>
      </c>
      <c r="B23" s="109"/>
      <c r="C23" s="109"/>
      <c r="D23" s="107"/>
      <c r="E23" s="107"/>
      <c r="F23" s="107"/>
      <c r="G23" s="107"/>
      <c r="H23" s="107"/>
      <c r="J23" s="107"/>
      <c r="K23" s="107"/>
      <c r="L23" s="107"/>
      <c r="M23" s="107"/>
      <c r="N23" s="107"/>
      <c r="O23" s="55">
        <f t="shared" si="4"/>
        <v>1.7924580032063941</v>
      </c>
    </row>
    <row r="24" spans="1:15" x14ac:dyDescent="0.15">
      <c r="A24" s="38">
        <f t="shared" si="0"/>
        <v>1670</v>
      </c>
      <c r="B24" s="109"/>
      <c r="C24" s="109"/>
      <c r="D24" s="107"/>
      <c r="E24" s="107"/>
      <c r="F24" s="107"/>
      <c r="G24" s="107"/>
      <c r="H24" s="107"/>
      <c r="J24" s="107"/>
      <c r="K24" s="107"/>
      <c r="L24" s="107"/>
      <c r="M24" s="107"/>
      <c r="N24" s="107"/>
      <c r="O24" s="55">
        <f t="shared" si="4"/>
        <v>1.8070308325007551</v>
      </c>
    </row>
    <row r="25" spans="1:15" x14ac:dyDescent="0.15">
      <c r="A25" s="38">
        <f t="shared" si="0"/>
        <v>1671</v>
      </c>
      <c r="B25" s="109"/>
      <c r="C25" s="109"/>
      <c r="D25" s="107"/>
      <c r="E25" s="107"/>
      <c r="F25" s="107"/>
      <c r="G25" s="107"/>
      <c r="H25" s="107"/>
      <c r="J25" s="107"/>
      <c r="K25" s="107"/>
      <c r="L25" s="107"/>
      <c r="M25" s="107"/>
      <c r="N25" s="107"/>
      <c r="O25" s="55">
        <f t="shared" si="4"/>
        <v>1.8216036617951161</v>
      </c>
    </row>
    <row r="26" spans="1:15" x14ac:dyDescent="0.15">
      <c r="A26" s="38">
        <f t="shared" si="0"/>
        <v>1672</v>
      </c>
      <c r="B26" s="109"/>
      <c r="C26" s="109"/>
      <c r="D26" s="107"/>
      <c r="E26" s="107"/>
      <c r="F26" s="107"/>
      <c r="G26" s="107"/>
      <c r="H26" s="107"/>
      <c r="J26" s="107"/>
      <c r="K26" s="107"/>
      <c r="L26" s="107"/>
      <c r="M26" s="107"/>
      <c r="N26" s="107"/>
      <c r="O26" s="55">
        <f t="shared" si="4"/>
        <v>1.8361764910894771</v>
      </c>
    </row>
    <row r="27" spans="1:15" x14ac:dyDescent="0.15">
      <c r="A27" s="38">
        <f t="shared" si="0"/>
        <v>1673</v>
      </c>
      <c r="B27" s="109"/>
      <c r="C27" s="109"/>
      <c r="D27" s="107"/>
      <c r="E27" s="107"/>
      <c r="F27" s="107"/>
      <c r="G27" s="107"/>
      <c r="H27" s="107"/>
      <c r="J27" s="107"/>
      <c r="K27" s="107"/>
      <c r="L27" s="107"/>
      <c r="M27" s="107"/>
      <c r="N27" s="107"/>
      <c r="O27" s="55">
        <f t="shared" si="4"/>
        <v>1.8507493203838381</v>
      </c>
    </row>
    <row r="28" spans="1:15" x14ac:dyDescent="0.15">
      <c r="A28" s="38">
        <f t="shared" si="0"/>
        <v>1674</v>
      </c>
      <c r="B28" s="109"/>
      <c r="C28" s="109"/>
      <c r="D28" s="107"/>
      <c r="E28" s="107"/>
      <c r="F28" s="107"/>
      <c r="G28" s="107"/>
      <c r="H28" s="107"/>
      <c r="J28" s="107"/>
      <c r="K28" s="107"/>
      <c r="L28" s="107"/>
      <c r="M28" s="107"/>
      <c r="N28" s="107"/>
      <c r="O28" s="55">
        <f t="shared" si="4"/>
        <v>1.8653221496781991</v>
      </c>
    </row>
    <row r="29" spans="1:15" x14ac:dyDescent="0.15">
      <c r="A29" s="38">
        <f t="shared" si="0"/>
        <v>1675</v>
      </c>
      <c r="B29" s="109"/>
      <c r="C29" s="109"/>
      <c r="D29" s="107"/>
      <c r="E29" s="107"/>
      <c r="F29" s="107"/>
      <c r="G29" s="107"/>
      <c r="H29" s="107"/>
      <c r="J29" s="107"/>
      <c r="K29" s="107"/>
      <c r="L29" s="107"/>
      <c r="M29" s="107"/>
      <c r="N29" s="107"/>
      <c r="O29" s="55">
        <f t="shared" si="4"/>
        <v>1.8798949789725601</v>
      </c>
    </row>
    <row r="30" spans="1:15" x14ac:dyDescent="0.15">
      <c r="A30" s="38">
        <f t="shared" si="0"/>
        <v>1676</v>
      </c>
      <c r="B30" s="109"/>
      <c r="C30" s="109"/>
      <c r="D30" s="107"/>
      <c r="E30" s="107"/>
      <c r="F30" s="107"/>
      <c r="G30" s="107"/>
      <c r="H30" s="107"/>
      <c r="J30" s="107"/>
      <c r="K30" s="107"/>
      <c r="L30" s="107"/>
      <c r="M30" s="107"/>
      <c r="N30" s="107"/>
      <c r="O30" s="55">
        <f t="shared" si="4"/>
        <v>1.8944678082669211</v>
      </c>
    </row>
    <row r="31" spans="1:15" x14ac:dyDescent="0.15">
      <c r="A31" s="38">
        <f t="shared" si="0"/>
        <v>1677</v>
      </c>
      <c r="B31" s="109"/>
      <c r="C31" s="109"/>
      <c r="D31" s="107"/>
      <c r="E31" s="107"/>
      <c r="F31" s="107"/>
      <c r="G31" s="107"/>
      <c r="H31" s="107"/>
      <c r="J31" s="107"/>
      <c r="K31" s="107"/>
      <c r="L31" s="107"/>
      <c r="M31" s="107"/>
      <c r="N31" s="107"/>
      <c r="O31" s="55">
        <f t="shared" si="4"/>
        <v>1.9090406375612821</v>
      </c>
    </row>
    <row r="32" spans="1:15" x14ac:dyDescent="0.15">
      <c r="A32" s="38">
        <f t="shared" si="0"/>
        <v>1678</v>
      </c>
      <c r="B32" s="109"/>
      <c r="C32" s="109"/>
      <c r="D32" s="107"/>
      <c r="E32" s="107"/>
      <c r="F32" s="107"/>
      <c r="G32" s="107"/>
      <c r="H32" s="107"/>
      <c r="J32" s="107"/>
      <c r="K32" s="107"/>
      <c r="L32" s="107"/>
      <c r="M32" s="107"/>
      <c r="N32" s="107"/>
      <c r="O32" s="55">
        <f t="shared" si="4"/>
        <v>1.9236134668556431</v>
      </c>
    </row>
    <row r="33" spans="1:15" x14ac:dyDescent="0.15">
      <c r="A33" s="38">
        <f t="shared" si="0"/>
        <v>1679</v>
      </c>
      <c r="B33" s="109"/>
      <c r="C33" s="109"/>
      <c r="D33" s="107"/>
      <c r="E33" s="107"/>
      <c r="F33" s="107"/>
      <c r="G33" s="107"/>
      <c r="H33" s="107"/>
      <c r="J33" s="107"/>
      <c r="K33" s="107"/>
      <c r="L33" s="107"/>
      <c r="M33" s="107"/>
      <c r="N33" s="107"/>
      <c r="O33" s="55">
        <f t="shared" si="4"/>
        <v>1.938186296150004</v>
      </c>
    </row>
    <row r="34" spans="1:15" x14ac:dyDescent="0.15">
      <c r="A34" s="38">
        <f t="shared" si="0"/>
        <v>1680</v>
      </c>
      <c r="B34" s="109"/>
      <c r="C34" s="109"/>
      <c r="D34" s="107"/>
      <c r="E34" s="107"/>
      <c r="F34" s="107"/>
      <c r="G34" s="107"/>
      <c r="H34" s="107"/>
      <c r="J34" s="107"/>
      <c r="K34" s="107"/>
      <c r="L34" s="107"/>
      <c r="M34" s="107"/>
      <c r="N34" s="107"/>
      <c r="O34" s="55">
        <f t="shared" si="4"/>
        <v>1.952759125444365</v>
      </c>
    </row>
    <row r="35" spans="1:15" x14ac:dyDescent="0.15">
      <c r="A35" s="38">
        <f t="shared" si="0"/>
        <v>1681</v>
      </c>
      <c r="B35" s="109"/>
      <c r="C35" s="109"/>
      <c r="D35" s="107"/>
      <c r="E35" s="107"/>
      <c r="F35" s="107"/>
      <c r="G35" s="107"/>
      <c r="H35" s="107"/>
      <c r="J35" s="107"/>
      <c r="K35" s="107"/>
      <c r="L35" s="107"/>
      <c r="M35" s="107"/>
      <c r="N35" s="107"/>
      <c r="O35" s="55">
        <f t="shared" si="4"/>
        <v>1.967331954738726</v>
      </c>
    </row>
    <row r="36" spans="1:15" x14ac:dyDescent="0.15">
      <c r="A36" s="38">
        <f t="shared" si="0"/>
        <v>1682</v>
      </c>
      <c r="B36" s="109"/>
      <c r="C36" s="109"/>
      <c r="D36" s="107"/>
      <c r="E36" s="107"/>
      <c r="F36" s="107"/>
      <c r="G36" s="107"/>
      <c r="H36" s="107"/>
      <c r="J36" s="107"/>
      <c r="K36" s="107"/>
      <c r="L36" s="107"/>
      <c r="M36" s="107"/>
      <c r="N36" s="107"/>
      <c r="O36" s="55">
        <f t="shared" si="4"/>
        <v>1.981904784033087</v>
      </c>
    </row>
    <row r="37" spans="1:15" x14ac:dyDescent="0.15">
      <c r="A37" s="38">
        <f t="shared" si="0"/>
        <v>1683</v>
      </c>
      <c r="B37" s="109"/>
      <c r="C37" s="109"/>
      <c r="D37" s="107"/>
      <c r="E37" s="107"/>
      <c r="F37" s="107"/>
      <c r="G37" s="107"/>
      <c r="H37" s="107"/>
      <c r="J37" s="107"/>
      <c r="K37" s="107"/>
      <c r="L37" s="107"/>
      <c r="M37" s="107"/>
      <c r="N37" s="107"/>
      <c r="O37" s="55">
        <f t="shared" si="4"/>
        <v>1.996477613327448</v>
      </c>
    </row>
    <row r="38" spans="1:15" x14ac:dyDescent="0.15">
      <c r="A38" s="38">
        <f t="shared" si="0"/>
        <v>1684</v>
      </c>
      <c r="B38" s="109"/>
      <c r="C38" s="109"/>
      <c r="D38" s="107"/>
      <c r="E38" s="107"/>
      <c r="F38" s="107"/>
      <c r="G38" s="107"/>
      <c r="H38" s="107"/>
      <c r="J38" s="107"/>
      <c r="K38" s="107"/>
      <c r="L38" s="107"/>
      <c r="M38" s="107"/>
      <c r="N38" s="107"/>
      <c r="O38" s="55">
        <f t="shared" si="4"/>
        <v>2.011050442621809</v>
      </c>
    </row>
    <row r="39" spans="1:15" x14ac:dyDescent="0.15">
      <c r="A39" s="38">
        <f t="shared" si="0"/>
        <v>1685</v>
      </c>
      <c r="B39" s="109"/>
      <c r="C39" s="109"/>
      <c r="D39" s="107"/>
      <c r="E39" s="107"/>
      <c r="F39" s="107"/>
      <c r="G39" s="107"/>
      <c r="H39" s="107"/>
      <c r="J39" s="107"/>
      <c r="K39" s="107"/>
      <c r="L39" s="107"/>
      <c r="M39" s="107"/>
      <c r="N39" s="107"/>
      <c r="O39" s="55">
        <f t="shared" si="4"/>
        <v>2.02562327191617</v>
      </c>
    </row>
    <row r="40" spans="1:15" x14ac:dyDescent="0.15">
      <c r="A40" s="38">
        <f t="shared" si="0"/>
        <v>1686</v>
      </c>
      <c r="B40" s="109"/>
      <c r="C40" s="109"/>
      <c r="D40" s="107"/>
      <c r="E40" s="107"/>
      <c r="F40" s="107"/>
      <c r="G40" s="107"/>
      <c r="H40" s="107"/>
      <c r="J40" s="107"/>
      <c r="K40" s="107"/>
      <c r="L40" s="107"/>
      <c r="M40" s="107"/>
      <c r="N40" s="107"/>
      <c r="O40" s="55">
        <f t="shared" si="4"/>
        <v>2.040196101210531</v>
      </c>
    </row>
    <row r="41" spans="1:15" x14ac:dyDescent="0.15">
      <c r="A41" s="38">
        <f t="shared" si="0"/>
        <v>1687</v>
      </c>
      <c r="B41" s="109"/>
      <c r="C41" s="109"/>
      <c r="D41" s="107"/>
      <c r="E41" s="107"/>
      <c r="F41" s="107"/>
      <c r="G41" s="107"/>
      <c r="H41" s="107"/>
      <c r="J41" s="107"/>
      <c r="K41" s="107"/>
      <c r="L41" s="107"/>
      <c r="M41" s="107"/>
      <c r="N41" s="107"/>
      <c r="O41" s="55">
        <f t="shared" si="4"/>
        <v>2.054768930504892</v>
      </c>
    </row>
    <row r="42" spans="1:15" x14ac:dyDescent="0.15">
      <c r="A42" s="38">
        <f t="shared" si="0"/>
        <v>1688</v>
      </c>
      <c r="B42" s="109"/>
      <c r="C42" s="109"/>
      <c r="D42" s="107"/>
      <c r="E42" s="107"/>
      <c r="F42" s="107"/>
      <c r="G42" s="107"/>
      <c r="H42" s="107"/>
      <c r="J42" s="107"/>
      <c r="K42" s="107"/>
      <c r="L42" s="107"/>
      <c r="M42" s="107"/>
      <c r="N42" s="107"/>
      <c r="O42" s="55">
        <f t="shared" si="4"/>
        <v>2.0693417597992529</v>
      </c>
    </row>
    <row r="43" spans="1:15" x14ac:dyDescent="0.15">
      <c r="A43" s="38">
        <f t="shared" si="0"/>
        <v>1689</v>
      </c>
      <c r="B43" s="109"/>
      <c r="C43" s="109"/>
      <c r="D43" s="107"/>
      <c r="E43" s="107"/>
      <c r="F43" s="107"/>
      <c r="G43" s="107"/>
      <c r="H43" s="107"/>
      <c r="J43" s="107"/>
      <c r="K43" s="107"/>
      <c r="L43" s="107"/>
      <c r="M43" s="107"/>
      <c r="N43" s="107"/>
      <c r="O43" s="55">
        <f t="shared" si="4"/>
        <v>2.0839145890936139</v>
      </c>
    </row>
    <row r="44" spans="1:15" x14ac:dyDescent="0.15">
      <c r="A44" s="38">
        <f t="shared" si="0"/>
        <v>1690</v>
      </c>
      <c r="B44" s="109"/>
      <c r="C44" s="109"/>
      <c r="D44" s="107"/>
      <c r="E44" s="107"/>
      <c r="F44" s="107"/>
      <c r="G44" s="107"/>
      <c r="H44" s="107"/>
      <c r="J44" s="107"/>
      <c r="K44" s="107"/>
      <c r="L44" s="107"/>
      <c r="M44" s="107"/>
      <c r="N44" s="107"/>
      <c r="O44" s="55">
        <f t="shared" si="4"/>
        <v>2.0984874183879749</v>
      </c>
    </row>
    <row r="45" spans="1:15" x14ac:dyDescent="0.15">
      <c r="A45" s="38">
        <f t="shared" si="0"/>
        <v>1691</v>
      </c>
      <c r="B45" s="109"/>
      <c r="C45" s="109"/>
      <c r="D45" s="107"/>
      <c r="E45" s="107"/>
      <c r="F45" s="107"/>
      <c r="G45" s="107"/>
      <c r="H45" s="107"/>
      <c r="J45" s="107"/>
      <c r="K45" s="107"/>
      <c r="L45" s="107"/>
      <c r="M45" s="107"/>
      <c r="N45" s="107"/>
      <c r="O45" s="55">
        <f t="shared" si="4"/>
        <v>2.1130602476823359</v>
      </c>
    </row>
    <row r="46" spans="1:15" x14ac:dyDescent="0.15">
      <c r="A46" s="38">
        <f t="shared" si="0"/>
        <v>1692</v>
      </c>
      <c r="B46" s="109"/>
      <c r="C46" s="109"/>
      <c r="D46" s="107"/>
      <c r="E46" s="107"/>
      <c r="F46" s="107"/>
      <c r="G46" s="107"/>
      <c r="H46" s="107"/>
      <c r="J46" s="107"/>
      <c r="K46" s="107"/>
      <c r="L46" s="107"/>
      <c r="M46" s="107"/>
      <c r="N46" s="107"/>
      <c r="O46" s="55">
        <f t="shared" si="4"/>
        <v>2.1276330769766969</v>
      </c>
    </row>
    <row r="47" spans="1:15" x14ac:dyDescent="0.15">
      <c r="A47" s="38">
        <f t="shared" si="0"/>
        <v>1693</v>
      </c>
      <c r="B47" s="109"/>
      <c r="C47" s="109"/>
      <c r="D47" s="107"/>
      <c r="E47" s="107"/>
      <c r="F47" s="107"/>
      <c r="G47" s="107"/>
      <c r="H47" s="107"/>
      <c r="J47" s="107"/>
      <c r="K47" s="107"/>
      <c r="L47" s="107"/>
      <c r="M47" s="107"/>
      <c r="N47" s="107"/>
      <c r="O47" s="55">
        <f t="shared" si="4"/>
        <v>2.1422059062710579</v>
      </c>
    </row>
    <row r="48" spans="1:15" x14ac:dyDescent="0.15">
      <c r="A48" s="38">
        <f t="shared" si="0"/>
        <v>1694</v>
      </c>
      <c r="B48" s="109"/>
      <c r="C48" s="109"/>
      <c r="D48" s="107"/>
      <c r="E48" s="107"/>
      <c r="F48" s="107"/>
      <c r="G48" s="107"/>
      <c r="H48" s="107"/>
      <c r="J48" s="107"/>
      <c r="K48" s="107"/>
      <c r="L48" s="107"/>
      <c r="M48" s="107"/>
      <c r="N48" s="107"/>
      <c r="O48" s="55">
        <f t="shared" si="4"/>
        <v>2.1567787355654189</v>
      </c>
    </row>
    <row r="49" spans="1:15" x14ac:dyDescent="0.15">
      <c r="A49" s="38">
        <f t="shared" si="0"/>
        <v>1695</v>
      </c>
      <c r="B49" s="109"/>
      <c r="C49" s="109"/>
      <c r="D49" s="107"/>
      <c r="E49" s="107"/>
      <c r="F49" s="107"/>
      <c r="G49" s="107"/>
      <c r="H49" s="107"/>
      <c r="J49" s="107"/>
      <c r="K49" s="107"/>
      <c r="L49" s="107"/>
      <c r="M49" s="107"/>
      <c r="N49" s="107"/>
      <c r="O49" s="55">
        <f t="shared" si="4"/>
        <v>2.1713515648597799</v>
      </c>
    </row>
    <row r="50" spans="1:15" x14ac:dyDescent="0.15">
      <c r="A50" s="38">
        <f t="shared" si="0"/>
        <v>1696</v>
      </c>
      <c r="B50" s="109">
        <v>24</v>
      </c>
      <c r="C50" s="109"/>
      <c r="D50" s="107"/>
      <c r="E50" s="107"/>
      <c r="F50" s="107"/>
      <c r="G50" s="107"/>
      <c r="H50" s="107"/>
      <c r="J50" s="109">
        <f>AVERAGE(B50:C50)</f>
        <v>24</v>
      </c>
      <c r="K50" s="107"/>
      <c r="L50" s="107"/>
      <c r="M50" s="31">
        <f>J50*7.69</f>
        <v>184.56</v>
      </c>
      <c r="N50" s="31">
        <f>M50/(111.5*0.772)</f>
        <v>2.1441018611027207</v>
      </c>
      <c r="O50" s="31">
        <v>2.1859243941541391</v>
      </c>
    </row>
    <row r="51" spans="1:15" x14ac:dyDescent="0.15">
      <c r="A51" s="38">
        <f t="shared" si="0"/>
        <v>1697</v>
      </c>
      <c r="B51" s="109"/>
      <c r="C51" s="109"/>
      <c r="D51" s="107"/>
      <c r="E51" s="107"/>
      <c r="F51" s="107"/>
      <c r="G51" s="107"/>
      <c r="H51" s="107"/>
      <c r="J51" s="107"/>
      <c r="K51" s="107"/>
      <c r="L51" s="107"/>
      <c r="M51" s="107"/>
      <c r="N51" s="107"/>
      <c r="O51" s="55">
        <f>O50+($O$56-$O$50)/6</f>
        <v>2.1403843026092613</v>
      </c>
    </row>
    <row r="52" spans="1:15" x14ac:dyDescent="0.15">
      <c r="A52" s="38">
        <f t="shared" si="0"/>
        <v>1698</v>
      </c>
      <c r="B52" s="109"/>
      <c r="C52" s="109"/>
      <c r="D52" s="107"/>
      <c r="E52" s="107"/>
      <c r="F52" s="107"/>
      <c r="G52" s="107"/>
      <c r="H52" s="107"/>
      <c r="J52" s="107"/>
      <c r="K52" s="107"/>
      <c r="L52" s="107"/>
      <c r="M52" s="107"/>
      <c r="N52" s="107"/>
      <c r="O52" s="55">
        <f>O51+($O$56-$O$50)/6</f>
        <v>2.0948442110643835</v>
      </c>
    </row>
    <row r="53" spans="1:15" x14ac:dyDescent="0.15">
      <c r="A53" s="38">
        <f>A54-1</f>
        <v>1699</v>
      </c>
      <c r="B53" s="109"/>
      <c r="C53" s="109"/>
      <c r="D53" s="107"/>
      <c r="E53" s="107"/>
      <c r="F53" s="107"/>
      <c r="G53" s="107"/>
      <c r="H53" s="107"/>
      <c r="J53" s="107"/>
      <c r="K53" s="107"/>
      <c r="L53" s="107"/>
      <c r="M53" s="107"/>
      <c r="N53" s="107"/>
      <c r="O53" s="55">
        <f>O52+($O$56-$O$50)/6</f>
        <v>2.0493041195195056</v>
      </c>
    </row>
    <row r="54" spans="1:15" x14ac:dyDescent="0.15">
      <c r="A54" s="38">
        <v>1700</v>
      </c>
      <c r="B54" s="109"/>
      <c r="C54" s="109"/>
      <c r="D54" s="107"/>
      <c r="E54" s="107"/>
      <c r="F54" s="107"/>
      <c r="G54" s="107"/>
      <c r="H54" s="107"/>
      <c r="J54" s="107"/>
      <c r="K54" s="107"/>
      <c r="L54" s="107"/>
      <c r="M54" s="107"/>
      <c r="N54" s="107"/>
      <c r="O54" s="55">
        <f>O53+($O$56-$O$50)/6</f>
        <v>2.0037640279746278</v>
      </c>
    </row>
    <row r="55" spans="1:15" x14ac:dyDescent="0.15">
      <c r="A55" s="38">
        <v>1701</v>
      </c>
      <c r="B55" s="109"/>
      <c r="C55" s="109"/>
      <c r="D55" s="107"/>
      <c r="E55" s="107"/>
      <c r="F55" s="107"/>
      <c r="G55" s="107"/>
      <c r="H55" s="107"/>
      <c r="J55" s="107"/>
      <c r="K55" s="107"/>
      <c r="L55" s="107"/>
      <c r="M55" s="107"/>
      <c r="N55" s="107"/>
      <c r="O55" s="55">
        <f>O54+($O$56-$O$50)/6</f>
        <v>1.95822393642975</v>
      </c>
    </row>
    <row r="56" spans="1:15" x14ac:dyDescent="0.15">
      <c r="A56" s="38">
        <v>1702</v>
      </c>
      <c r="B56" s="109">
        <v>21</v>
      </c>
      <c r="C56" s="107"/>
      <c r="D56" s="107"/>
      <c r="E56" s="107"/>
      <c r="F56" s="107"/>
      <c r="G56" s="107"/>
      <c r="H56" s="107"/>
      <c r="J56" s="109">
        <f t="shared" ref="J56:J68" si="5">AVERAGE(B56:C56)</f>
        <v>21</v>
      </c>
      <c r="K56" s="107"/>
      <c r="L56" s="107"/>
      <c r="M56" s="31">
        <f t="shared" ref="M56:M68" si="6">J56*7.69</f>
        <v>161.49</v>
      </c>
      <c r="N56" s="31">
        <f t="shared" ref="N56:N68" si="7">M56/(111.5*0.772)</f>
        <v>1.8760891284648806</v>
      </c>
      <c r="O56" s="31">
        <v>1.9126838448848715</v>
      </c>
    </row>
    <row r="57" spans="1:15" x14ac:dyDescent="0.15">
      <c r="A57" s="38">
        <v>1703</v>
      </c>
      <c r="B57" s="109">
        <v>21</v>
      </c>
      <c r="C57" s="107"/>
      <c r="D57" s="107"/>
      <c r="E57" s="107"/>
      <c r="F57" s="107"/>
      <c r="G57" s="107"/>
      <c r="H57" s="107"/>
      <c r="J57" s="109">
        <f t="shared" si="5"/>
        <v>21</v>
      </c>
      <c r="K57" s="107"/>
      <c r="L57" s="107"/>
      <c r="M57" s="31">
        <f t="shared" si="6"/>
        <v>161.49</v>
      </c>
      <c r="N57" s="31">
        <f t="shared" si="7"/>
        <v>1.8760891284648806</v>
      </c>
      <c r="O57" s="31">
        <v>1.9126838448848715</v>
      </c>
    </row>
    <row r="58" spans="1:15" x14ac:dyDescent="0.15">
      <c r="A58" s="38">
        <v>1704</v>
      </c>
      <c r="B58" s="109">
        <v>21</v>
      </c>
      <c r="C58" s="107"/>
      <c r="D58" s="107"/>
      <c r="E58" s="107"/>
      <c r="F58" s="107"/>
      <c r="G58" s="107"/>
      <c r="H58" s="107"/>
      <c r="J58" s="109">
        <f t="shared" si="5"/>
        <v>21</v>
      </c>
      <c r="K58" s="107"/>
      <c r="L58" s="107"/>
      <c r="M58" s="31">
        <f t="shared" si="6"/>
        <v>161.49</v>
      </c>
      <c r="N58" s="31">
        <f t="shared" si="7"/>
        <v>1.8760891284648806</v>
      </c>
      <c r="O58" s="31">
        <v>1.9126838448848715</v>
      </c>
    </row>
    <row r="59" spans="1:15" x14ac:dyDescent="0.15">
      <c r="A59" s="38">
        <v>1705</v>
      </c>
      <c r="B59" s="109">
        <v>21</v>
      </c>
      <c r="C59" s="107"/>
      <c r="D59" s="107"/>
      <c r="E59" s="107"/>
      <c r="F59" s="107"/>
      <c r="G59" s="107"/>
      <c r="H59" s="107"/>
      <c r="J59" s="109">
        <f t="shared" si="5"/>
        <v>21</v>
      </c>
      <c r="K59" s="107"/>
      <c r="L59" s="107"/>
      <c r="M59" s="31">
        <f t="shared" si="6"/>
        <v>161.49</v>
      </c>
      <c r="N59" s="31">
        <f t="shared" si="7"/>
        <v>1.8760891284648806</v>
      </c>
      <c r="O59" s="31">
        <v>1.9126838448848715</v>
      </c>
    </row>
    <row r="60" spans="1:15" x14ac:dyDescent="0.15">
      <c r="A60" s="38">
        <v>1706</v>
      </c>
      <c r="B60" s="109">
        <v>21</v>
      </c>
      <c r="C60" s="107"/>
      <c r="D60" s="107"/>
      <c r="E60" s="107"/>
      <c r="F60" s="107"/>
      <c r="G60" s="107"/>
      <c r="H60" s="107"/>
      <c r="J60" s="109">
        <f t="shared" si="5"/>
        <v>21</v>
      </c>
      <c r="K60" s="107"/>
      <c r="L60" s="107"/>
      <c r="M60" s="31">
        <f t="shared" si="6"/>
        <v>161.49</v>
      </c>
      <c r="N60" s="31">
        <f t="shared" si="7"/>
        <v>1.8760891284648806</v>
      </c>
      <c r="O60" s="31">
        <v>1.9126838448848715</v>
      </c>
    </row>
    <row r="61" spans="1:15" x14ac:dyDescent="0.15">
      <c r="A61" s="38">
        <v>1707</v>
      </c>
      <c r="B61" s="109">
        <v>21</v>
      </c>
      <c r="C61" s="107"/>
      <c r="D61" s="107"/>
      <c r="E61" s="107"/>
      <c r="F61" s="107"/>
      <c r="G61" s="107"/>
      <c r="H61" s="107"/>
      <c r="J61" s="109">
        <f t="shared" si="5"/>
        <v>21</v>
      </c>
      <c r="K61" s="107"/>
      <c r="L61" s="107"/>
      <c r="M61" s="31">
        <f t="shared" si="6"/>
        <v>161.49</v>
      </c>
      <c r="N61" s="31">
        <f t="shared" si="7"/>
        <v>1.8760891284648806</v>
      </c>
      <c r="O61" s="31">
        <v>1.9126838448848715</v>
      </c>
    </row>
    <row r="62" spans="1:15" x14ac:dyDescent="0.15">
      <c r="A62" s="38">
        <v>1708</v>
      </c>
      <c r="B62" s="109">
        <v>20.997701149425286</v>
      </c>
      <c r="C62" s="107"/>
      <c r="D62" s="107"/>
      <c r="E62" s="107"/>
      <c r="F62" s="107"/>
      <c r="G62" s="107"/>
      <c r="H62" s="107"/>
      <c r="J62" s="109">
        <f t="shared" si="5"/>
        <v>20.997701149425286</v>
      </c>
      <c r="K62" s="107"/>
      <c r="L62" s="107"/>
      <c r="M62" s="31">
        <f t="shared" si="6"/>
        <v>161.47232183908045</v>
      </c>
      <c r="N62" s="31">
        <f t="shared" si="7"/>
        <v>1.8758837547233955</v>
      </c>
      <c r="O62" s="31">
        <v>1.9124744651536307</v>
      </c>
    </row>
    <row r="63" spans="1:15" x14ac:dyDescent="0.15">
      <c r="A63" s="38">
        <v>1709</v>
      </c>
      <c r="B63" s="109">
        <v>18</v>
      </c>
      <c r="C63" s="107"/>
      <c r="D63" s="107"/>
      <c r="E63" s="107"/>
      <c r="F63" s="107"/>
      <c r="G63" s="107"/>
      <c r="H63" s="107"/>
      <c r="J63" s="109">
        <f t="shared" si="5"/>
        <v>18</v>
      </c>
      <c r="K63" s="107"/>
      <c r="L63" s="107"/>
      <c r="M63" s="31">
        <f t="shared" si="6"/>
        <v>138.42000000000002</v>
      </c>
      <c r="N63" s="31">
        <f t="shared" si="7"/>
        <v>1.6080763958270408</v>
      </c>
      <c r="O63" s="31">
        <v>1.6394432956156044</v>
      </c>
    </row>
    <row r="64" spans="1:15" x14ac:dyDescent="0.15">
      <c r="A64" s="38">
        <v>1710</v>
      </c>
      <c r="B64" s="109">
        <v>18</v>
      </c>
      <c r="C64" s="107"/>
      <c r="D64" s="107"/>
      <c r="E64" s="107"/>
      <c r="F64" s="107"/>
      <c r="G64" s="107"/>
      <c r="H64" s="107"/>
      <c r="J64" s="109">
        <f t="shared" si="5"/>
        <v>18</v>
      </c>
      <c r="K64" s="107"/>
      <c r="L64" s="107"/>
      <c r="M64" s="31">
        <f t="shared" si="6"/>
        <v>138.42000000000002</v>
      </c>
      <c r="N64" s="31">
        <f t="shared" si="7"/>
        <v>1.6080763958270408</v>
      </c>
      <c r="O64" s="31">
        <v>1.6394432956156044</v>
      </c>
    </row>
    <row r="65" spans="1:15" x14ac:dyDescent="0.15">
      <c r="A65" s="38">
        <v>1711</v>
      </c>
      <c r="B65" s="109">
        <v>18</v>
      </c>
      <c r="C65" s="107"/>
      <c r="D65" s="107"/>
      <c r="E65" s="107"/>
      <c r="F65" s="107"/>
      <c r="G65" s="107"/>
      <c r="H65" s="107"/>
      <c r="J65" s="109">
        <f t="shared" si="5"/>
        <v>18</v>
      </c>
      <c r="K65" s="107"/>
      <c r="L65" s="107"/>
      <c r="M65" s="31">
        <f t="shared" si="6"/>
        <v>138.42000000000002</v>
      </c>
      <c r="N65" s="31">
        <f t="shared" si="7"/>
        <v>1.6080763958270408</v>
      </c>
      <c r="O65" s="31">
        <v>1.6394432956156044</v>
      </c>
    </row>
    <row r="66" spans="1:15" x14ac:dyDescent="0.15">
      <c r="A66" s="38">
        <v>1712</v>
      </c>
      <c r="B66" s="109">
        <v>18</v>
      </c>
      <c r="C66" s="107"/>
      <c r="D66" s="107"/>
      <c r="E66" s="107"/>
      <c r="F66" s="107"/>
      <c r="G66" s="107"/>
      <c r="H66" s="107"/>
      <c r="J66" s="109">
        <f t="shared" si="5"/>
        <v>18</v>
      </c>
      <c r="K66" s="107"/>
      <c r="L66" s="107"/>
      <c r="M66" s="31">
        <f t="shared" si="6"/>
        <v>138.42000000000002</v>
      </c>
      <c r="N66" s="31">
        <f t="shared" si="7"/>
        <v>1.6080763958270408</v>
      </c>
      <c r="O66" s="31">
        <v>1.6394432956156044</v>
      </c>
    </row>
    <row r="67" spans="1:15" x14ac:dyDescent="0.15">
      <c r="A67" s="38">
        <v>1713</v>
      </c>
      <c r="B67" s="109">
        <v>18</v>
      </c>
      <c r="C67" s="107"/>
      <c r="D67" s="107"/>
      <c r="E67" s="107"/>
      <c r="F67" s="107"/>
      <c r="G67" s="107"/>
      <c r="H67" s="107"/>
      <c r="J67" s="109">
        <f t="shared" si="5"/>
        <v>18</v>
      </c>
      <c r="K67" s="107"/>
      <c r="L67" s="107"/>
      <c r="M67" s="31">
        <f t="shared" si="6"/>
        <v>138.42000000000002</v>
      </c>
      <c r="N67" s="31">
        <f t="shared" si="7"/>
        <v>1.6080763958270408</v>
      </c>
      <c r="O67" s="31">
        <v>1.6394432956156044</v>
      </c>
    </row>
    <row r="68" spans="1:15" x14ac:dyDescent="0.15">
      <c r="A68" s="38">
        <v>1714</v>
      </c>
      <c r="B68" s="109">
        <v>18</v>
      </c>
      <c r="C68" s="107"/>
      <c r="D68" s="107"/>
      <c r="E68" s="107"/>
      <c r="F68" s="107"/>
      <c r="G68" s="107"/>
      <c r="H68" s="107"/>
      <c r="J68" s="109">
        <f t="shared" si="5"/>
        <v>18</v>
      </c>
      <c r="K68" s="107"/>
      <c r="L68" s="107"/>
      <c r="M68" s="31">
        <f t="shared" si="6"/>
        <v>138.42000000000002</v>
      </c>
      <c r="N68" s="31">
        <f t="shared" si="7"/>
        <v>1.6080763958270408</v>
      </c>
      <c r="O68" s="31">
        <v>1.6394432956156044</v>
      </c>
    </row>
    <row r="69" spans="1:15" x14ac:dyDescent="0.15">
      <c r="A69" s="38">
        <v>1715</v>
      </c>
      <c r="B69" s="65"/>
      <c r="C69" s="107"/>
      <c r="D69" s="107"/>
      <c r="E69" s="107"/>
      <c r="F69" s="107"/>
      <c r="G69" s="107"/>
      <c r="H69" s="107"/>
      <c r="J69" s="107"/>
      <c r="K69" s="107"/>
      <c r="L69" s="107"/>
      <c r="M69" s="107"/>
      <c r="N69" s="107"/>
      <c r="O69" s="55">
        <f>O68+($O$71-$O$68)/3</f>
        <v>1.6394432956156044</v>
      </c>
    </row>
    <row r="70" spans="1:15" x14ac:dyDescent="0.15">
      <c r="A70" s="38">
        <v>1716</v>
      </c>
      <c r="B70" s="65"/>
      <c r="C70" s="107"/>
      <c r="D70" s="107"/>
      <c r="E70" s="107"/>
      <c r="F70" s="107"/>
      <c r="G70" s="107"/>
      <c r="H70" s="107"/>
      <c r="J70" s="107"/>
      <c r="K70" s="107"/>
      <c r="L70" s="107"/>
      <c r="M70" s="107"/>
      <c r="N70" s="107"/>
      <c r="O70" s="55">
        <f>O69+($O$71-$O$68)/3</f>
        <v>1.6394432956156044</v>
      </c>
    </row>
    <row r="71" spans="1:15" x14ac:dyDescent="0.15">
      <c r="A71" s="38">
        <v>1717</v>
      </c>
      <c r="B71" s="109">
        <v>18</v>
      </c>
      <c r="C71" s="107"/>
      <c r="D71" s="107"/>
      <c r="E71" s="107"/>
      <c r="F71" s="107"/>
      <c r="G71" s="107"/>
      <c r="H71" s="107"/>
      <c r="J71" s="109">
        <f t="shared" ref="J71:J72" si="8">AVERAGE(B71:C71)</f>
        <v>18</v>
      </c>
      <c r="K71" s="107"/>
      <c r="L71" s="107"/>
      <c r="M71" s="31">
        <f t="shared" ref="M71:M72" si="9">J71*7.69</f>
        <v>138.42000000000002</v>
      </c>
      <c r="N71" s="31">
        <f t="shared" ref="N71:N72" si="10">M71/(111.5*0.772)</f>
        <v>1.6080763958270408</v>
      </c>
      <c r="O71" s="31">
        <v>1.6394432956156044</v>
      </c>
    </row>
    <row r="72" spans="1:15" x14ac:dyDescent="0.15">
      <c r="A72" s="38">
        <v>1718</v>
      </c>
      <c r="B72" s="109">
        <v>18</v>
      </c>
      <c r="C72" s="107"/>
      <c r="D72" s="107"/>
      <c r="E72" s="107"/>
      <c r="F72" s="107"/>
      <c r="G72" s="107"/>
      <c r="H72" s="107"/>
      <c r="J72" s="109">
        <f t="shared" si="8"/>
        <v>18</v>
      </c>
      <c r="K72" s="107"/>
      <c r="L72" s="107"/>
      <c r="M72" s="31">
        <f t="shared" si="9"/>
        <v>138.42000000000002</v>
      </c>
      <c r="N72" s="31">
        <f t="shared" si="10"/>
        <v>1.6080763958270408</v>
      </c>
      <c r="O72" s="31">
        <v>1.6394432956156044</v>
      </c>
    </row>
    <row r="73" spans="1:15" x14ac:dyDescent="0.15">
      <c r="A73" s="38">
        <v>1719</v>
      </c>
      <c r="B73" s="65"/>
      <c r="C73" s="107"/>
      <c r="D73" s="107"/>
      <c r="E73" s="107"/>
      <c r="F73" s="107"/>
      <c r="G73" s="107"/>
      <c r="H73" s="107"/>
      <c r="J73" s="107"/>
      <c r="K73" s="107"/>
      <c r="L73" s="107"/>
      <c r="M73" s="107"/>
      <c r="N73" s="107"/>
      <c r="O73" s="55">
        <f>O72+($O$75-$O$72)/3</f>
        <v>1.6394432956156044</v>
      </c>
    </row>
    <row r="74" spans="1:15" x14ac:dyDescent="0.15">
      <c r="A74" s="38">
        <v>1720</v>
      </c>
      <c r="B74" s="65"/>
      <c r="C74" s="107"/>
      <c r="D74" s="107"/>
      <c r="E74" s="107"/>
      <c r="F74" s="107"/>
      <c r="G74" s="107"/>
      <c r="H74" s="107"/>
      <c r="J74" s="107"/>
      <c r="K74" s="107"/>
      <c r="L74" s="107"/>
      <c r="M74" s="107"/>
      <c r="N74" s="107"/>
      <c r="O74" s="55">
        <f>O73+($O$75-$O$72)/3</f>
        <v>1.6394432956156044</v>
      </c>
    </row>
    <row r="75" spans="1:15" x14ac:dyDescent="0.15">
      <c r="A75" s="38">
        <v>1721</v>
      </c>
      <c r="B75" s="109">
        <v>18</v>
      </c>
      <c r="C75" s="107"/>
      <c r="D75" s="107"/>
      <c r="E75" s="107"/>
      <c r="F75" s="107"/>
      <c r="G75" s="107"/>
      <c r="H75" s="107"/>
      <c r="J75" s="109">
        <f>AVERAGE(B75:C75)</f>
        <v>18</v>
      </c>
      <c r="K75" s="107"/>
      <c r="L75" s="107"/>
      <c r="M75" s="31">
        <f>J75*7.69</f>
        <v>138.42000000000002</v>
      </c>
      <c r="N75" s="31">
        <f>M75/(111.5*0.772)</f>
        <v>1.6080763958270408</v>
      </c>
      <c r="O75" s="31">
        <v>1.6394432956156044</v>
      </c>
    </row>
    <row r="76" spans="1:15" x14ac:dyDescent="0.15">
      <c r="A76" s="38">
        <v>1722</v>
      </c>
      <c r="B76" s="65"/>
      <c r="C76" s="107"/>
      <c r="D76" s="107"/>
      <c r="E76" s="107"/>
      <c r="F76" s="107"/>
      <c r="G76" s="107"/>
      <c r="H76" s="107"/>
      <c r="J76" s="107"/>
      <c r="K76" s="107"/>
      <c r="L76" s="107"/>
      <c r="M76" s="107"/>
      <c r="N76" s="107"/>
      <c r="O76" s="55">
        <f>O75+($O$77-$O$75)/2</f>
        <v>1.6394432956156044</v>
      </c>
    </row>
    <row r="77" spans="1:15" x14ac:dyDescent="0.15">
      <c r="A77" s="38">
        <v>1723</v>
      </c>
      <c r="B77" s="109">
        <v>18</v>
      </c>
      <c r="C77" s="107"/>
      <c r="D77" s="107"/>
      <c r="E77" s="107"/>
      <c r="F77" s="107"/>
      <c r="G77" s="107"/>
      <c r="H77" s="107"/>
      <c r="J77" s="109">
        <f>AVERAGE(B77:C77)</f>
        <v>18</v>
      </c>
      <c r="K77" s="107"/>
      <c r="L77" s="107"/>
      <c r="M77" s="31">
        <f>J77*7.69</f>
        <v>138.42000000000002</v>
      </c>
      <c r="N77" s="31">
        <f>M77/(111.5*0.772)</f>
        <v>1.6080763958270408</v>
      </c>
      <c r="O77" s="31">
        <v>1.6394432956156044</v>
      </c>
    </row>
    <row r="78" spans="1:15" x14ac:dyDescent="0.15">
      <c r="A78" s="38">
        <v>1724</v>
      </c>
      <c r="B78" s="65"/>
      <c r="C78" s="107"/>
      <c r="D78" s="107"/>
      <c r="E78" s="107"/>
      <c r="F78" s="107"/>
      <c r="G78" s="107"/>
      <c r="H78" s="107"/>
      <c r="J78" s="107"/>
      <c r="K78" s="107"/>
      <c r="L78" s="107"/>
      <c r="M78" s="107"/>
      <c r="N78" s="107"/>
      <c r="O78" s="55">
        <f>O77+($O$79-$O$77)/2</f>
        <v>1.6394432956156044</v>
      </c>
    </row>
    <row r="79" spans="1:15" x14ac:dyDescent="0.15">
      <c r="A79" s="38">
        <v>1725</v>
      </c>
      <c r="B79" s="109">
        <v>18</v>
      </c>
      <c r="C79" s="107"/>
      <c r="D79" s="107"/>
      <c r="E79" s="107"/>
      <c r="F79" s="107"/>
      <c r="G79" s="107"/>
      <c r="H79" s="107"/>
      <c r="J79" s="109">
        <f t="shared" ref="J79:J142" si="11">AVERAGE(B79:C79)</f>
        <v>18</v>
      </c>
      <c r="K79" s="107"/>
      <c r="L79" s="107"/>
      <c r="M79" s="31">
        <f t="shared" ref="M79:M96" si="12">J79*7.69</f>
        <v>138.42000000000002</v>
      </c>
      <c r="N79" s="31">
        <f t="shared" ref="N79:N142" si="13">M79/(111.5*0.772)</f>
        <v>1.6080763958270408</v>
      </c>
      <c r="O79" s="31">
        <v>1.6394432956156044</v>
      </c>
    </row>
    <row r="80" spans="1:15" x14ac:dyDescent="0.15">
      <c r="A80" s="38">
        <v>1726</v>
      </c>
      <c r="B80" s="109">
        <v>18</v>
      </c>
      <c r="C80" s="107"/>
      <c r="D80" s="107"/>
      <c r="E80" s="107"/>
      <c r="F80" s="107"/>
      <c r="G80" s="107"/>
      <c r="H80" s="107"/>
      <c r="J80" s="109">
        <f t="shared" si="11"/>
        <v>18</v>
      </c>
      <c r="K80" s="107"/>
      <c r="L80" s="107"/>
      <c r="M80" s="31">
        <f t="shared" si="12"/>
        <v>138.42000000000002</v>
      </c>
      <c r="N80" s="31">
        <f t="shared" si="13"/>
        <v>1.6080763958270408</v>
      </c>
      <c r="O80" s="31">
        <v>1.6394432956156044</v>
      </c>
    </row>
    <row r="81" spans="1:15" x14ac:dyDescent="0.15">
      <c r="A81" s="38">
        <v>1727</v>
      </c>
      <c r="B81" s="109">
        <v>18</v>
      </c>
      <c r="C81" s="107"/>
      <c r="D81" s="107"/>
      <c r="E81" s="107"/>
      <c r="F81" s="107"/>
      <c r="G81" s="107"/>
      <c r="H81" s="107"/>
      <c r="J81" s="109">
        <f t="shared" si="11"/>
        <v>18</v>
      </c>
      <c r="K81" s="107"/>
      <c r="L81" s="107"/>
      <c r="M81" s="31">
        <f t="shared" si="12"/>
        <v>138.42000000000002</v>
      </c>
      <c r="N81" s="31">
        <f t="shared" si="13"/>
        <v>1.6080763958270408</v>
      </c>
      <c r="O81" s="31">
        <v>1.6394432956156044</v>
      </c>
    </row>
    <row r="82" spans="1:15" x14ac:dyDescent="0.15">
      <c r="A82" s="38">
        <v>1728</v>
      </c>
      <c r="B82" s="109">
        <v>18</v>
      </c>
      <c r="C82" s="107"/>
      <c r="D82" s="107"/>
      <c r="E82" s="107"/>
      <c r="F82" s="107"/>
      <c r="G82" s="107"/>
      <c r="H82" s="107"/>
      <c r="J82" s="109">
        <f t="shared" si="11"/>
        <v>18</v>
      </c>
      <c r="K82" s="107"/>
      <c r="L82" s="107"/>
      <c r="M82" s="31">
        <f t="shared" si="12"/>
        <v>138.42000000000002</v>
      </c>
      <c r="N82" s="31">
        <f t="shared" si="13"/>
        <v>1.6080763958270408</v>
      </c>
      <c r="O82" s="31">
        <v>1.6394432956156044</v>
      </c>
    </row>
    <row r="83" spans="1:15" x14ac:dyDescent="0.15">
      <c r="A83" s="38">
        <v>1729</v>
      </c>
      <c r="B83" s="109">
        <v>18</v>
      </c>
      <c r="C83" s="107"/>
      <c r="D83" s="107"/>
      <c r="E83" s="107"/>
      <c r="F83" s="107"/>
      <c r="G83" s="107"/>
      <c r="H83" s="107"/>
      <c r="J83" s="109">
        <f t="shared" si="11"/>
        <v>18</v>
      </c>
      <c r="K83" s="107"/>
      <c r="L83" s="107"/>
      <c r="M83" s="31">
        <f t="shared" si="12"/>
        <v>138.42000000000002</v>
      </c>
      <c r="N83" s="31">
        <f t="shared" si="13"/>
        <v>1.6080763958270408</v>
      </c>
      <c r="O83" s="31">
        <v>1.6394432956156044</v>
      </c>
    </row>
    <row r="84" spans="1:15" x14ac:dyDescent="0.15">
      <c r="A84" s="38">
        <v>1730</v>
      </c>
      <c r="B84" s="109">
        <v>18</v>
      </c>
      <c r="C84" s="107"/>
      <c r="D84" s="107"/>
      <c r="E84" s="107"/>
      <c r="F84" s="107"/>
      <c r="G84" s="107"/>
      <c r="H84" s="107"/>
      <c r="J84" s="109">
        <f t="shared" si="11"/>
        <v>18</v>
      </c>
      <c r="K84" s="107"/>
      <c r="L84" s="107"/>
      <c r="M84" s="31">
        <f t="shared" si="12"/>
        <v>138.42000000000002</v>
      </c>
      <c r="N84" s="31">
        <f t="shared" si="13"/>
        <v>1.6080763958270408</v>
      </c>
      <c r="O84" s="31">
        <v>1.6394432956156044</v>
      </c>
    </row>
    <row r="85" spans="1:15" x14ac:dyDescent="0.15">
      <c r="A85" s="38">
        <v>1731</v>
      </c>
      <c r="B85" s="109">
        <v>18</v>
      </c>
      <c r="C85" s="107"/>
      <c r="D85" s="107"/>
      <c r="E85" s="107"/>
      <c r="F85" s="107"/>
      <c r="G85" s="107"/>
      <c r="H85" s="107"/>
      <c r="J85" s="109">
        <f t="shared" si="11"/>
        <v>18</v>
      </c>
      <c r="K85" s="107"/>
      <c r="L85" s="107"/>
      <c r="M85" s="31">
        <f t="shared" si="12"/>
        <v>138.42000000000002</v>
      </c>
      <c r="N85" s="31">
        <f t="shared" si="13"/>
        <v>1.6080763958270408</v>
      </c>
      <c r="O85" s="31">
        <v>1.6394432956156044</v>
      </c>
    </row>
    <row r="86" spans="1:15" x14ac:dyDescent="0.15">
      <c r="A86" s="38">
        <v>1732</v>
      </c>
      <c r="B86" s="109">
        <v>18</v>
      </c>
      <c r="C86" s="107"/>
      <c r="D86" s="107"/>
      <c r="E86" s="107"/>
      <c r="F86" s="107"/>
      <c r="G86" s="107"/>
      <c r="H86" s="107"/>
      <c r="J86" s="109">
        <f t="shared" si="11"/>
        <v>18</v>
      </c>
      <c r="K86" s="107"/>
      <c r="L86" s="107"/>
      <c r="M86" s="31">
        <f t="shared" si="12"/>
        <v>138.42000000000002</v>
      </c>
      <c r="N86" s="31">
        <f t="shared" si="13"/>
        <v>1.6080763958270408</v>
      </c>
      <c r="O86" s="31">
        <v>1.6394432956156044</v>
      </c>
    </row>
    <row r="87" spans="1:15" x14ac:dyDescent="0.15">
      <c r="A87" s="38">
        <v>1733</v>
      </c>
      <c r="B87" s="109">
        <v>18</v>
      </c>
      <c r="C87" s="107"/>
      <c r="D87" s="107"/>
      <c r="E87" s="107"/>
      <c r="F87" s="107"/>
      <c r="G87" s="107"/>
      <c r="H87" s="107"/>
      <c r="J87" s="109">
        <f t="shared" si="11"/>
        <v>18</v>
      </c>
      <c r="K87" s="107"/>
      <c r="L87" s="107"/>
      <c r="M87" s="31">
        <f t="shared" si="12"/>
        <v>138.42000000000002</v>
      </c>
      <c r="N87" s="31">
        <f t="shared" si="13"/>
        <v>1.6080763958270408</v>
      </c>
      <c r="O87" s="31">
        <v>1.6394432956156044</v>
      </c>
    </row>
    <row r="88" spans="1:15" x14ac:dyDescent="0.15">
      <c r="A88" s="38">
        <v>1734</v>
      </c>
      <c r="B88" s="109">
        <v>18</v>
      </c>
      <c r="C88" s="107"/>
      <c r="D88" s="107"/>
      <c r="E88" s="107"/>
      <c r="F88" s="107"/>
      <c r="G88" s="107"/>
      <c r="H88" s="107"/>
      <c r="J88" s="109">
        <f t="shared" si="11"/>
        <v>18</v>
      </c>
      <c r="K88" s="107"/>
      <c r="L88" s="107"/>
      <c r="M88" s="31">
        <f t="shared" si="12"/>
        <v>138.42000000000002</v>
      </c>
      <c r="N88" s="31">
        <f t="shared" si="13"/>
        <v>1.6080763958270408</v>
      </c>
      <c r="O88" s="31">
        <v>1.6394432956156044</v>
      </c>
    </row>
    <row r="89" spans="1:15" x14ac:dyDescent="0.15">
      <c r="A89" s="38">
        <v>1735</v>
      </c>
      <c r="B89" s="109">
        <v>18</v>
      </c>
      <c r="C89" s="107"/>
      <c r="D89" s="107"/>
      <c r="E89" s="107"/>
      <c r="F89" s="107"/>
      <c r="G89" s="107"/>
      <c r="H89" s="107"/>
      <c r="J89" s="109">
        <f t="shared" si="11"/>
        <v>18</v>
      </c>
      <c r="K89" s="107"/>
      <c r="L89" s="107"/>
      <c r="M89" s="31">
        <f t="shared" si="12"/>
        <v>138.42000000000002</v>
      </c>
      <c r="N89" s="31">
        <f t="shared" si="13"/>
        <v>1.6080763958270408</v>
      </c>
      <c r="O89" s="31">
        <v>1.6394432956156044</v>
      </c>
    </row>
    <row r="90" spans="1:15" x14ac:dyDescent="0.15">
      <c r="A90" s="38">
        <v>1736</v>
      </c>
      <c r="B90" s="109">
        <v>18</v>
      </c>
      <c r="C90" s="107"/>
      <c r="D90" s="107"/>
      <c r="E90" s="107"/>
      <c r="F90" s="107"/>
      <c r="G90" s="107"/>
      <c r="H90" s="107"/>
      <c r="J90" s="109">
        <f t="shared" si="11"/>
        <v>18</v>
      </c>
      <c r="K90" s="107"/>
      <c r="L90" s="107"/>
      <c r="M90" s="31">
        <f t="shared" si="12"/>
        <v>138.42000000000002</v>
      </c>
      <c r="N90" s="31">
        <f t="shared" si="13"/>
        <v>1.6080763958270408</v>
      </c>
      <c r="O90" s="31">
        <v>1.6394432956156044</v>
      </c>
    </row>
    <row r="91" spans="1:15" x14ac:dyDescent="0.15">
      <c r="A91" s="38">
        <v>1737</v>
      </c>
      <c r="B91" s="109">
        <v>18</v>
      </c>
      <c r="C91" s="107"/>
      <c r="D91" s="107"/>
      <c r="E91" s="107"/>
      <c r="F91" s="107"/>
      <c r="G91" s="107"/>
      <c r="H91" s="107"/>
      <c r="J91" s="109">
        <f t="shared" si="11"/>
        <v>18</v>
      </c>
      <c r="K91" s="107"/>
      <c r="L91" s="107"/>
      <c r="M91" s="31">
        <f t="shared" si="12"/>
        <v>138.42000000000002</v>
      </c>
      <c r="N91" s="31">
        <f t="shared" si="13"/>
        <v>1.6080763958270408</v>
      </c>
      <c r="O91" s="31">
        <v>1.6394432956156044</v>
      </c>
    </row>
    <row r="92" spans="1:15" x14ac:dyDescent="0.15">
      <c r="A92" s="38">
        <v>1738</v>
      </c>
      <c r="B92" s="109">
        <v>18</v>
      </c>
      <c r="C92" s="107"/>
      <c r="D92" s="107"/>
      <c r="E92" s="107"/>
      <c r="F92" s="107"/>
      <c r="G92" s="107"/>
      <c r="H92" s="107"/>
      <c r="J92" s="109">
        <f t="shared" si="11"/>
        <v>18</v>
      </c>
      <c r="K92" s="107"/>
      <c r="L92" s="107"/>
      <c r="M92" s="31">
        <f t="shared" si="12"/>
        <v>138.42000000000002</v>
      </c>
      <c r="N92" s="31">
        <f t="shared" si="13"/>
        <v>1.6080763958270408</v>
      </c>
      <c r="O92" s="31">
        <v>1.6394432956156044</v>
      </c>
    </row>
    <row r="93" spans="1:15" x14ac:dyDescent="0.15">
      <c r="A93" s="38">
        <v>1739</v>
      </c>
      <c r="B93" s="109">
        <v>18</v>
      </c>
      <c r="C93" s="107"/>
      <c r="D93" s="107"/>
      <c r="E93" s="107"/>
      <c r="F93" s="107"/>
      <c r="G93" s="107"/>
      <c r="H93" s="107"/>
      <c r="J93" s="109">
        <f t="shared" si="11"/>
        <v>18</v>
      </c>
      <c r="K93" s="107"/>
      <c r="L93" s="107"/>
      <c r="M93" s="31">
        <f t="shared" si="12"/>
        <v>138.42000000000002</v>
      </c>
      <c r="N93" s="31">
        <f t="shared" si="13"/>
        <v>1.6080763958270408</v>
      </c>
      <c r="O93" s="31">
        <v>1.6394432956156044</v>
      </c>
    </row>
    <row r="94" spans="1:15" x14ac:dyDescent="0.15">
      <c r="A94" s="38">
        <v>1740</v>
      </c>
      <c r="B94" s="109">
        <v>18</v>
      </c>
      <c r="C94" s="107"/>
      <c r="D94" s="107"/>
      <c r="E94" s="107"/>
      <c r="F94" s="107"/>
      <c r="G94" s="107"/>
      <c r="H94" s="107"/>
      <c r="J94" s="109">
        <f t="shared" si="11"/>
        <v>18</v>
      </c>
      <c r="K94" s="107"/>
      <c r="L94" s="107"/>
      <c r="M94" s="31">
        <f t="shared" si="12"/>
        <v>138.42000000000002</v>
      </c>
      <c r="N94" s="31">
        <f t="shared" si="13"/>
        <v>1.6080763958270408</v>
      </c>
      <c r="O94" s="31">
        <v>1.6394432956156044</v>
      </c>
    </row>
    <row r="95" spans="1:15" x14ac:dyDescent="0.15">
      <c r="A95" s="38">
        <v>1741</v>
      </c>
      <c r="B95" s="109">
        <v>18</v>
      </c>
      <c r="C95" s="107"/>
      <c r="D95" s="107"/>
      <c r="E95" s="107"/>
      <c r="F95" s="107"/>
      <c r="G95" s="107"/>
      <c r="H95" s="107"/>
      <c r="J95" s="109">
        <f t="shared" si="11"/>
        <v>18</v>
      </c>
      <c r="K95" s="107"/>
      <c r="L95" s="107"/>
      <c r="M95" s="31">
        <f t="shared" si="12"/>
        <v>138.42000000000002</v>
      </c>
      <c r="N95" s="31">
        <f t="shared" si="13"/>
        <v>1.6080763958270408</v>
      </c>
      <c r="O95" s="31">
        <v>1.6394432956156044</v>
      </c>
    </row>
    <row r="96" spans="1:15" x14ac:dyDescent="0.15">
      <c r="A96" s="38">
        <v>1742</v>
      </c>
      <c r="B96" s="109">
        <v>18</v>
      </c>
      <c r="C96" s="107"/>
      <c r="D96" s="107"/>
      <c r="E96" s="107"/>
      <c r="F96" s="107"/>
      <c r="G96" s="107"/>
      <c r="H96" s="107"/>
      <c r="J96" s="109">
        <f t="shared" si="11"/>
        <v>18</v>
      </c>
      <c r="K96" s="107"/>
      <c r="L96" s="107"/>
      <c r="M96" s="31">
        <f t="shared" si="12"/>
        <v>138.42000000000002</v>
      </c>
      <c r="N96" s="31">
        <f t="shared" si="13"/>
        <v>1.6080763958270408</v>
      </c>
      <c r="O96" s="31">
        <v>1.6394432956156044</v>
      </c>
    </row>
    <row r="97" spans="1:15" x14ac:dyDescent="0.15">
      <c r="A97" s="38">
        <v>1743</v>
      </c>
      <c r="B97" s="109">
        <v>18</v>
      </c>
      <c r="C97" s="107"/>
      <c r="D97" s="107"/>
      <c r="E97" s="107"/>
      <c r="F97" s="107"/>
      <c r="G97" s="107"/>
      <c r="H97" s="107"/>
      <c r="J97" s="109">
        <f t="shared" si="11"/>
        <v>18</v>
      </c>
      <c r="K97" s="107"/>
      <c r="L97" s="107"/>
      <c r="M97" s="31">
        <f>J97*8.04</f>
        <v>144.71999999999997</v>
      </c>
      <c r="N97" s="31">
        <f t="shared" si="13"/>
        <v>1.6812658286670226</v>
      </c>
      <c r="O97" s="31">
        <v>1.6394432956156044</v>
      </c>
    </row>
    <row r="98" spans="1:15" x14ac:dyDescent="0.15">
      <c r="A98" s="38">
        <v>1744</v>
      </c>
      <c r="B98" s="109">
        <v>14.4</v>
      </c>
      <c r="C98" s="107"/>
      <c r="D98" s="107"/>
      <c r="E98" s="107"/>
      <c r="F98" s="107"/>
      <c r="G98" s="107"/>
      <c r="H98" s="107"/>
      <c r="J98" s="109">
        <f t="shared" si="11"/>
        <v>14.4</v>
      </c>
      <c r="K98" s="107"/>
      <c r="L98" s="107"/>
      <c r="M98" s="31">
        <f t="shared" ref="M98:M122" si="14">J98*8.04</f>
        <v>115.776</v>
      </c>
      <c r="N98" s="31">
        <f t="shared" si="13"/>
        <v>1.3450126629336183</v>
      </c>
      <c r="O98" s="31">
        <v>1.3115546364924835</v>
      </c>
    </row>
    <row r="99" spans="1:15" x14ac:dyDescent="0.15">
      <c r="A99" s="38">
        <v>1745</v>
      </c>
      <c r="B99" s="109">
        <v>9.6</v>
      </c>
      <c r="C99" s="107"/>
      <c r="D99" s="107"/>
      <c r="E99" s="107"/>
      <c r="F99" s="107"/>
      <c r="G99" s="107"/>
      <c r="H99" s="107"/>
      <c r="J99" s="109">
        <f t="shared" si="11"/>
        <v>9.6</v>
      </c>
      <c r="K99" s="107"/>
      <c r="L99" s="107"/>
      <c r="M99" s="31">
        <f t="shared" si="14"/>
        <v>77.183999999999983</v>
      </c>
      <c r="N99" s="31">
        <f t="shared" si="13"/>
        <v>0.89667510862241195</v>
      </c>
      <c r="O99" s="31">
        <v>0.87436975766165559</v>
      </c>
    </row>
    <row r="100" spans="1:15" x14ac:dyDescent="0.15">
      <c r="A100" s="38">
        <v>1746</v>
      </c>
      <c r="B100" s="109">
        <v>9.6</v>
      </c>
      <c r="C100" s="107"/>
      <c r="D100" s="107"/>
      <c r="E100" s="107"/>
      <c r="F100" s="107"/>
      <c r="G100" s="107"/>
      <c r="H100" s="107"/>
      <c r="J100" s="109">
        <f t="shared" si="11"/>
        <v>9.6</v>
      </c>
      <c r="K100" s="107"/>
      <c r="L100" s="107"/>
      <c r="M100" s="31">
        <f t="shared" si="14"/>
        <v>77.183999999999983</v>
      </c>
      <c r="N100" s="31">
        <f t="shared" si="13"/>
        <v>0.89667510862241195</v>
      </c>
      <c r="O100" s="31">
        <v>0.87436975766165559</v>
      </c>
    </row>
    <row r="101" spans="1:15" x14ac:dyDescent="0.15">
      <c r="A101" s="38">
        <v>1747</v>
      </c>
      <c r="B101" s="109">
        <v>9.6</v>
      </c>
      <c r="C101" s="107"/>
      <c r="D101" s="107"/>
      <c r="E101" s="107"/>
      <c r="F101" s="107"/>
      <c r="G101" s="107"/>
      <c r="H101" s="107"/>
      <c r="J101" s="109">
        <f t="shared" si="11"/>
        <v>9.6</v>
      </c>
      <c r="K101" s="107"/>
      <c r="L101" s="107"/>
      <c r="M101" s="31">
        <f t="shared" si="14"/>
        <v>77.183999999999983</v>
      </c>
      <c r="N101" s="31">
        <f t="shared" si="13"/>
        <v>0.89667510862241195</v>
      </c>
      <c r="O101" s="31">
        <v>0.87436975766165559</v>
      </c>
    </row>
    <row r="102" spans="1:15" x14ac:dyDescent="0.15">
      <c r="A102" s="38">
        <v>1748</v>
      </c>
      <c r="B102" s="109">
        <v>9.6</v>
      </c>
      <c r="C102" s="107"/>
      <c r="D102" s="107"/>
      <c r="E102" s="107"/>
      <c r="F102" s="107"/>
      <c r="G102" s="107"/>
      <c r="H102" s="107"/>
      <c r="J102" s="109">
        <f t="shared" si="11"/>
        <v>9.6</v>
      </c>
      <c r="K102" s="107"/>
      <c r="L102" s="107"/>
      <c r="M102" s="31">
        <f t="shared" si="14"/>
        <v>77.183999999999983</v>
      </c>
      <c r="N102" s="31">
        <f t="shared" si="13"/>
        <v>0.89667510862241195</v>
      </c>
      <c r="O102" s="31">
        <v>0.87436975766165559</v>
      </c>
    </row>
    <row r="103" spans="1:15" x14ac:dyDescent="0.15">
      <c r="A103" s="38">
        <v>1749</v>
      </c>
      <c r="B103" s="109">
        <v>9.6</v>
      </c>
      <c r="C103" s="107"/>
      <c r="D103" s="107"/>
      <c r="E103" s="107"/>
      <c r="F103" s="107"/>
      <c r="G103" s="107"/>
      <c r="H103" s="107"/>
      <c r="J103" s="109">
        <f t="shared" si="11"/>
        <v>9.6</v>
      </c>
      <c r="K103" s="107"/>
      <c r="L103" s="107"/>
      <c r="M103" s="31">
        <f t="shared" si="14"/>
        <v>77.183999999999983</v>
      </c>
      <c r="N103" s="31">
        <f t="shared" si="13"/>
        <v>0.89667510862241195</v>
      </c>
      <c r="O103" s="31">
        <v>0.87436975766165559</v>
      </c>
    </row>
    <row r="104" spans="1:15" x14ac:dyDescent="0.15">
      <c r="A104" s="38">
        <v>1750</v>
      </c>
      <c r="B104" s="109">
        <v>9.6</v>
      </c>
      <c r="C104" s="107"/>
      <c r="D104" s="107"/>
      <c r="E104" s="107"/>
      <c r="F104" s="107"/>
      <c r="G104" s="107"/>
      <c r="H104" s="107"/>
      <c r="J104" s="109">
        <f t="shared" si="11"/>
        <v>9.6</v>
      </c>
      <c r="K104" s="107"/>
      <c r="L104" s="107"/>
      <c r="M104" s="31">
        <f t="shared" si="14"/>
        <v>77.183999999999983</v>
      </c>
      <c r="N104" s="31">
        <f t="shared" si="13"/>
        <v>0.89667510862241195</v>
      </c>
      <c r="O104" s="31">
        <v>0.87436975766165559</v>
      </c>
    </row>
    <row r="105" spans="1:15" x14ac:dyDescent="0.15">
      <c r="A105" s="38">
        <v>1751</v>
      </c>
      <c r="B105" s="109">
        <v>9.6</v>
      </c>
      <c r="C105" s="107"/>
      <c r="D105" s="107"/>
      <c r="E105" s="107"/>
      <c r="F105" s="107"/>
      <c r="G105" s="107"/>
      <c r="H105" s="107"/>
      <c r="J105" s="109">
        <f t="shared" si="11"/>
        <v>9.6</v>
      </c>
      <c r="K105" s="107"/>
      <c r="L105" s="107"/>
      <c r="M105" s="31">
        <f t="shared" si="14"/>
        <v>77.183999999999983</v>
      </c>
      <c r="N105" s="31">
        <f t="shared" si="13"/>
        <v>0.89667510862241195</v>
      </c>
      <c r="O105" s="31">
        <v>0.87436975766165559</v>
      </c>
    </row>
    <row r="106" spans="1:15" x14ac:dyDescent="0.15">
      <c r="A106" s="38">
        <v>1752</v>
      </c>
      <c r="B106" s="109">
        <v>9.6</v>
      </c>
      <c r="C106" s="107"/>
      <c r="D106" s="107"/>
      <c r="E106" s="107"/>
      <c r="F106" s="107"/>
      <c r="G106" s="107"/>
      <c r="H106" s="107"/>
      <c r="J106" s="109">
        <f t="shared" si="11"/>
        <v>9.6</v>
      </c>
      <c r="K106" s="107"/>
      <c r="L106" s="107"/>
      <c r="M106" s="31">
        <f t="shared" si="14"/>
        <v>77.183999999999983</v>
      </c>
      <c r="N106" s="31">
        <f t="shared" si="13"/>
        <v>0.89667510862241195</v>
      </c>
      <c r="O106" s="31">
        <v>0.87436975766165559</v>
      </c>
    </row>
    <row r="107" spans="1:15" x14ac:dyDescent="0.15">
      <c r="A107" s="38">
        <f>A106+1</f>
        <v>1753</v>
      </c>
      <c r="B107" s="109">
        <v>9.6</v>
      </c>
      <c r="C107" s="107"/>
      <c r="D107" s="107"/>
      <c r="E107" s="107"/>
      <c r="F107" s="107"/>
      <c r="G107" s="107"/>
      <c r="H107" s="107"/>
      <c r="J107" s="109">
        <f t="shared" si="11"/>
        <v>9.6</v>
      </c>
      <c r="K107" s="107"/>
      <c r="L107" s="107"/>
      <c r="M107" s="31">
        <f t="shared" si="14"/>
        <v>77.183999999999983</v>
      </c>
      <c r="N107" s="31">
        <f t="shared" si="13"/>
        <v>0.89667510862241195</v>
      </c>
      <c r="O107" s="31">
        <v>0.87436975766165559</v>
      </c>
    </row>
    <row r="108" spans="1:15" x14ac:dyDescent="0.15">
      <c r="A108" s="38">
        <f t="shared" ref="A108:A147" si="15">A107+1</f>
        <v>1754</v>
      </c>
      <c r="B108" s="109">
        <v>9.6</v>
      </c>
      <c r="C108" s="107"/>
      <c r="D108" s="107"/>
      <c r="E108" s="107"/>
      <c r="F108" s="107"/>
      <c r="G108" s="107"/>
      <c r="H108" s="107"/>
      <c r="J108" s="109">
        <f t="shared" si="11"/>
        <v>9.6</v>
      </c>
      <c r="K108" s="107"/>
      <c r="L108" s="107"/>
      <c r="M108" s="31">
        <f t="shared" si="14"/>
        <v>77.183999999999983</v>
      </c>
      <c r="N108" s="31">
        <f t="shared" si="13"/>
        <v>0.89667510862241195</v>
      </c>
      <c r="O108" s="31">
        <v>0.87436975766165559</v>
      </c>
    </row>
    <row r="109" spans="1:15" x14ac:dyDescent="0.15">
      <c r="A109" s="38">
        <f t="shared" si="15"/>
        <v>1755</v>
      </c>
      <c r="B109" s="109">
        <v>9.6</v>
      </c>
      <c r="C109" s="107"/>
      <c r="D109" s="107"/>
      <c r="E109" s="107"/>
      <c r="F109" s="107"/>
      <c r="G109" s="107"/>
      <c r="H109" s="107"/>
      <c r="J109" s="109">
        <f t="shared" si="11"/>
        <v>9.6</v>
      </c>
      <c r="K109" s="107"/>
      <c r="L109" s="107"/>
      <c r="M109" s="31">
        <f t="shared" si="14"/>
        <v>77.183999999999983</v>
      </c>
      <c r="N109" s="31">
        <f t="shared" si="13"/>
        <v>0.89667510862241195</v>
      </c>
      <c r="O109" s="31">
        <v>0.87436975766165559</v>
      </c>
    </row>
    <row r="110" spans="1:15" x14ac:dyDescent="0.15">
      <c r="A110" s="38">
        <f t="shared" si="15"/>
        <v>1756</v>
      </c>
      <c r="B110" s="109">
        <v>9.6</v>
      </c>
      <c r="C110" s="107"/>
      <c r="D110" s="107"/>
      <c r="E110" s="107"/>
      <c r="F110" s="107"/>
      <c r="G110" s="107"/>
      <c r="H110" s="107"/>
      <c r="J110" s="109">
        <f t="shared" si="11"/>
        <v>9.6</v>
      </c>
      <c r="K110" s="107"/>
      <c r="L110" s="107"/>
      <c r="M110" s="31">
        <f t="shared" si="14"/>
        <v>77.183999999999983</v>
      </c>
      <c r="N110" s="31">
        <f t="shared" si="13"/>
        <v>0.89667510862241195</v>
      </c>
      <c r="O110" s="31">
        <v>0.87436975766165559</v>
      </c>
    </row>
    <row r="111" spans="1:15" x14ac:dyDescent="0.15">
      <c r="A111" s="38">
        <f t="shared" si="15"/>
        <v>1757</v>
      </c>
      <c r="B111" s="109">
        <v>9.6</v>
      </c>
      <c r="C111" s="107"/>
      <c r="D111" s="107"/>
      <c r="E111" s="107"/>
      <c r="F111" s="107"/>
      <c r="G111" s="107"/>
      <c r="H111" s="107"/>
      <c r="J111" s="109">
        <f t="shared" si="11"/>
        <v>9.6</v>
      </c>
      <c r="K111" s="107"/>
      <c r="L111" s="107"/>
      <c r="M111" s="31">
        <f t="shared" si="14"/>
        <v>77.183999999999983</v>
      </c>
      <c r="N111" s="31">
        <f t="shared" si="13"/>
        <v>0.89667510862241195</v>
      </c>
      <c r="O111" s="31">
        <v>0.87436975766165559</v>
      </c>
    </row>
    <row r="112" spans="1:15" x14ac:dyDescent="0.15">
      <c r="A112" s="38">
        <f t="shared" si="15"/>
        <v>1758</v>
      </c>
      <c r="B112" s="109">
        <v>9.6</v>
      </c>
      <c r="C112" s="107"/>
      <c r="D112" s="107"/>
      <c r="E112" s="107"/>
      <c r="F112" s="107"/>
      <c r="G112" s="107"/>
      <c r="H112" s="107"/>
      <c r="J112" s="109">
        <f t="shared" si="11"/>
        <v>9.6</v>
      </c>
      <c r="K112" s="107"/>
      <c r="L112" s="107"/>
      <c r="M112" s="31">
        <f t="shared" si="14"/>
        <v>77.183999999999983</v>
      </c>
      <c r="N112" s="31">
        <f t="shared" si="13"/>
        <v>0.89667510862241195</v>
      </c>
      <c r="O112" s="31">
        <v>0.87436975766165559</v>
      </c>
    </row>
    <row r="113" spans="1:15" x14ac:dyDescent="0.15">
      <c r="A113" s="38">
        <f t="shared" si="15"/>
        <v>1759</v>
      </c>
      <c r="B113" s="109">
        <v>9.6</v>
      </c>
      <c r="C113" s="107"/>
      <c r="D113" s="107"/>
      <c r="E113" s="107"/>
      <c r="F113" s="107"/>
      <c r="G113" s="107"/>
      <c r="H113" s="107"/>
      <c r="J113" s="109">
        <f t="shared" si="11"/>
        <v>9.6</v>
      </c>
      <c r="K113" s="107"/>
      <c r="L113" s="107"/>
      <c r="M113" s="31">
        <f t="shared" si="14"/>
        <v>77.183999999999983</v>
      </c>
      <c r="N113" s="31">
        <f t="shared" si="13"/>
        <v>0.89667510862241195</v>
      </c>
      <c r="O113" s="31">
        <v>0.87436975766165559</v>
      </c>
    </row>
    <row r="114" spans="1:15" x14ac:dyDescent="0.15">
      <c r="A114" s="38">
        <f t="shared" si="15"/>
        <v>1760</v>
      </c>
      <c r="B114" s="109">
        <v>9.6</v>
      </c>
      <c r="C114" s="107"/>
      <c r="D114" s="107"/>
      <c r="E114" s="107"/>
      <c r="F114" s="107"/>
      <c r="G114" s="107"/>
      <c r="H114" s="107"/>
      <c r="J114" s="109">
        <f t="shared" si="11"/>
        <v>9.6</v>
      </c>
      <c r="K114" s="107"/>
      <c r="L114" s="107"/>
      <c r="M114" s="31">
        <f t="shared" si="14"/>
        <v>77.183999999999983</v>
      </c>
      <c r="N114" s="31">
        <f t="shared" si="13"/>
        <v>0.89667510862241195</v>
      </c>
      <c r="O114" s="31">
        <v>0.87436975766165559</v>
      </c>
    </row>
    <row r="115" spans="1:15" x14ac:dyDescent="0.15">
      <c r="A115" s="38">
        <f t="shared" si="15"/>
        <v>1761</v>
      </c>
      <c r="B115" s="109">
        <v>9.6</v>
      </c>
      <c r="C115" s="107"/>
      <c r="D115" s="107"/>
      <c r="E115" s="107"/>
      <c r="F115" s="107"/>
      <c r="G115" s="107"/>
      <c r="H115" s="107"/>
      <c r="J115" s="109">
        <f t="shared" si="11"/>
        <v>9.6</v>
      </c>
      <c r="K115" s="107"/>
      <c r="L115" s="107"/>
      <c r="M115" s="31">
        <f t="shared" si="14"/>
        <v>77.183999999999983</v>
      </c>
      <c r="N115" s="31">
        <f t="shared" si="13"/>
        <v>0.89667510862241195</v>
      </c>
      <c r="O115" s="31">
        <v>0.87436975766165559</v>
      </c>
    </row>
    <row r="116" spans="1:15" x14ac:dyDescent="0.15">
      <c r="A116" s="38">
        <f t="shared" si="15"/>
        <v>1762</v>
      </c>
      <c r="B116" s="109">
        <v>9.6</v>
      </c>
      <c r="C116" s="107"/>
      <c r="D116" s="107"/>
      <c r="E116" s="107"/>
      <c r="F116" s="107"/>
      <c r="G116" s="107"/>
      <c r="H116" s="107"/>
      <c r="J116" s="109">
        <f t="shared" si="11"/>
        <v>9.6</v>
      </c>
      <c r="K116" s="107"/>
      <c r="L116" s="107"/>
      <c r="M116" s="31">
        <f t="shared" si="14"/>
        <v>77.183999999999983</v>
      </c>
      <c r="N116" s="31">
        <f t="shared" si="13"/>
        <v>0.89667510862241195</v>
      </c>
      <c r="O116" s="31">
        <v>0.87436975766165559</v>
      </c>
    </row>
    <row r="117" spans="1:15" x14ac:dyDescent="0.15">
      <c r="A117" s="38">
        <f t="shared" si="15"/>
        <v>1763</v>
      </c>
      <c r="B117" s="109">
        <v>9.6</v>
      </c>
      <c r="C117" s="107"/>
      <c r="D117" s="107"/>
      <c r="E117" s="107"/>
      <c r="F117" s="107"/>
      <c r="G117" s="107"/>
      <c r="H117" s="107"/>
      <c r="J117" s="109">
        <f t="shared" si="11"/>
        <v>9.6</v>
      </c>
      <c r="K117" s="107"/>
      <c r="L117" s="107"/>
      <c r="M117" s="31">
        <f t="shared" si="14"/>
        <v>77.183999999999983</v>
      </c>
      <c r="N117" s="31">
        <f t="shared" si="13"/>
        <v>0.89667510862241195</v>
      </c>
      <c r="O117" s="31">
        <v>0.87436975766165559</v>
      </c>
    </row>
    <row r="118" spans="1:15" x14ac:dyDescent="0.15">
      <c r="A118" s="38">
        <f t="shared" si="15"/>
        <v>1764</v>
      </c>
      <c r="B118" s="109">
        <v>9.6</v>
      </c>
      <c r="C118" s="107"/>
      <c r="D118" s="107"/>
      <c r="E118" s="107"/>
      <c r="F118" s="107"/>
      <c r="G118" s="107"/>
      <c r="H118" s="107"/>
      <c r="J118" s="109">
        <f t="shared" si="11"/>
        <v>9.6</v>
      </c>
      <c r="K118" s="107"/>
      <c r="L118" s="107"/>
      <c r="M118" s="31">
        <f t="shared" si="14"/>
        <v>77.183999999999983</v>
      </c>
      <c r="N118" s="31">
        <f t="shared" si="13"/>
        <v>0.89667510862241195</v>
      </c>
      <c r="O118" s="31">
        <v>0.87436975766165559</v>
      </c>
    </row>
    <row r="119" spans="1:15" x14ac:dyDescent="0.15">
      <c r="A119" s="38">
        <f t="shared" si="15"/>
        <v>1765</v>
      </c>
      <c r="B119" s="109">
        <v>9.6</v>
      </c>
      <c r="C119" s="107"/>
      <c r="D119" s="107"/>
      <c r="E119" s="107"/>
      <c r="F119" s="107"/>
      <c r="G119" s="107"/>
      <c r="H119" s="107"/>
      <c r="J119" s="109">
        <f t="shared" si="11"/>
        <v>9.6</v>
      </c>
      <c r="K119" s="107"/>
      <c r="L119" s="107"/>
      <c r="M119" s="31">
        <f t="shared" si="14"/>
        <v>77.183999999999983</v>
      </c>
      <c r="N119" s="31">
        <f t="shared" si="13"/>
        <v>0.89667510862241195</v>
      </c>
      <c r="O119" s="31">
        <v>0.87436975766165559</v>
      </c>
    </row>
    <row r="120" spans="1:15" x14ac:dyDescent="0.15">
      <c r="A120" s="38">
        <f t="shared" si="15"/>
        <v>1766</v>
      </c>
      <c r="B120" s="109">
        <v>9.6</v>
      </c>
      <c r="C120" s="107"/>
      <c r="D120" s="107"/>
      <c r="E120" s="107"/>
      <c r="F120" s="107"/>
      <c r="G120" s="107"/>
      <c r="H120" s="107"/>
      <c r="J120" s="109">
        <f t="shared" si="11"/>
        <v>9.6</v>
      </c>
      <c r="K120" s="107"/>
      <c r="L120" s="107"/>
      <c r="M120" s="31">
        <f t="shared" si="14"/>
        <v>77.183999999999983</v>
      </c>
      <c r="N120" s="31">
        <f t="shared" si="13"/>
        <v>0.89667510862241195</v>
      </c>
      <c r="O120" s="31">
        <v>0.87436975766165559</v>
      </c>
    </row>
    <row r="121" spans="1:15" x14ac:dyDescent="0.15">
      <c r="A121" s="38">
        <f t="shared" si="15"/>
        <v>1767</v>
      </c>
      <c r="B121" s="109">
        <v>9.6</v>
      </c>
      <c r="C121" s="107"/>
      <c r="D121" s="107"/>
      <c r="E121" s="107"/>
      <c r="F121" s="107"/>
      <c r="G121" s="107"/>
      <c r="H121" s="107"/>
      <c r="J121" s="109">
        <f t="shared" si="11"/>
        <v>9.6</v>
      </c>
      <c r="K121" s="107"/>
      <c r="L121" s="107"/>
      <c r="M121" s="31">
        <f t="shared" si="14"/>
        <v>77.183999999999983</v>
      </c>
      <c r="N121" s="31">
        <f t="shared" si="13"/>
        <v>0.89667510862241195</v>
      </c>
      <c r="O121" s="31">
        <v>0.87436975766165559</v>
      </c>
    </row>
    <row r="122" spans="1:15" x14ac:dyDescent="0.15">
      <c r="A122" s="38">
        <f t="shared" si="15"/>
        <v>1768</v>
      </c>
      <c r="B122" s="109">
        <v>9.6</v>
      </c>
      <c r="C122" s="107"/>
      <c r="D122" s="107"/>
      <c r="E122" s="107"/>
      <c r="F122" s="107"/>
      <c r="G122" s="107"/>
      <c r="H122" s="107"/>
      <c r="J122" s="109">
        <f t="shared" si="11"/>
        <v>9.6</v>
      </c>
      <c r="K122" s="107"/>
      <c r="L122" s="107"/>
      <c r="M122" s="31">
        <f t="shared" si="14"/>
        <v>77.183999999999983</v>
      </c>
      <c r="N122" s="31">
        <f t="shared" si="13"/>
        <v>0.89667510862241195</v>
      </c>
      <c r="O122" s="31">
        <v>0.87436975766165559</v>
      </c>
    </row>
    <row r="123" spans="1:15" x14ac:dyDescent="0.15">
      <c r="A123" s="38">
        <f t="shared" si="15"/>
        <v>1769</v>
      </c>
      <c r="B123" s="109">
        <v>9.6</v>
      </c>
      <c r="C123" s="107"/>
      <c r="D123" s="107"/>
      <c r="E123" s="107"/>
      <c r="F123" s="107"/>
      <c r="G123" s="107"/>
      <c r="H123" s="107"/>
      <c r="J123" s="109">
        <f t="shared" si="11"/>
        <v>9.6</v>
      </c>
      <c r="K123" s="107"/>
      <c r="L123" s="107"/>
      <c r="M123" s="31">
        <f>J123*8.04</f>
        <v>77.183999999999983</v>
      </c>
      <c r="N123" s="31">
        <f t="shared" si="13"/>
        <v>0.89667510862241195</v>
      </c>
      <c r="O123" s="31">
        <v>0.87436975766165559</v>
      </c>
    </row>
    <row r="124" spans="1:15" x14ac:dyDescent="0.15">
      <c r="A124" s="38">
        <f t="shared" si="15"/>
        <v>1770</v>
      </c>
      <c r="B124" s="109">
        <v>8.8000000000000007</v>
      </c>
      <c r="C124" s="107"/>
      <c r="D124" s="107"/>
      <c r="E124" s="107"/>
      <c r="F124" s="107"/>
      <c r="G124" s="107"/>
      <c r="H124" s="107"/>
      <c r="J124" s="109">
        <f t="shared" si="11"/>
        <v>8.8000000000000007</v>
      </c>
      <c r="K124" s="107"/>
      <c r="L124" s="107"/>
      <c r="M124" s="31">
        <f>J124*9.61</f>
        <v>84.567999999999998</v>
      </c>
      <c r="N124" s="31">
        <f t="shared" si="13"/>
        <v>0.98245777085898833</v>
      </c>
      <c r="O124" s="31">
        <v>0.80150561118985109</v>
      </c>
    </row>
    <row r="125" spans="1:15" x14ac:dyDescent="0.15">
      <c r="A125" s="38">
        <f t="shared" si="15"/>
        <v>1771</v>
      </c>
      <c r="B125" s="109">
        <v>8.8000000000000007</v>
      </c>
      <c r="C125" s="107"/>
      <c r="D125" s="107"/>
      <c r="E125" s="107"/>
      <c r="F125" s="107"/>
      <c r="G125" s="107"/>
      <c r="H125" s="107"/>
      <c r="J125" s="109">
        <f t="shared" si="11"/>
        <v>8.8000000000000007</v>
      </c>
      <c r="K125" s="107"/>
      <c r="L125" s="107"/>
      <c r="M125" s="31">
        <f t="shared" ref="M125:M148" si="16">J125*9.61</f>
        <v>84.567999999999998</v>
      </c>
      <c r="N125" s="31">
        <f t="shared" si="13"/>
        <v>0.98245777085898833</v>
      </c>
      <c r="O125" s="31">
        <v>0.80150561118985109</v>
      </c>
    </row>
    <row r="126" spans="1:15" x14ac:dyDescent="0.15">
      <c r="A126" s="38">
        <f t="shared" si="15"/>
        <v>1772</v>
      </c>
      <c r="B126" s="109">
        <v>8.8000000000000007</v>
      </c>
      <c r="C126" s="107"/>
      <c r="D126" s="107"/>
      <c r="E126" s="107"/>
      <c r="F126" s="107"/>
      <c r="G126" s="107"/>
      <c r="H126" s="107"/>
      <c r="J126" s="109">
        <f t="shared" si="11"/>
        <v>8.8000000000000007</v>
      </c>
      <c r="K126" s="107"/>
      <c r="L126" s="107"/>
      <c r="M126" s="31">
        <f t="shared" si="16"/>
        <v>84.567999999999998</v>
      </c>
      <c r="N126" s="31">
        <f t="shared" si="13"/>
        <v>0.98245777085898833</v>
      </c>
      <c r="O126" s="31">
        <v>0.80150561118985109</v>
      </c>
    </row>
    <row r="127" spans="1:15" x14ac:dyDescent="0.15">
      <c r="A127" s="38">
        <f t="shared" si="15"/>
        <v>1773</v>
      </c>
      <c r="B127" s="109">
        <v>8.8000000000000007</v>
      </c>
      <c r="C127" s="107"/>
      <c r="D127" s="107"/>
      <c r="E127" s="107"/>
      <c r="F127" s="107"/>
      <c r="G127" s="107"/>
      <c r="H127" s="107"/>
      <c r="J127" s="109">
        <f t="shared" si="11"/>
        <v>8.8000000000000007</v>
      </c>
      <c r="K127" s="107"/>
      <c r="L127" s="107"/>
      <c r="M127" s="31">
        <f t="shared" si="16"/>
        <v>84.567999999999998</v>
      </c>
      <c r="N127" s="31">
        <f t="shared" si="13"/>
        <v>0.98245777085898833</v>
      </c>
      <c r="O127" s="31">
        <v>0.80150561118985109</v>
      </c>
    </row>
    <row r="128" spans="1:15" x14ac:dyDescent="0.15">
      <c r="A128" s="38">
        <f t="shared" si="15"/>
        <v>1774</v>
      </c>
      <c r="B128" s="109">
        <v>8.8000000000000007</v>
      </c>
      <c r="C128" s="107"/>
      <c r="D128" s="107"/>
      <c r="E128" s="107"/>
      <c r="F128" s="107"/>
      <c r="G128" s="107"/>
      <c r="H128" s="107"/>
      <c r="J128" s="109">
        <f t="shared" si="11"/>
        <v>8.8000000000000007</v>
      </c>
      <c r="K128" s="107"/>
      <c r="L128" s="107"/>
      <c r="M128" s="31">
        <f t="shared" si="16"/>
        <v>84.567999999999998</v>
      </c>
      <c r="N128" s="31">
        <f t="shared" si="13"/>
        <v>0.98245777085898833</v>
      </c>
      <c r="O128" s="31">
        <v>0.80150561118985109</v>
      </c>
    </row>
    <row r="129" spans="1:15" x14ac:dyDescent="0.15">
      <c r="A129" s="38">
        <f t="shared" si="15"/>
        <v>1775</v>
      </c>
      <c r="B129" s="109">
        <v>8.8000000000000007</v>
      </c>
      <c r="C129" s="107"/>
      <c r="D129" s="107"/>
      <c r="E129" s="107"/>
      <c r="F129" s="107"/>
      <c r="G129" s="107"/>
      <c r="H129" s="107"/>
      <c r="J129" s="109">
        <f t="shared" si="11"/>
        <v>8.8000000000000007</v>
      </c>
      <c r="K129" s="107"/>
      <c r="L129" s="107"/>
      <c r="M129" s="31">
        <f t="shared" si="16"/>
        <v>84.567999999999998</v>
      </c>
      <c r="N129" s="31">
        <f t="shared" si="13"/>
        <v>0.98245777085898833</v>
      </c>
      <c r="O129" s="31">
        <v>0.80150561118985109</v>
      </c>
    </row>
    <row r="130" spans="1:15" x14ac:dyDescent="0.15">
      <c r="A130" s="38">
        <f t="shared" si="15"/>
        <v>1776</v>
      </c>
      <c r="B130" s="109">
        <v>8.8000000000000007</v>
      </c>
      <c r="C130" s="107"/>
      <c r="D130" s="107"/>
      <c r="E130" s="107"/>
      <c r="F130" s="107"/>
      <c r="G130" s="107"/>
      <c r="H130" s="107"/>
      <c r="J130" s="109">
        <f t="shared" si="11"/>
        <v>8.8000000000000007</v>
      </c>
      <c r="K130" s="107"/>
      <c r="L130" s="107"/>
      <c r="M130" s="31">
        <f t="shared" si="16"/>
        <v>84.567999999999998</v>
      </c>
      <c r="N130" s="31">
        <f t="shared" si="13"/>
        <v>0.98245777085898833</v>
      </c>
      <c r="O130" s="31">
        <v>0.80150561118985109</v>
      </c>
    </row>
    <row r="131" spans="1:15" x14ac:dyDescent="0.15">
      <c r="A131" s="38">
        <f t="shared" si="15"/>
        <v>1777</v>
      </c>
      <c r="B131" s="109">
        <v>8.8000000000000007</v>
      </c>
      <c r="C131" s="107"/>
      <c r="D131" s="107"/>
      <c r="E131" s="107"/>
      <c r="F131" s="107"/>
      <c r="G131" s="107"/>
      <c r="H131" s="107"/>
      <c r="J131" s="109">
        <f t="shared" si="11"/>
        <v>8.8000000000000007</v>
      </c>
      <c r="K131" s="107"/>
      <c r="L131" s="107"/>
      <c r="M131" s="31">
        <f t="shared" si="16"/>
        <v>84.567999999999998</v>
      </c>
      <c r="N131" s="31">
        <f t="shared" si="13"/>
        <v>0.98245777085898833</v>
      </c>
      <c r="O131" s="31">
        <v>0.80150561118985109</v>
      </c>
    </row>
    <row r="132" spans="1:15" x14ac:dyDescent="0.15">
      <c r="A132" s="38">
        <f t="shared" si="15"/>
        <v>1778</v>
      </c>
      <c r="B132" s="109">
        <v>8.8000000000000007</v>
      </c>
      <c r="C132" s="107"/>
      <c r="D132" s="107"/>
      <c r="E132" s="107"/>
      <c r="F132" s="107"/>
      <c r="G132" s="107"/>
      <c r="H132" s="107"/>
      <c r="J132" s="109">
        <f t="shared" si="11"/>
        <v>8.8000000000000007</v>
      </c>
      <c r="K132" s="107"/>
      <c r="L132" s="107"/>
      <c r="M132" s="31">
        <f t="shared" si="16"/>
        <v>84.567999999999998</v>
      </c>
      <c r="N132" s="31">
        <f t="shared" si="13"/>
        <v>0.98245777085898833</v>
      </c>
      <c r="O132" s="31">
        <v>0.80150561118985109</v>
      </c>
    </row>
    <row r="133" spans="1:15" x14ac:dyDescent="0.15">
      <c r="A133" s="38">
        <f t="shared" si="15"/>
        <v>1779</v>
      </c>
      <c r="B133" s="109">
        <v>8.8000000000000007</v>
      </c>
      <c r="C133" s="107"/>
      <c r="D133" s="107"/>
      <c r="E133" s="107"/>
      <c r="F133" s="107"/>
      <c r="G133" s="107"/>
      <c r="H133" s="107"/>
      <c r="J133" s="109">
        <f t="shared" si="11"/>
        <v>8.8000000000000007</v>
      </c>
      <c r="K133" s="107"/>
      <c r="L133" s="107"/>
      <c r="M133" s="31">
        <f t="shared" si="16"/>
        <v>84.567999999999998</v>
      </c>
      <c r="N133" s="31">
        <f t="shared" si="13"/>
        <v>0.98245777085898833</v>
      </c>
      <c r="O133" s="31">
        <v>0.80150561118985109</v>
      </c>
    </row>
    <row r="134" spans="1:15" x14ac:dyDescent="0.15">
      <c r="A134" s="38">
        <f t="shared" si="15"/>
        <v>1780</v>
      </c>
      <c r="B134" s="109">
        <v>8.8000000000000007</v>
      </c>
      <c r="C134" s="107"/>
      <c r="D134" s="107"/>
      <c r="E134" s="107"/>
      <c r="F134" s="107"/>
      <c r="G134" s="107"/>
      <c r="H134" s="107"/>
      <c r="J134" s="109">
        <f t="shared" si="11"/>
        <v>8.8000000000000007</v>
      </c>
      <c r="K134" s="107"/>
      <c r="L134" s="107"/>
      <c r="M134" s="31">
        <f t="shared" si="16"/>
        <v>84.567999999999998</v>
      </c>
      <c r="N134" s="31">
        <f t="shared" si="13"/>
        <v>0.98245777085898833</v>
      </c>
      <c r="O134" s="31">
        <v>0.80150561118985109</v>
      </c>
    </row>
    <row r="135" spans="1:15" x14ac:dyDescent="0.15">
      <c r="A135" s="38">
        <f t="shared" si="15"/>
        <v>1781</v>
      </c>
      <c r="B135" s="109">
        <v>8.8000000000000007</v>
      </c>
      <c r="C135" s="107"/>
      <c r="D135" s="107"/>
      <c r="E135" s="107"/>
      <c r="F135" s="107"/>
      <c r="G135" s="107"/>
      <c r="H135" s="107"/>
      <c r="J135" s="109">
        <f t="shared" si="11"/>
        <v>8.8000000000000007</v>
      </c>
      <c r="K135" s="107"/>
      <c r="L135" s="107"/>
      <c r="M135" s="31">
        <f t="shared" si="16"/>
        <v>84.567999999999998</v>
      </c>
      <c r="N135" s="31">
        <f t="shared" si="13"/>
        <v>0.98245777085898833</v>
      </c>
      <c r="O135" s="31">
        <v>0.80150561118985109</v>
      </c>
    </row>
    <row r="136" spans="1:15" x14ac:dyDescent="0.15">
      <c r="A136" s="38">
        <f t="shared" si="15"/>
        <v>1782</v>
      </c>
      <c r="B136" s="109">
        <v>8.8000000000000007</v>
      </c>
      <c r="C136" s="107"/>
      <c r="D136" s="107"/>
      <c r="E136" s="107"/>
      <c r="F136" s="107"/>
      <c r="G136" s="107"/>
      <c r="H136" s="107"/>
      <c r="J136" s="109">
        <f t="shared" si="11"/>
        <v>8.8000000000000007</v>
      </c>
      <c r="K136" s="107"/>
      <c r="L136" s="107"/>
      <c r="M136" s="31">
        <f t="shared" si="16"/>
        <v>84.567999999999998</v>
      </c>
      <c r="N136" s="31">
        <f t="shared" si="13"/>
        <v>0.98245777085898833</v>
      </c>
      <c r="O136" s="31">
        <v>0.80150561118985109</v>
      </c>
    </row>
    <row r="137" spans="1:15" x14ac:dyDescent="0.15">
      <c r="A137" s="38">
        <f t="shared" si="15"/>
        <v>1783</v>
      </c>
      <c r="B137" s="109">
        <v>8.8000000000000007</v>
      </c>
      <c r="C137" s="107"/>
      <c r="D137" s="107"/>
      <c r="E137" s="107"/>
      <c r="F137" s="107"/>
      <c r="G137" s="107"/>
      <c r="H137" s="107"/>
      <c r="J137" s="109">
        <f t="shared" si="11"/>
        <v>8.8000000000000007</v>
      </c>
      <c r="K137" s="107"/>
      <c r="L137" s="107"/>
      <c r="M137" s="31">
        <f t="shared" si="16"/>
        <v>84.567999999999998</v>
      </c>
      <c r="N137" s="31">
        <f t="shared" si="13"/>
        <v>0.98245777085898833</v>
      </c>
      <c r="O137" s="31">
        <v>0.80150561118985109</v>
      </c>
    </row>
    <row r="138" spans="1:15" x14ac:dyDescent="0.15">
      <c r="A138" s="38">
        <f t="shared" si="15"/>
        <v>1784</v>
      </c>
      <c r="B138" s="109">
        <v>8.8000000000000007</v>
      </c>
      <c r="C138" s="107">
        <v>8.8000000000000007</v>
      </c>
      <c r="D138" s="107"/>
      <c r="E138" s="107"/>
      <c r="F138" s="107"/>
      <c r="G138" s="107"/>
      <c r="H138" s="107"/>
      <c r="J138" s="109">
        <f t="shared" si="11"/>
        <v>8.8000000000000007</v>
      </c>
      <c r="K138" s="107"/>
      <c r="L138" s="107"/>
      <c r="M138" s="31">
        <f t="shared" si="16"/>
        <v>84.567999999999998</v>
      </c>
      <c r="N138" s="31">
        <f t="shared" si="13"/>
        <v>0.98245777085898833</v>
      </c>
      <c r="O138" s="31">
        <v>0.80150561118985109</v>
      </c>
    </row>
    <row r="139" spans="1:15" x14ac:dyDescent="0.15">
      <c r="A139" s="38">
        <f t="shared" si="15"/>
        <v>1785</v>
      </c>
      <c r="B139" s="109">
        <v>8.8000000000000007</v>
      </c>
      <c r="C139" s="107">
        <v>8.8000000000000007</v>
      </c>
      <c r="D139" s="107">
        <v>4</v>
      </c>
      <c r="E139" s="107"/>
      <c r="F139" s="107"/>
      <c r="G139" s="107"/>
      <c r="H139" s="107"/>
      <c r="J139" s="109">
        <f>(B139+C139+D139*2.4)/3</f>
        <v>9.0666666666666682</v>
      </c>
      <c r="K139" s="107"/>
      <c r="L139" s="107"/>
      <c r="M139" s="31">
        <f t="shared" si="16"/>
        <v>87.13066666666667</v>
      </c>
      <c r="N139" s="31">
        <f t="shared" si="13"/>
        <v>1.012229218460776</v>
      </c>
      <c r="O139" s="31">
        <v>0.82579366001378607</v>
      </c>
    </row>
    <row r="140" spans="1:15" x14ac:dyDescent="0.15">
      <c r="A140" s="38">
        <f t="shared" si="15"/>
        <v>1786</v>
      </c>
      <c r="B140" s="109">
        <v>8.8000000000000007</v>
      </c>
      <c r="C140" s="107"/>
      <c r="D140" s="107">
        <v>4</v>
      </c>
      <c r="E140" s="107"/>
      <c r="F140" s="107"/>
      <c r="G140" s="107"/>
      <c r="H140" s="107"/>
      <c r="J140" s="109">
        <f>(B140+D140*2.4)/2</f>
        <v>9.1999999999999993</v>
      </c>
      <c r="K140" s="107"/>
      <c r="L140" s="107"/>
      <c r="M140" s="31">
        <f t="shared" si="16"/>
        <v>88.411999999999992</v>
      </c>
      <c r="N140" s="31">
        <f t="shared" si="13"/>
        <v>1.0271149422616694</v>
      </c>
      <c r="O140" s="31">
        <v>0.83793768442575334</v>
      </c>
    </row>
    <row r="141" spans="1:15" x14ac:dyDescent="0.15">
      <c r="A141" s="38">
        <f t="shared" si="15"/>
        <v>1787</v>
      </c>
      <c r="B141" s="109">
        <v>22</v>
      </c>
      <c r="C141" s="107"/>
      <c r="D141" s="107"/>
      <c r="E141" s="107"/>
      <c r="F141" s="107"/>
      <c r="G141" s="107"/>
      <c r="H141" s="107"/>
      <c r="J141" s="109">
        <f t="shared" si="11"/>
        <v>22</v>
      </c>
      <c r="K141" s="107"/>
      <c r="L141" s="107"/>
      <c r="M141" s="31">
        <f t="shared" si="16"/>
        <v>211.42</v>
      </c>
      <c r="N141" s="31">
        <f t="shared" si="13"/>
        <v>2.4561444271474708</v>
      </c>
      <c r="O141" s="31">
        <v>2.0037640279746274</v>
      </c>
    </row>
    <row r="142" spans="1:15" x14ac:dyDescent="0.15">
      <c r="A142" s="38">
        <f t="shared" si="15"/>
        <v>1788</v>
      </c>
      <c r="B142" s="109">
        <v>8.8000000000000007</v>
      </c>
      <c r="C142" s="107"/>
      <c r="D142" s="107"/>
      <c r="E142" s="107"/>
      <c r="F142" s="107"/>
      <c r="G142" s="107"/>
      <c r="H142" s="107"/>
      <c r="J142" s="109">
        <f t="shared" si="11"/>
        <v>8.8000000000000007</v>
      </c>
      <c r="K142" s="107"/>
      <c r="L142" s="107"/>
      <c r="M142" s="31">
        <f t="shared" si="16"/>
        <v>84.567999999999998</v>
      </c>
      <c r="N142" s="31">
        <f t="shared" si="13"/>
        <v>0.98245777085898833</v>
      </c>
      <c r="O142" s="31">
        <v>0.80150561118985109</v>
      </c>
    </row>
    <row r="143" spans="1:15" x14ac:dyDescent="0.15">
      <c r="A143" s="38">
        <f t="shared" si="15"/>
        <v>1789</v>
      </c>
      <c r="B143" s="109">
        <v>8.8000000000000007</v>
      </c>
      <c r="C143" s="107"/>
      <c r="D143" s="107"/>
      <c r="E143" s="107"/>
      <c r="F143" s="107"/>
      <c r="G143" s="107"/>
      <c r="H143" s="107"/>
      <c r="J143" s="109">
        <f t="shared" ref="J143:J148" si="17">AVERAGE(B143:C143)</f>
        <v>8.8000000000000007</v>
      </c>
      <c r="K143" s="107"/>
      <c r="L143" s="107"/>
      <c r="M143" s="31">
        <f t="shared" si="16"/>
        <v>84.567999999999998</v>
      </c>
      <c r="N143" s="31">
        <f t="shared" ref="N143:N148" si="18">M143/(111.5*0.772)</f>
        <v>0.98245777085898833</v>
      </c>
      <c r="O143" s="31">
        <v>0.80150561118985109</v>
      </c>
    </row>
    <row r="144" spans="1:15" x14ac:dyDescent="0.15">
      <c r="A144" s="38">
        <f t="shared" si="15"/>
        <v>1790</v>
      </c>
      <c r="B144" s="109">
        <v>8.8000000000000007</v>
      </c>
      <c r="C144" s="107"/>
      <c r="D144" s="107"/>
      <c r="E144" s="107"/>
      <c r="F144" s="107"/>
      <c r="G144" s="107"/>
      <c r="H144" s="107"/>
      <c r="J144" s="109">
        <f t="shared" si="17"/>
        <v>8.8000000000000007</v>
      </c>
      <c r="K144" s="107"/>
      <c r="L144" s="107"/>
      <c r="M144" s="31">
        <f t="shared" si="16"/>
        <v>84.567999999999998</v>
      </c>
      <c r="N144" s="31">
        <f t="shared" si="18"/>
        <v>0.98245777085898833</v>
      </c>
      <c r="O144" s="31">
        <v>0.80150561118985109</v>
      </c>
    </row>
    <row r="145" spans="1:15" x14ac:dyDescent="0.15">
      <c r="A145" s="38">
        <f t="shared" si="15"/>
        <v>1791</v>
      </c>
      <c r="B145" s="109">
        <v>8.8000000000000007</v>
      </c>
      <c r="C145" s="107"/>
      <c r="D145" s="107"/>
      <c r="E145" s="107"/>
      <c r="F145" s="107"/>
      <c r="G145" s="107"/>
      <c r="H145" s="107"/>
      <c r="J145" s="109">
        <f t="shared" si="17"/>
        <v>8.8000000000000007</v>
      </c>
      <c r="K145" s="107"/>
      <c r="L145" s="107"/>
      <c r="M145" s="31">
        <f t="shared" si="16"/>
        <v>84.567999999999998</v>
      </c>
      <c r="N145" s="31">
        <f t="shared" si="18"/>
        <v>0.98245777085898833</v>
      </c>
      <c r="O145" s="31">
        <v>0.80150561118985109</v>
      </c>
    </row>
    <row r="146" spans="1:15" x14ac:dyDescent="0.15">
      <c r="A146" s="38">
        <f t="shared" si="15"/>
        <v>1792</v>
      </c>
      <c r="B146" s="109">
        <v>8.8000000000000007</v>
      </c>
      <c r="C146" s="107"/>
      <c r="D146" s="107"/>
      <c r="E146" s="107"/>
      <c r="F146" s="107"/>
      <c r="G146" s="107"/>
      <c r="H146" s="107"/>
      <c r="J146" s="109">
        <f t="shared" si="17"/>
        <v>8.8000000000000007</v>
      </c>
      <c r="K146" s="107"/>
      <c r="L146" s="107"/>
      <c r="M146" s="31">
        <f t="shared" si="16"/>
        <v>84.567999999999998</v>
      </c>
      <c r="N146" s="31">
        <f t="shared" si="18"/>
        <v>0.98245777085898833</v>
      </c>
      <c r="O146" s="31">
        <v>0.80150561118985109</v>
      </c>
    </row>
    <row r="147" spans="1:15" x14ac:dyDescent="0.15">
      <c r="A147" s="38">
        <f t="shared" si="15"/>
        <v>1793</v>
      </c>
      <c r="B147" s="109">
        <v>8.8000000000000007</v>
      </c>
      <c r="C147" s="107"/>
      <c r="D147" s="107"/>
      <c r="E147" s="107"/>
      <c r="F147" s="107"/>
      <c r="G147" s="107"/>
      <c r="H147" s="107"/>
      <c r="J147" s="109">
        <f t="shared" si="17"/>
        <v>8.8000000000000007</v>
      </c>
      <c r="K147" s="107"/>
      <c r="L147" s="107"/>
      <c r="M147" s="31">
        <f t="shared" si="16"/>
        <v>84.567999999999998</v>
      </c>
      <c r="N147" s="31">
        <f t="shared" si="18"/>
        <v>0.98245777085898833</v>
      </c>
      <c r="O147" s="31">
        <v>0.80150561118985109</v>
      </c>
    </row>
    <row r="148" spans="1:15" x14ac:dyDescent="0.15">
      <c r="A148" s="38">
        <v>1794</v>
      </c>
      <c r="B148" s="109">
        <v>8.8000000000000007</v>
      </c>
      <c r="C148" s="107"/>
      <c r="D148" s="107"/>
      <c r="E148" s="107"/>
      <c r="F148" s="107"/>
      <c r="G148" s="107"/>
      <c r="H148" s="107"/>
      <c r="J148" s="109">
        <f t="shared" si="17"/>
        <v>8.8000000000000007</v>
      </c>
      <c r="K148" s="107"/>
      <c r="L148" s="107"/>
      <c r="M148" s="31">
        <f t="shared" si="16"/>
        <v>84.567999999999998</v>
      </c>
      <c r="N148" s="31">
        <f t="shared" si="18"/>
        <v>0.98245777085898833</v>
      </c>
      <c r="O148" s="31">
        <v>0.80150561118985109</v>
      </c>
    </row>
    <row r="149" spans="1:15" x14ac:dyDescent="0.15">
      <c r="A149" s="38">
        <v>1795</v>
      </c>
      <c r="B149" s="109"/>
      <c r="C149" s="107"/>
      <c r="D149" s="107"/>
      <c r="E149" s="107">
        <v>4</v>
      </c>
      <c r="F149" s="107"/>
      <c r="G149" s="107"/>
      <c r="H149" s="107"/>
      <c r="J149" s="109"/>
      <c r="K149" s="107">
        <f>E149</f>
        <v>4</v>
      </c>
      <c r="L149" s="107">
        <f>K149*0.2</f>
        <v>0.8</v>
      </c>
      <c r="M149" s="31">
        <f>L149*111.4</f>
        <v>89.12</v>
      </c>
      <c r="N149" s="31">
        <f>M149/(111.5*0.772)</f>
        <v>1.0353400404284487</v>
      </c>
      <c r="O149" s="31">
        <v>1.0353400404284501</v>
      </c>
    </row>
    <row r="150" spans="1:15" x14ac:dyDescent="0.15">
      <c r="A150" s="38">
        <f t="shared" ref="A150:A213" si="19">A149+1</f>
        <v>1796</v>
      </c>
      <c r="B150" s="109"/>
      <c r="C150" s="107"/>
      <c r="D150" s="107"/>
      <c r="E150" s="107"/>
      <c r="F150" s="107"/>
      <c r="G150" s="107"/>
      <c r="H150" s="107"/>
      <c r="J150" s="107"/>
      <c r="K150" s="107"/>
      <c r="L150" s="107"/>
      <c r="M150" s="31"/>
      <c r="N150" s="107"/>
      <c r="O150" s="55">
        <f>O149+($O$151-$O$149)/2</f>
        <v>1.0353400404284494</v>
      </c>
    </row>
    <row r="151" spans="1:15" x14ac:dyDescent="0.15">
      <c r="A151" s="38">
        <f t="shared" si="19"/>
        <v>1797</v>
      </c>
      <c r="B151" s="109"/>
      <c r="C151" s="107"/>
      <c r="D151" s="107"/>
      <c r="E151" s="107">
        <v>4</v>
      </c>
      <c r="F151" s="107"/>
      <c r="G151" s="107"/>
      <c r="H151" s="107"/>
      <c r="J151" s="107"/>
      <c r="K151" s="107">
        <v>4</v>
      </c>
      <c r="L151" s="107">
        <f>K151*0.2</f>
        <v>0.8</v>
      </c>
      <c r="M151" s="31">
        <f>L151*111.4</f>
        <v>89.12</v>
      </c>
      <c r="N151" s="31">
        <f>M151/(111.5*0.772)</f>
        <v>1.0353400404284487</v>
      </c>
      <c r="O151" s="31">
        <v>1.0353400404284487</v>
      </c>
    </row>
    <row r="152" spans="1:15" x14ac:dyDescent="0.15">
      <c r="A152" s="38">
        <f t="shared" si="19"/>
        <v>1798</v>
      </c>
      <c r="B152" s="109"/>
      <c r="C152" s="107"/>
      <c r="D152" s="107"/>
      <c r="E152" s="107"/>
      <c r="F152" s="107"/>
      <c r="G152" s="107"/>
      <c r="H152" s="107"/>
      <c r="J152" s="107"/>
      <c r="K152" s="107"/>
      <c r="L152" s="107"/>
      <c r="M152" s="107"/>
      <c r="N152" s="107"/>
      <c r="O152" s="55">
        <f t="shared" ref="O152:O178" si="20">O151+($O$179-$O$151)/28</f>
        <v>1.033214463998172</v>
      </c>
    </row>
    <row r="153" spans="1:15" x14ac:dyDescent="0.15">
      <c r="A153" s="38">
        <f t="shared" si="19"/>
        <v>1799</v>
      </c>
      <c r="B153" s="109"/>
      <c r="C153" s="107"/>
      <c r="D153" s="107"/>
      <c r="E153" s="107"/>
      <c r="F153" s="107"/>
      <c r="G153" s="107"/>
      <c r="H153" s="107"/>
      <c r="J153" s="107"/>
      <c r="K153" s="107"/>
      <c r="L153" s="107"/>
      <c r="M153" s="107"/>
      <c r="N153" s="107"/>
      <c r="O153" s="55">
        <f t="shared" si="20"/>
        <v>1.0310888875678952</v>
      </c>
    </row>
    <row r="154" spans="1:15" x14ac:dyDescent="0.15">
      <c r="A154" s="38">
        <f t="shared" si="19"/>
        <v>1800</v>
      </c>
      <c r="B154" s="109"/>
      <c r="C154" s="107"/>
      <c r="D154" s="107"/>
      <c r="E154" s="107"/>
      <c r="F154" s="107"/>
      <c r="G154" s="107"/>
      <c r="H154" s="107"/>
      <c r="J154" s="107"/>
      <c r="K154" s="107"/>
      <c r="L154" s="107"/>
      <c r="M154" s="107"/>
      <c r="N154" s="107"/>
      <c r="O154" s="55">
        <f t="shared" si="20"/>
        <v>1.0289633111376184</v>
      </c>
    </row>
    <row r="155" spans="1:15" x14ac:dyDescent="0.15">
      <c r="A155" s="38">
        <f t="shared" si="19"/>
        <v>1801</v>
      </c>
      <c r="B155" s="109"/>
      <c r="C155" s="107"/>
      <c r="D155" s="107"/>
      <c r="E155" s="107"/>
      <c r="F155" s="107"/>
      <c r="G155" s="107"/>
      <c r="H155" s="107"/>
      <c r="J155" s="107"/>
      <c r="K155" s="107"/>
      <c r="L155" s="107"/>
      <c r="M155" s="107"/>
      <c r="N155" s="107"/>
      <c r="O155" s="55">
        <f t="shared" si="20"/>
        <v>1.0268377347073416</v>
      </c>
    </row>
    <row r="156" spans="1:15" x14ac:dyDescent="0.15">
      <c r="A156" s="38">
        <f t="shared" si="19"/>
        <v>1802</v>
      </c>
      <c r="B156" s="109"/>
      <c r="C156" s="107"/>
      <c r="D156" s="107"/>
      <c r="E156" s="107"/>
      <c r="F156" s="107"/>
      <c r="G156" s="107"/>
      <c r="H156" s="107"/>
      <c r="J156" s="107"/>
      <c r="K156" s="107"/>
      <c r="L156" s="107"/>
      <c r="M156" s="107"/>
      <c r="N156" s="107"/>
      <c r="O156" s="55">
        <f t="shared" si="20"/>
        <v>1.0247121582770649</v>
      </c>
    </row>
    <row r="157" spans="1:15" x14ac:dyDescent="0.15">
      <c r="A157" s="38">
        <f t="shared" si="19"/>
        <v>1803</v>
      </c>
      <c r="B157" s="109"/>
      <c r="C157" s="107"/>
      <c r="D157" s="107"/>
      <c r="E157" s="107"/>
      <c r="F157" s="107"/>
      <c r="G157" s="107"/>
      <c r="H157" s="107"/>
      <c r="J157" s="107"/>
      <c r="K157" s="107"/>
      <c r="L157" s="107"/>
      <c r="M157" s="107"/>
      <c r="N157" s="107"/>
      <c r="O157" s="55">
        <f t="shared" si="20"/>
        <v>1.0225865818467881</v>
      </c>
    </row>
    <row r="158" spans="1:15" x14ac:dyDescent="0.15">
      <c r="A158" s="38">
        <f t="shared" si="19"/>
        <v>1804</v>
      </c>
      <c r="B158" s="109"/>
      <c r="C158" s="107"/>
      <c r="D158" s="107"/>
      <c r="E158" s="107"/>
      <c r="F158" s="107"/>
      <c r="G158" s="107"/>
      <c r="H158" s="107"/>
      <c r="J158" s="107"/>
      <c r="K158" s="107"/>
      <c r="L158" s="107"/>
      <c r="M158" s="107"/>
      <c r="N158" s="107"/>
      <c r="O158" s="55">
        <f t="shared" si="20"/>
        <v>1.0204610054165113</v>
      </c>
    </row>
    <row r="159" spans="1:15" x14ac:dyDescent="0.15">
      <c r="A159" s="38">
        <f t="shared" si="19"/>
        <v>1805</v>
      </c>
      <c r="B159" s="109"/>
      <c r="C159" s="107"/>
      <c r="D159" s="107"/>
      <c r="E159" s="107"/>
      <c r="F159" s="107"/>
      <c r="G159" s="107"/>
      <c r="H159" s="107"/>
      <c r="J159" s="107"/>
      <c r="K159" s="107"/>
      <c r="L159" s="107"/>
      <c r="M159" s="107"/>
      <c r="N159" s="107"/>
      <c r="O159" s="55">
        <f t="shared" si="20"/>
        <v>1.0183354289862345</v>
      </c>
    </row>
    <row r="160" spans="1:15" x14ac:dyDescent="0.15">
      <c r="A160" s="38">
        <f t="shared" si="19"/>
        <v>1806</v>
      </c>
      <c r="B160" s="109"/>
      <c r="C160" s="107"/>
      <c r="D160" s="107"/>
      <c r="E160" s="107"/>
      <c r="F160" s="107"/>
      <c r="G160" s="107"/>
      <c r="H160" s="107"/>
      <c r="J160" s="107"/>
      <c r="K160" s="107"/>
      <c r="L160" s="107"/>
      <c r="M160" s="107"/>
      <c r="N160" s="107"/>
      <c r="O160" s="55">
        <f t="shared" si="20"/>
        <v>1.0162098525559577</v>
      </c>
    </row>
    <row r="161" spans="1:15" x14ac:dyDescent="0.15">
      <c r="A161" s="38">
        <f t="shared" si="19"/>
        <v>1807</v>
      </c>
      <c r="B161" s="109"/>
      <c r="C161" s="107"/>
      <c r="D161" s="107"/>
      <c r="E161" s="107"/>
      <c r="F161" s="107"/>
      <c r="G161" s="107"/>
      <c r="H161" s="107"/>
      <c r="J161" s="107"/>
      <c r="K161" s="107"/>
      <c r="L161" s="107"/>
      <c r="M161" s="107"/>
      <c r="N161" s="107"/>
      <c r="O161" s="55">
        <f t="shared" si="20"/>
        <v>1.014084276125681</v>
      </c>
    </row>
    <row r="162" spans="1:15" x14ac:dyDescent="0.15">
      <c r="A162" s="38">
        <f t="shared" si="19"/>
        <v>1808</v>
      </c>
      <c r="B162" s="109"/>
      <c r="C162" s="107"/>
      <c r="D162" s="107"/>
      <c r="E162" s="107"/>
      <c r="F162" s="107"/>
      <c r="G162" s="107"/>
      <c r="H162" s="107"/>
      <c r="J162" s="107"/>
      <c r="K162" s="107"/>
      <c r="L162" s="107"/>
      <c r="M162" s="107"/>
      <c r="N162" s="107"/>
      <c r="O162" s="55">
        <f t="shared" si="20"/>
        <v>1.0119586996954042</v>
      </c>
    </row>
    <row r="163" spans="1:15" x14ac:dyDescent="0.15">
      <c r="A163" s="38">
        <f t="shared" si="19"/>
        <v>1809</v>
      </c>
      <c r="B163" s="109"/>
      <c r="C163" s="107"/>
      <c r="D163" s="107"/>
      <c r="E163" s="107"/>
      <c r="F163" s="107"/>
      <c r="G163" s="107"/>
      <c r="H163" s="107"/>
      <c r="J163" s="107"/>
      <c r="K163" s="107"/>
      <c r="L163" s="107"/>
      <c r="M163" s="107"/>
      <c r="N163" s="107"/>
      <c r="O163" s="55">
        <f t="shared" si="20"/>
        <v>1.0098331232651274</v>
      </c>
    </row>
    <row r="164" spans="1:15" x14ac:dyDescent="0.15">
      <c r="A164" s="38">
        <f t="shared" si="19"/>
        <v>1810</v>
      </c>
      <c r="B164" s="109"/>
      <c r="C164" s="107"/>
      <c r="D164" s="107"/>
      <c r="E164" s="107"/>
      <c r="F164" s="107"/>
      <c r="G164" s="107"/>
      <c r="H164" s="107"/>
      <c r="J164" s="107"/>
      <c r="K164" s="107"/>
      <c r="L164" s="107"/>
      <c r="M164" s="107"/>
      <c r="N164" s="107"/>
      <c r="O164" s="55">
        <f t="shared" si="20"/>
        <v>1.0077075468348506</v>
      </c>
    </row>
    <row r="165" spans="1:15" x14ac:dyDescent="0.15">
      <c r="A165" s="38">
        <f t="shared" si="19"/>
        <v>1811</v>
      </c>
      <c r="B165" s="109"/>
      <c r="C165" s="107"/>
      <c r="D165" s="107"/>
      <c r="E165" s="107"/>
      <c r="F165" s="107"/>
      <c r="G165" s="107"/>
      <c r="H165" s="107"/>
      <c r="J165" s="107"/>
      <c r="K165" s="107"/>
      <c r="L165" s="107"/>
      <c r="M165" s="107"/>
      <c r="N165" s="107"/>
      <c r="O165" s="55">
        <f t="shared" si="20"/>
        <v>1.0055819704045739</v>
      </c>
    </row>
    <row r="166" spans="1:15" x14ac:dyDescent="0.15">
      <c r="A166" s="38">
        <f t="shared" si="19"/>
        <v>1812</v>
      </c>
      <c r="B166" s="109"/>
      <c r="C166" s="107"/>
      <c r="D166" s="107"/>
      <c r="E166" s="107"/>
      <c r="F166" s="107"/>
      <c r="G166" s="107"/>
      <c r="H166" s="107"/>
      <c r="J166" s="107"/>
      <c r="K166" s="107"/>
      <c r="L166" s="107"/>
      <c r="M166" s="107"/>
      <c r="N166" s="107"/>
      <c r="O166" s="55">
        <f t="shared" si="20"/>
        <v>1.0034563939742971</v>
      </c>
    </row>
    <row r="167" spans="1:15" x14ac:dyDescent="0.15">
      <c r="A167" s="38">
        <f t="shared" si="19"/>
        <v>1813</v>
      </c>
      <c r="B167" s="109"/>
      <c r="C167" s="107"/>
      <c r="D167" s="107"/>
      <c r="E167" s="107"/>
      <c r="F167" s="107"/>
      <c r="G167" s="107"/>
      <c r="H167" s="107"/>
      <c r="J167" s="107"/>
      <c r="K167" s="107"/>
      <c r="L167" s="107"/>
      <c r="M167" s="107"/>
      <c r="N167" s="107"/>
      <c r="O167" s="55">
        <f t="shared" si="20"/>
        <v>1.0013308175440203</v>
      </c>
    </row>
    <row r="168" spans="1:15" x14ac:dyDescent="0.15">
      <c r="A168" s="38">
        <f t="shared" si="19"/>
        <v>1814</v>
      </c>
      <c r="B168" s="109"/>
      <c r="C168" s="107"/>
      <c r="D168" s="107"/>
      <c r="E168" s="107"/>
      <c r="F168" s="107"/>
      <c r="G168" s="107"/>
      <c r="H168" s="107"/>
      <c r="J168" s="107"/>
      <c r="K168" s="107"/>
      <c r="L168" s="107"/>
      <c r="M168" s="107"/>
      <c r="N168" s="107"/>
      <c r="O168" s="55">
        <f t="shared" si="20"/>
        <v>0.99920524111374354</v>
      </c>
    </row>
    <row r="169" spans="1:15" x14ac:dyDescent="0.15">
      <c r="A169" s="38">
        <f t="shared" si="19"/>
        <v>1815</v>
      </c>
      <c r="B169" s="109"/>
      <c r="C169" s="107"/>
      <c r="D169" s="107"/>
      <c r="E169" s="107"/>
      <c r="F169" s="107"/>
      <c r="G169" s="107"/>
      <c r="H169" s="107"/>
      <c r="J169" s="107"/>
      <c r="K169" s="107"/>
      <c r="L169" s="107"/>
      <c r="M169" s="107"/>
      <c r="N169" s="107"/>
      <c r="O169" s="55">
        <f t="shared" si="20"/>
        <v>0.99707966468346676</v>
      </c>
    </row>
    <row r="170" spans="1:15" x14ac:dyDescent="0.15">
      <c r="A170" s="38">
        <f t="shared" si="19"/>
        <v>1816</v>
      </c>
      <c r="B170" s="109"/>
      <c r="C170" s="107"/>
      <c r="D170" s="107"/>
      <c r="E170" s="107"/>
      <c r="F170" s="107"/>
      <c r="G170" s="107"/>
      <c r="H170" s="107"/>
      <c r="J170" s="107"/>
      <c r="K170" s="107"/>
      <c r="L170" s="107"/>
      <c r="M170" s="107"/>
      <c r="N170" s="107"/>
      <c r="O170" s="55">
        <f t="shared" si="20"/>
        <v>0.99495408825318998</v>
      </c>
    </row>
    <row r="171" spans="1:15" x14ac:dyDescent="0.15">
      <c r="A171" s="38">
        <f t="shared" si="19"/>
        <v>1817</v>
      </c>
      <c r="B171" s="109"/>
      <c r="C171" s="107"/>
      <c r="D171" s="107"/>
      <c r="E171" s="107"/>
      <c r="F171" s="107"/>
      <c r="G171" s="107"/>
      <c r="H171" s="107"/>
      <c r="J171" s="107"/>
      <c r="K171" s="107"/>
      <c r="L171" s="107"/>
      <c r="M171" s="107"/>
      <c r="N171" s="107"/>
      <c r="O171" s="55">
        <f t="shared" si="20"/>
        <v>0.99282851182291321</v>
      </c>
    </row>
    <row r="172" spans="1:15" x14ac:dyDescent="0.15">
      <c r="A172" s="38">
        <f t="shared" si="19"/>
        <v>1818</v>
      </c>
      <c r="B172" s="109"/>
      <c r="C172" s="107"/>
      <c r="D172" s="107"/>
      <c r="E172" s="107"/>
      <c r="F172" s="107"/>
      <c r="G172" s="107"/>
      <c r="H172" s="107"/>
      <c r="J172" s="107"/>
      <c r="K172" s="107"/>
      <c r="L172" s="107"/>
      <c r="M172" s="107"/>
      <c r="N172" s="107"/>
      <c r="O172" s="55">
        <f t="shared" si="20"/>
        <v>0.99070293539263643</v>
      </c>
    </row>
    <row r="173" spans="1:15" x14ac:dyDescent="0.15">
      <c r="A173" s="38">
        <f t="shared" si="19"/>
        <v>1819</v>
      </c>
      <c r="B173" s="109"/>
      <c r="C173" s="107"/>
      <c r="D173" s="107"/>
      <c r="E173" s="107"/>
      <c r="F173" s="107"/>
      <c r="G173" s="107"/>
      <c r="H173" s="107"/>
      <c r="J173" s="107"/>
      <c r="K173" s="107"/>
      <c r="L173" s="107"/>
      <c r="M173" s="107"/>
      <c r="N173" s="107"/>
      <c r="O173" s="55">
        <f t="shared" si="20"/>
        <v>0.98857735896235965</v>
      </c>
    </row>
    <row r="174" spans="1:15" x14ac:dyDescent="0.15">
      <c r="A174" s="38">
        <f t="shared" si="19"/>
        <v>1820</v>
      </c>
      <c r="B174" s="109"/>
      <c r="C174" s="107"/>
      <c r="D174" s="107"/>
      <c r="E174" s="107"/>
      <c r="F174" s="107"/>
      <c r="G174" s="107"/>
      <c r="H174" s="107"/>
      <c r="J174" s="107"/>
      <c r="K174" s="107"/>
      <c r="L174" s="107"/>
      <c r="M174" s="107"/>
      <c r="N174" s="107"/>
      <c r="O174" s="55">
        <f t="shared" si="20"/>
        <v>0.98645178253208288</v>
      </c>
    </row>
    <row r="175" spans="1:15" x14ac:dyDescent="0.15">
      <c r="A175" s="38">
        <f t="shared" si="19"/>
        <v>1821</v>
      </c>
      <c r="B175" s="109"/>
      <c r="C175" s="107"/>
      <c r="D175" s="107"/>
      <c r="E175" s="107"/>
      <c r="F175" s="107"/>
      <c r="G175" s="107"/>
      <c r="H175" s="107"/>
      <c r="J175" s="107"/>
      <c r="K175" s="107"/>
      <c r="L175" s="107"/>
      <c r="M175" s="107"/>
      <c r="N175" s="107"/>
      <c r="O175" s="55">
        <f t="shared" si="20"/>
        <v>0.9843262061018061</v>
      </c>
    </row>
    <row r="176" spans="1:15" x14ac:dyDescent="0.15">
      <c r="A176" s="38">
        <f t="shared" si="19"/>
        <v>1822</v>
      </c>
      <c r="B176" s="109"/>
      <c r="C176" s="107"/>
      <c r="D176" s="107"/>
      <c r="E176" s="107"/>
      <c r="F176" s="107"/>
      <c r="G176" s="107"/>
      <c r="H176" s="107"/>
      <c r="J176" s="107"/>
      <c r="K176" s="107"/>
      <c r="L176" s="107"/>
      <c r="M176" s="107"/>
      <c r="N176" s="107"/>
      <c r="O176" s="55">
        <f t="shared" si="20"/>
        <v>0.98220062967152932</v>
      </c>
    </row>
    <row r="177" spans="1:15" x14ac:dyDescent="0.15">
      <c r="A177" s="38">
        <f t="shared" si="19"/>
        <v>1823</v>
      </c>
      <c r="B177" s="109"/>
      <c r="C177" s="107"/>
      <c r="D177" s="107"/>
      <c r="E177" s="107"/>
      <c r="F177" s="107"/>
      <c r="G177" s="107"/>
      <c r="H177" s="107"/>
      <c r="J177" s="107"/>
      <c r="K177" s="107"/>
      <c r="L177" s="107"/>
      <c r="M177" s="107"/>
      <c r="N177" s="107"/>
      <c r="O177" s="55">
        <f t="shared" si="20"/>
        <v>0.98007505324125255</v>
      </c>
    </row>
    <row r="178" spans="1:15" x14ac:dyDescent="0.15">
      <c r="A178" s="38">
        <f t="shared" si="19"/>
        <v>1824</v>
      </c>
      <c r="B178" s="109"/>
      <c r="C178" s="107"/>
      <c r="D178" s="107"/>
      <c r="E178" s="107"/>
      <c r="F178" s="107"/>
      <c r="G178" s="107"/>
      <c r="H178" s="107"/>
      <c r="J178" s="107"/>
      <c r="K178" s="107"/>
      <c r="L178" s="107"/>
      <c r="M178" s="107"/>
      <c r="N178" s="107"/>
      <c r="O178" s="55">
        <f t="shared" si="20"/>
        <v>0.97794947681097577</v>
      </c>
    </row>
    <row r="179" spans="1:15" x14ac:dyDescent="0.15">
      <c r="A179" s="38">
        <f t="shared" si="19"/>
        <v>1825</v>
      </c>
      <c r="B179" s="109"/>
      <c r="C179" s="107"/>
      <c r="D179" s="107"/>
      <c r="E179" s="107"/>
      <c r="F179" s="107"/>
      <c r="G179" s="107">
        <v>0.80303030303030298</v>
      </c>
      <c r="H179" s="107"/>
      <c r="J179" s="107"/>
      <c r="K179" s="107"/>
      <c r="L179" s="107">
        <f>G179</f>
        <v>0.80303030303030298</v>
      </c>
      <c r="M179" s="107">
        <f>L179*104.6</f>
        <v>83.996969696969686</v>
      </c>
      <c r="N179" s="31">
        <f t="shared" ref="N179:N207" si="21">M179/(111.5*0.772)</f>
        <v>0.97582390038069755</v>
      </c>
      <c r="O179" s="31">
        <v>0.97582390038069755</v>
      </c>
    </row>
    <row r="180" spans="1:15" x14ac:dyDescent="0.15">
      <c r="A180" s="38">
        <f t="shared" si="19"/>
        <v>1826</v>
      </c>
      <c r="B180" s="109"/>
      <c r="C180" s="107"/>
      <c r="D180" s="107"/>
      <c r="E180" s="107"/>
      <c r="F180" s="107">
        <v>12.074999999999999</v>
      </c>
      <c r="G180" s="107"/>
      <c r="H180" s="107"/>
      <c r="J180" s="107"/>
      <c r="K180" s="107">
        <f>F180</f>
        <v>12.074999999999999</v>
      </c>
      <c r="L180" s="107">
        <f>K180*0.075</f>
        <v>0.9056249999999999</v>
      </c>
      <c r="M180" s="107">
        <f t="shared" ref="M180:M207" si="22">L180*104.6</f>
        <v>94.728374999999986</v>
      </c>
      <c r="N180" s="31">
        <f t="shared" si="21"/>
        <v>1.1004946095401842</v>
      </c>
      <c r="O180" s="31">
        <v>1.1004946095401842</v>
      </c>
    </row>
    <row r="181" spans="1:15" x14ac:dyDescent="0.15">
      <c r="A181" s="38">
        <f t="shared" si="19"/>
        <v>1827</v>
      </c>
      <c r="B181" s="109"/>
      <c r="C181" s="107"/>
      <c r="D181" s="107"/>
      <c r="E181" s="107"/>
      <c r="F181" s="107">
        <v>12.5</v>
      </c>
      <c r="G181" s="107">
        <v>0.8571428571428571</v>
      </c>
      <c r="H181" s="107"/>
      <c r="J181" s="107"/>
      <c r="K181" s="107">
        <f t="shared" ref="K181:K207" si="23">F181</f>
        <v>12.5</v>
      </c>
      <c r="L181" s="107">
        <f>(K181*0.075+G181)/2</f>
        <v>0.8973214285714286</v>
      </c>
      <c r="M181" s="107">
        <f t="shared" si="22"/>
        <v>93.859821428571422</v>
      </c>
      <c r="N181" s="31">
        <f t="shared" si="21"/>
        <v>1.0904043010824069</v>
      </c>
      <c r="O181" s="31">
        <v>1.0904043010824069</v>
      </c>
    </row>
    <row r="182" spans="1:15" x14ac:dyDescent="0.15">
      <c r="A182" s="38">
        <f t="shared" si="19"/>
        <v>1828</v>
      </c>
      <c r="B182" s="109"/>
      <c r="C182" s="107"/>
      <c r="D182" s="107"/>
      <c r="E182" s="107"/>
      <c r="F182" s="107">
        <v>9.546875</v>
      </c>
      <c r="G182" s="107"/>
      <c r="H182" s="107"/>
      <c r="J182" s="107"/>
      <c r="K182" s="107">
        <f t="shared" si="23"/>
        <v>9.546875</v>
      </c>
      <c r="L182" s="107">
        <f t="shared" ref="L182:L207" si="24">K182*0.075</f>
        <v>0.71601562499999993</v>
      </c>
      <c r="M182" s="107">
        <f t="shared" si="22"/>
        <v>74.895234374999987</v>
      </c>
      <c r="N182" s="31">
        <f t="shared" si="21"/>
        <v>0.87008567084504729</v>
      </c>
      <c r="O182" s="31">
        <v>0.87008567084504729</v>
      </c>
    </row>
    <row r="183" spans="1:15" x14ac:dyDescent="0.15">
      <c r="A183" s="38">
        <f t="shared" si="19"/>
        <v>1829</v>
      </c>
      <c r="B183" s="109"/>
      <c r="C183" s="107"/>
      <c r="D183" s="107"/>
      <c r="E183" s="107"/>
      <c r="F183" s="107">
        <v>12.760416666666666</v>
      </c>
      <c r="G183" s="107"/>
      <c r="H183" s="107"/>
      <c r="J183" s="107"/>
      <c r="K183" s="107">
        <f t="shared" si="23"/>
        <v>12.760416666666666</v>
      </c>
      <c r="L183" s="107">
        <f t="shared" si="24"/>
        <v>0.95703124999999989</v>
      </c>
      <c r="M183" s="107">
        <f t="shared" si="22"/>
        <v>100.10546874999999</v>
      </c>
      <c r="N183" s="31">
        <f t="shared" si="21"/>
        <v>1.1629622987290595</v>
      </c>
      <c r="O183" s="31">
        <v>1.1629622987290595</v>
      </c>
    </row>
    <row r="184" spans="1:15" x14ac:dyDescent="0.15">
      <c r="A184" s="38">
        <f t="shared" si="19"/>
        <v>1830</v>
      </c>
      <c r="B184" s="109"/>
      <c r="C184" s="107"/>
      <c r="D184" s="107"/>
      <c r="E184" s="107"/>
      <c r="F184" s="107">
        <v>14.208333333333334</v>
      </c>
      <c r="G184" s="107"/>
      <c r="H184" s="107"/>
      <c r="J184" s="107"/>
      <c r="K184" s="107">
        <f t="shared" si="23"/>
        <v>14.208333333333334</v>
      </c>
      <c r="L184" s="107">
        <f t="shared" si="24"/>
        <v>1.065625</v>
      </c>
      <c r="M184" s="107">
        <f t="shared" si="22"/>
        <v>111.464375</v>
      </c>
      <c r="N184" s="31">
        <f t="shared" si="21"/>
        <v>1.2949229187481122</v>
      </c>
      <c r="O184" s="31">
        <v>1.2949229187481122</v>
      </c>
    </row>
    <row r="185" spans="1:15" x14ac:dyDescent="0.15">
      <c r="A185" s="38">
        <f t="shared" si="19"/>
        <v>1831</v>
      </c>
      <c r="B185" s="109"/>
      <c r="C185" s="107"/>
      <c r="D185" s="107"/>
      <c r="E185" s="107"/>
      <c r="F185" s="107">
        <v>13.192708333333334</v>
      </c>
      <c r="G185" s="107"/>
      <c r="H185" s="107"/>
      <c r="J185" s="107"/>
      <c r="K185" s="107">
        <f t="shared" si="23"/>
        <v>13.192708333333334</v>
      </c>
      <c r="L185" s="107">
        <f t="shared" si="24"/>
        <v>0.98945312500000004</v>
      </c>
      <c r="M185" s="107">
        <f t="shared" si="22"/>
        <v>103.496796875</v>
      </c>
      <c r="N185" s="31">
        <f t="shared" si="21"/>
        <v>1.2023606133390645</v>
      </c>
      <c r="O185" s="31">
        <v>1.2023606133390645</v>
      </c>
    </row>
    <row r="186" spans="1:15" x14ac:dyDescent="0.15">
      <c r="A186" s="38">
        <f t="shared" si="19"/>
        <v>1832</v>
      </c>
      <c r="B186" s="109"/>
      <c r="C186" s="107"/>
      <c r="D186" s="107"/>
      <c r="E186" s="107"/>
      <c r="F186" s="107">
        <v>10.109375</v>
      </c>
      <c r="G186" s="107"/>
      <c r="H186" s="107"/>
      <c r="J186" s="107"/>
      <c r="K186" s="107">
        <f t="shared" si="23"/>
        <v>10.109375</v>
      </c>
      <c r="L186" s="107">
        <f t="shared" si="24"/>
        <v>0.75820312499999998</v>
      </c>
      <c r="M186" s="107">
        <f t="shared" si="22"/>
        <v>79.308046874999988</v>
      </c>
      <c r="N186" s="31">
        <f t="shared" si="21"/>
        <v>0.92135094768698145</v>
      </c>
      <c r="O186" s="31">
        <v>0.92135094768698145</v>
      </c>
    </row>
    <row r="187" spans="1:15" x14ac:dyDescent="0.15">
      <c r="A187" s="38">
        <f t="shared" si="19"/>
        <v>1833</v>
      </c>
      <c r="B187" s="109"/>
      <c r="C187" s="107"/>
      <c r="D187" s="107"/>
      <c r="E187" s="107"/>
      <c r="F187" s="107">
        <v>8.796875</v>
      </c>
      <c r="G187" s="107"/>
      <c r="H187" s="107"/>
      <c r="J187" s="107"/>
      <c r="K187" s="107">
        <f t="shared" si="23"/>
        <v>8.796875</v>
      </c>
      <c r="L187" s="107">
        <f t="shared" si="24"/>
        <v>0.65976562500000002</v>
      </c>
      <c r="M187" s="107">
        <f t="shared" si="22"/>
        <v>69.011484374999995</v>
      </c>
      <c r="N187" s="31">
        <f t="shared" si="21"/>
        <v>0.8017319683891353</v>
      </c>
      <c r="O187" s="31">
        <v>0.8017319683891353</v>
      </c>
    </row>
    <row r="188" spans="1:15" x14ac:dyDescent="0.15">
      <c r="A188" s="38">
        <f t="shared" si="19"/>
        <v>1834</v>
      </c>
      <c r="B188" s="109"/>
      <c r="C188" s="107"/>
      <c r="D188" s="107"/>
      <c r="E188" s="107"/>
      <c r="F188" s="107">
        <v>9.5833333333333339</v>
      </c>
      <c r="G188" s="107"/>
      <c r="H188" s="107"/>
      <c r="J188" s="107"/>
      <c r="K188" s="107">
        <f t="shared" si="23"/>
        <v>9.5833333333333339</v>
      </c>
      <c r="L188" s="107">
        <f t="shared" si="24"/>
        <v>0.71875</v>
      </c>
      <c r="M188" s="107">
        <f t="shared" si="22"/>
        <v>75.181249999999991</v>
      </c>
      <c r="N188" s="31">
        <f t="shared" si="21"/>
        <v>0.87340842026998755</v>
      </c>
      <c r="O188" s="31">
        <v>0.87340842026998755</v>
      </c>
    </row>
    <row r="189" spans="1:15" x14ac:dyDescent="0.15">
      <c r="A189" s="38">
        <f t="shared" si="19"/>
        <v>1835</v>
      </c>
      <c r="B189" s="109"/>
      <c r="C189" s="107"/>
      <c r="D189" s="107"/>
      <c r="E189" s="107"/>
      <c r="F189" s="107">
        <v>13.4375</v>
      </c>
      <c r="G189" s="107"/>
      <c r="H189" s="107"/>
      <c r="J189" s="107"/>
      <c r="K189" s="107">
        <f t="shared" si="23"/>
        <v>13.4375</v>
      </c>
      <c r="L189" s="107">
        <f t="shared" si="24"/>
        <v>1.0078125</v>
      </c>
      <c r="M189" s="107">
        <f t="shared" si="22"/>
        <v>105.4171875</v>
      </c>
      <c r="N189" s="31">
        <f t="shared" si="21"/>
        <v>1.2246705023350914</v>
      </c>
      <c r="O189" s="31">
        <v>1.2246705023350914</v>
      </c>
    </row>
    <row r="190" spans="1:15" x14ac:dyDescent="0.15">
      <c r="A190" s="38">
        <f t="shared" si="19"/>
        <v>1836</v>
      </c>
      <c r="B190" s="109"/>
      <c r="C190" s="107"/>
      <c r="D190" s="107"/>
      <c r="E190" s="107"/>
      <c r="F190" s="107">
        <v>16.395833333333332</v>
      </c>
      <c r="G190" s="107"/>
      <c r="H190" s="107"/>
      <c r="J190" s="107"/>
      <c r="K190" s="107">
        <f t="shared" si="23"/>
        <v>16.395833333333332</v>
      </c>
      <c r="L190" s="107">
        <f t="shared" si="24"/>
        <v>1.2296874999999998</v>
      </c>
      <c r="M190" s="107">
        <f t="shared" si="22"/>
        <v>128.62531249999998</v>
      </c>
      <c r="N190" s="31">
        <f t="shared" si="21"/>
        <v>1.4942878842445222</v>
      </c>
      <c r="O190" s="31">
        <v>1.4942878842445222</v>
      </c>
    </row>
    <row r="191" spans="1:15" x14ac:dyDescent="0.15">
      <c r="A191" s="38">
        <f t="shared" si="19"/>
        <v>1837</v>
      </c>
      <c r="B191" s="109"/>
      <c r="C191" s="107"/>
      <c r="D191" s="107"/>
      <c r="E191" s="107"/>
      <c r="F191" s="107">
        <v>17.510416666666668</v>
      </c>
      <c r="G191" s="107"/>
      <c r="H191" s="107"/>
      <c r="J191" s="107"/>
      <c r="K191" s="107">
        <f t="shared" si="23"/>
        <v>17.510416666666668</v>
      </c>
      <c r="L191" s="107">
        <f t="shared" si="24"/>
        <v>1.31328125</v>
      </c>
      <c r="M191" s="107">
        <f t="shared" si="22"/>
        <v>137.36921874999999</v>
      </c>
      <c r="N191" s="31">
        <f t="shared" si="21"/>
        <v>1.5958690809498359</v>
      </c>
      <c r="O191" s="31">
        <v>1.5958690809498359</v>
      </c>
    </row>
    <row r="192" spans="1:15" x14ac:dyDescent="0.15">
      <c r="A192" s="38">
        <f t="shared" si="19"/>
        <v>1838</v>
      </c>
      <c r="B192" s="109"/>
      <c r="C192" s="107"/>
      <c r="D192" s="107"/>
      <c r="E192" s="107"/>
      <c r="F192" s="107">
        <v>20.1875</v>
      </c>
      <c r="G192" s="107"/>
      <c r="H192" s="107"/>
      <c r="J192" s="107"/>
      <c r="K192" s="107">
        <f t="shared" si="23"/>
        <v>20.1875</v>
      </c>
      <c r="L192" s="107">
        <f t="shared" si="24"/>
        <v>1.5140624999999999</v>
      </c>
      <c r="M192" s="107">
        <f t="shared" si="22"/>
        <v>158.37093749999997</v>
      </c>
      <c r="N192" s="31">
        <f t="shared" si="21"/>
        <v>1.8398538244382998</v>
      </c>
      <c r="O192" s="31">
        <v>1.8398538244382998</v>
      </c>
    </row>
    <row r="193" spans="1:15" x14ac:dyDescent="0.15">
      <c r="A193" s="38">
        <f t="shared" si="19"/>
        <v>1839</v>
      </c>
      <c r="B193" s="109"/>
      <c r="C193" s="107"/>
      <c r="D193" s="107"/>
      <c r="E193" s="107"/>
      <c r="F193" s="107">
        <v>26.682291666666668</v>
      </c>
      <c r="G193" s="107"/>
      <c r="H193" s="107"/>
      <c r="J193" s="107"/>
      <c r="K193" s="107">
        <f t="shared" si="23"/>
        <v>26.682291666666668</v>
      </c>
      <c r="L193" s="107">
        <f t="shared" si="24"/>
        <v>2.0011718749999998</v>
      </c>
      <c r="M193" s="107">
        <f t="shared" si="22"/>
        <v>209.32257812499998</v>
      </c>
      <c r="N193" s="31">
        <f t="shared" si="21"/>
        <v>2.4317779005669276</v>
      </c>
      <c r="O193" s="31">
        <v>2.4317779005669276</v>
      </c>
    </row>
    <row r="194" spans="1:15" x14ac:dyDescent="0.15">
      <c r="A194" s="38">
        <f t="shared" si="19"/>
        <v>1840</v>
      </c>
      <c r="B194" s="109"/>
      <c r="C194" s="107"/>
      <c r="D194" s="107"/>
      <c r="E194" s="107"/>
      <c r="F194" s="107">
        <v>22.01846590909091</v>
      </c>
      <c r="G194" s="107"/>
      <c r="H194" s="107"/>
      <c r="J194" s="107"/>
      <c r="K194" s="107">
        <f t="shared" si="23"/>
        <v>22.01846590909091</v>
      </c>
      <c r="L194" s="107">
        <f t="shared" si="24"/>
        <v>1.6513849431818182</v>
      </c>
      <c r="M194" s="107">
        <f t="shared" si="22"/>
        <v>172.73486505681817</v>
      </c>
      <c r="N194" s="31">
        <f t="shared" si="21"/>
        <v>2.0067248897141914</v>
      </c>
      <c r="O194" s="31">
        <v>2.0067248897141914</v>
      </c>
    </row>
    <row r="195" spans="1:15" x14ac:dyDescent="0.15">
      <c r="A195" s="38">
        <f t="shared" si="19"/>
        <v>1841</v>
      </c>
      <c r="B195" s="109"/>
      <c r="C195" s="107"/>
      <c r="D195" s="107"/>
      <c r="E195" s="107"/>
      <c r="F195" s="107">
        <v>16.11778846153846</v>
      </c>
      <c r="G195" s="107"/>
      <c r="H195" s="107"/>
      <c r="J195" s="107"/>
      <c r="K195" s="107">
        <f t="shared" si="23"/>
        <v>16.11778846153846</v>
      </c>
      <c r="L195" s="107">
        <f t="shared" si="24"/>
        <v>1.2088341346153844</v>
      </c>
      <c r="M195" s="107">
        <f t="shared" si="22"/>
        <v>126.44405048076919</v>
      </c>
      <c r="N195" s="31">
        <f t="shared" si="21"/>
        <v>1.4689473556631101</v>
      </c>
      <c r="O195" s="31">
        <v>1.4689473556631101</v>
      </c>
    </row>
    <row r="196" spans="1:15" x14ac:dyDescent="0.15">
      <c r="A196" s="38">
        <f t="shared" si="19"/>
        <v>1842</v>
      </c>
      <c r="B196" s="109"/>
      <c r="C196" s="107"/>
      <c r="D196" s="107"/>
      <c r="E196" s="107"/>
      <c r="F196" s="107">
        <v>16.3</v>
      </c>
      <c r="G196" s="107"/>
      <c r="H196" s="107"/>
      <c r="J196" s="107"/>
      <c r="K196" s="107">
        <f t="shared" si="23"/>
        <v>16.3</v>
      </c>
      <c r="L196" s="107">
        <f t="shared" si="24"/>
        <v>1.2224999999999999</v>
      </c>
      <c r="M196" s="107">
        <f t="shared" si="22"/>
        <v>127.87349999999998</v>
      </c>
      <c r="N196" s="31">
        <f t="shared" si="21"/>
        <v>1.4855538000418222</v>
      </c>
      <c r="O196" s="31">
        <v>1.4855538000418222</v>
      </c>
    </row>
    <row r="197" spans="1:15" x14ac:dyDescent="0.15">
      <c r="A197" s="38">
        <f t="shared" si="19"/>
        <v>1843</v>
      </c>
      <c r="B197" s="109"/>
      <c r="C197" s="107"/>
      <c r="D197" s="107"/>
      <c r="E197" s="107"/>
      <c r="F197" s="107">
        <v>17.5</v>
      </c>
      <c r="G197" s="107"/>
      <c r="H197" s="107"/>
      <c r="J197" s="107"/>
      <c r="K197" s="107">
        <f t="shared" si="23"/>
        <v>17.5</v>
      </c>
      <c r="L197" s="107">
        <f t="shared" si="24"/>
        <v>1.3125</v>
      </c>
      <c r="M197" s="107">
        <f t="shared" si="22"/>
        <v>137.28749999999999</v>
      </c>
      <c r="N197" s="31">
        <f t="shared" si="21"/>
        <v>1.5949197239712818</v>
      </c>
      <c r="O197" s="31">
        <v>1.5949197239712818</v>
      </c>
    </row>
    <row r="198" spans="1:15" x14ac:dyDescent="0.15">
      <c r="A198" s="38">
        <f t="shared" si="19"/>
        <v>1844</v>
      </c>
      <c r="B198" s="109"/>
      <c r="C198" s="107"/>
      <c r="D198" s="107"/>
      <c r="E198" s="107"/>
      <c r="F198" s="107">
        <v>16.958333333333332</v>
      </c>
      <c r="G198" s="107"/>
      <c r="H198" s="107"/>
      <c r="J198" s="107"/>
      <c r="K198" s="107">
        <f t="shared" si="23"/>
        <v>16.958333333333332</v>
      </c>
      <c r="L198" s="107">
        <f t="shared" si="24"/>
        <v>1.2718749999999999</v>
      </c>
      <c r="M198" s="107">
        <f t="shared" si="22"/>
        <v>133.03812499999998</v>
      </c>
      <c r="N198" s="31">
        <f t="shared" si="21"/>
        <v>1.5455531610864561</v>
      </c>
      <c r="O198" s="31">
        <v>1.5455531610864561</v>
      </c>
    </row>
    <row r="199" spans="1:15" x14ac:dyDescent="0.15">
      <c r="A199" s="38">
        <f t="shared" si="19"/>
        <v>1845</v>
      </c>
      <c r="B199" s="109"/>
      <c r="C199" s="107"/>
      <c r="D199" s="107"/>
      <c r="E199" s="107"/>
      <c r="F199" s="107">
        <v>14.234375</v>
      </c>
      <c r="G199" s="107"/>
      <c r="H199" s="107"/>
      <c r="J199" s="107"/>
      <c r="K199" s="107">
        <f t="shared" si="23"/>
        <v>14.234375</v>
      </c>
      <c r="L199" s="107">
        <f t="shared" si="24"/>
        <v>1.067578125</v>
      </c>
      <c r="M199" s="107">
        <f t="shared" si="22"/>
        <v>111.668671875</v>
      </c>
      <c r="N199" s="31">
        <f t="shared" si="21"/>
        <v>1.297296311194498</v>
      </c>
      <c r="O199" s="31">
        <v>1.297296311194498</v>
      </c>
    </row>
    <row r="200" spans="1:15" x14ac:dyDescent="0.15">
      <c r="A200" s="38">
        <f t="shared" si="19"/>
        <v>1846</v>
      </c>
      <c r="B200" s="109"/>
      <c r="C200" s="107"/>
      <c r="D200" s="107"/>
      <c r="E200" s="107"/>
      <c r="F200" s="107">
        <v>16.90625</v>
      </c>
      <c r="G200" s="107"/>
      <c r="H200" s="107"/>
      <c r="J200" s="107"/>
      <c r="K200" s="107">
        <f t="shared" si="23"/>
        <v>16.90625</v>
      </c>
      <c r="L200" s="107">
        <f t="shared" si="24"/>
        <v>1.2679687499999999</v>
      </c>
      <c r="M200" s="107">
        <f t="shared" si="22"/>
        <v>132.62953124999999</v>
      </c>
      <c r="N200" s="31">
        <f t="shared" si="21"/>
        <v>1.5408063761936845</v>
      </c>
      <c r="O200" s="31">
        <v>1.5408063761936845</v>
      </c>
    </row>
    <row r="201" spans="1:15" x14ac:dyDescent="0.15">
      <c r="A201" s="38">
        <f t="shared" si="19"/>
        <v>1847</v>
      </c>
      <c r="B201" s="109"/>
      <c r="C201" s="107"/>
      <c r="D201" s="107"/>
      <c r="E201" s="107"/>
      <c r="F201" s="107">
        <v>22.68389423076923</v>
      </c>
      <c r="G201" s="107"/>
      <c r="H201" s="107"/>
      <c r="J201" s="107"/>
      <c r="K201" s="107">
        <f t="shared" si="23"/>
        <v>22.68389423076923</v>
      </c>
      <c r="L201" s="107">
        <f t="shared" si="24"/>
        <v>1.7012920673076921</v>
      </c>
      <c r="M201" s="107">
        <f t="shared" si="22"/>
        <v>177.9551502403846</v>
      </c>
      <c r="N201" s="31">
        <f t="shared" si="21"/>
        <v>2.0673708757218408</v>
      </c>
      <c r="O201" s="31">
        <v>2.0673708757218408</v>
      </c>
    </row>
    <row r="202" spans="1:15" x14ac:dyDescent="0.15">
      <c r="A202" s="38">
        <f t="shared" si="19"/>
        <v>1848</v>
      </c>
      <c r="B202" s="109"/>
      <c r="C202" s="107"/>
      <c r="D202" s="107"/>
      <c r="E202" s="107"/>
      <c r="F202" s="107">
        <v>19.416666666666668</v>
      </c>
      <c r="G202" s="107"/>
      <c r="H202" s="107"/>
      <c r="J202" s="107"/>
      <c r="K202" s="107">
        <f t="shared" si="23"/>
        <v>19.416666666666668</v>
      </c>
      <c r="L202" s="107">
        <f t="shared" si="24"/>
        <v>1.45625</v>
      </c>
      <c r="M202" s="107">
        <f t="shared" si="22"/>
        <v>152.32374999999999</v>
      </c>
      <c r="N202" s="31">
        <f t="shared" si="21"/>
        <v>1.7696014080252793</v>
      </c>
      <c r="O202" s="31">
        <v>1.7696014080252793</v>
      </c>
    </row>
    <row r="203" spans="1:15" x14ac:dyDescent="0.15">
      <c r="A203" s="38">
        <f t="shared" si="19"/>
        <v>1849</v>
      </c>
      <c r="B203" s="109"/>
      <c r="C203" s="107"/>
      <c r="D203" s="107"/>
      <c r="E203" s="107"/>
      <c r="F203" s="107">
        <v>15.5</v>
      </c>
      <c r="G203" s="107"/>
      <c r="H203" s="107"/>
      <c r="J203" s="107"/>
      <c r="K203" s="107">
        <f t="shared" si="23"/>
        <v>15.5</v>
      </c>
      <c r="L203" s="107">
        <f t="shared" si="24"/>
        <v>1.1624999999999999</v>
      </c>
      <c r="M203" s="107">
        <f t="shared" si="22"/>
        <v>121.59749999999998</v>
      </c>
      <c r="N203" s="31">
        <f t="shared" si="21"/>
        <v>1.4126431840888494</v>
      </c>
      <c r="O203" s="31">
        <v>1.4126431840888494</v>
      </c>
    </row>
    <row r="204" spans="1:15" x14ac:dyDescent="0.15">
      <c r="A204" s="38">
        <f t="shared" si="19"/>
        <v>1850</v>
      </c>
      <c r="B204" s="109"/>
      <c r="C204" s="107"/>
      <c r="D204" s="107"/>
      <c r="E204" s="107"/>
      <c r="F204" s="107">
        <v>15.677083333333334</v>
      </c>
      <c r="G204" s="107"/>
      <c r="H204" s="107"/>
      <c r="J204" s="107"/>
      <c r="K204" s="107">
        <f t="shared" si="23"/>
        <v>15.677083333333334</v>
      </c>
      <c r="L204" s="107">
        <f t="shared" si="24"/>
        <v>1.17578125</v>
      </c>
      <c r="M204" s="107">
        <f t="shared" si="22"/>
        <v>122.98671874999999</v>
      </c>
      <c r="N204" s="31">
        <f t="shared" si="21"/>
        <v>1.4287822527242733</v>
      </c>
      <c r="O204" s="31">
        <v>1.4287822527242733</v>
      </c>
    </row>
    <row r="205" spans="1:15" x14ac:dyDescent="0.15">
      <c r="A205" s="38">
        <f t="shared" si="19"/>
        <v>1851</v>
      </c>
      <c r="B205" s="109"/>
      <c r="C205" s="107"/>
      <c r="D205" s="107"/>
      <c r="E205" s="107"/>
      <c r="F205" s="107">
        <v>14.516927083333334</v>
      </c>
      <c r="G205" s="107"/>
      <c r="H205" s="107"/>
      <c r="J205" s="107"/>
      <c r="K205" s="107">
        <f t="shared" si="23"/>
        <v>14.516927083333334</v>
      </c>
      <c r="L205" s="107">
        <f t="shared" si="24"/>
        <v>1.0887695312500001</v>
      </c>
      <c r="M205" s="107">
        <f t="shared" si="22"/>
        <v>113.88529296875001</v>
      </c>
      <c r="N205" s="31">
        <f t="shared" si="21"/>
        <v>1.3230476192377845</v>
      </c>
      <c r="O205" s="31">
        <v>1.3230476192377845</v>
      </c>
    </row>
    <row r="206" spans="1:15" x14ac:dyDescent="0.15">
      <c r="A206" s="38">
        <f t="shared" si="19"/>
        <v>1852</v>
      </c>
      <c r="B206" s="109"/>
      <c r="C206" s="107"/>
      <c r="D206" s="107"/>
      <c r="E206" s="107"/>
      <c r="F206" s="107">
        <v>17.658854166666668</v>
      </c>
      <c r="G206" s="107"/>
      <c r="H206" s="107"/>
      <c r="J206" s="107"/>
      <c r="K206" s="107">
        <f t="shared" si="23"/>
        <v>17.658854166666668</v>
      </c>
      <c r="L206" s="107">
        <f t="shared" si="24"/>
        <v>1.3244140625</v>
      </c>
      <c r="M206" s="107">
        <f t="shared" si="22"/>
        <v>138.53371093749999</v>
      </c>
      <c r="N206" s="31">
        <f t="shared" si="21"/>
        <v>1.6093974178942352</v>
      </c>
      <c r="O206" s="31">
        <v>1.6093974178942352</v>
      </c>
    </row>
    <row r="207" spans="1:15" x14ac:dyDescent="0.15">
      <c r="A207" s="38">
        <f t="shared" si="19"/>
        <v>1853</v>
      </c>
      <c r="B207" s="109"/>
      <c r="C207" s="107"/>
      <c r="D207" s="107"/>
      <c r="E207" s="107"/>
      <c r="F207" s="107">
        <v>24.203125</v>
      </c>
      <c r="G207" s="107"/>
      <c r="H207" s="107"/>
      <c r="J207" s="107"/>
      <c r="K207" s="107">
        <f t="shared" si="23"/>
        <v>24.203125</v>
      </c>
      <c r="L207" s="107">
        <f t="shared" si="24"/>
        <v>1.815234375</v>
      </c>
      <c r="M207" s="107">
        <f t="shared" si="22"/>
        <v>189.87351562499998</v>
      </c>
      <c r="N207" s="31">
        <f t="shared" si="21"/>
        <v>2.2058309396709959</v>
      </c>
      <c r="O207" s="31">
        <v>2.2058309396709959</v>
      </c>
    </row>
    <row r="208" spans="1:15" x14ac:dyDescent="0.15">
      <c r="A208" s="38">
        <f t="shared" si="19"/>
        <v>1854</v>
      </c>
      <c r="B208" s="109"/>
      <c r="C208" s="107"/>
      <c r="D208" s="107"/>
      <c r="E208" s="107"/>
      <c r="F208" s="107"/>
      <c r="G208" s="107"/>
      <c r="H208" s="41">
        <v>1.4092511347741843</v>
      </c>
      <c r="J208" s="107"/>
      <c r="K208" s="107"/>
      <c r="L208" s="107"/>
      <c r="M208" s="107"/>
      <c r="N208" s="41">
        <v>1.4092511347741843</v>
      </c>
      <c r="O208" s="41">
        <v>1.4092511347741843</v>
      </c>
    </row>
    <row r="209" spans="1:15" x14ac:dyDescent="0.15">
      <c r="A209" s="38">
        <f t="shared" si="19"/>
        <v>1855</v>
      </c>
      <c r="B209" s="109"/>
      <c r="C209" s="107"/>
      <c r="D209" s="107"/>
      <c r="E209" s="107"/>
      <c r="F209" s="107"/>
      <c r="G209" s="107"/>
      <c r="H209" s="41">
        <v>1.3612084824523369</v>
      </c>
      <c r="J209" s="107"/>
      <c r="K209" s="107"/>
      <c r="L209" s="107"/>
      <c r="M209" s="107"/>
      <c r="N209" s="41">
        <v>1.3612084824523369</v>
      </c>
      <c r="O209" s="41">
        <v>1.3612084824523369</v>
      </c>
    </row>
    <row r="210" spans="1:15" x14ac:dyDescent="0.15">
      <c r="A210" s="38">
        <f t="shared" si="19"/>
        <v>1856</v>
      </c>
      <c r="B210" s="109"/>
      <c r="C210" s="107"/>
      <c r="D210" s="107"/>
      <c r="E210" s="107"/>
      <c r="F210" s="107"/>
      <c r="G210" s="107"/>
      <c r="H210" s="41">
        <v>1.4893222219772626</v>
      </c>
      <c r="J210" s="107"/>
      <c r="K210" s="107"/>
      <c r="L210" s="107"/>
      <c r="M210" s="107"/>
      <c r="N210" s="41">
        <v>1.4893222219772626</v>
      </c>
      <c r="O210" s="41">
        <v>1.4893222219772626</v>
      </c>
    </row>
    <row r="211" spans="1:15" x14ac:dyDescent="0.15">
      <c r="A211" s="38">
        <f t="shared" si="19"/>
        <v>1857</v>
      </c>
      <c r="B211" s="109"/>
      <c r="C211" s="107"/>
      <c r="D211" s="107"/>
      <c r="E211" s="107"/>
      <c r="F211" s="107"/>
      <c r="G211" s="107"/>
      <c r="H211" s="107"/>
      <c r="J211" s="107"/>
      <c r="K211" s="107"/>
      <c r="L211" s="107"/>
      <c r="M211" s="107"/>
      <c r="N211" s="107"/>
      <c r="O211" s="42">
        <f>O210+($O$213-$O$210)/3</f>
        <v>1.6361192151829069</v>
      </c>
    </row>
    <row r="212" spans="1:15" x14ac:dyDescent="0.15">
      <c r="A212" s="38">
        <f t="shared" si="19"/>
        <v>1858</v>
      </c>
      <c r="B212" s="109"/>
      <c r="C212" s="107"/>
      <c r="D212" s="107"/>
      <c r="E212" s="107"/>
      <c r="F212" s="107"/>
      <c r="G212" s="107"/>
      <c r="H212" s="107"/>
      <c r="J212" s="107"/>
      <c r="K212" s="107"/>
      <c r="L212" s="107"/>
      <c r="M212" s="107"/>
      <c r="N212" s="107"/>
      <c r="O212" s="42">
        <f>O211+($O$213-$O$210)/3</f>
        <v>1.7829162083885512</v>
      </c>
    </row>
    <row r="213" spans="1:15" x14ac:dyDescent="0.15">
      <c r="A213" s="38">
        <f t="shared" si="19"/>
        <v>1859</v>
      </c>
      <c r="B213" s="109"/>
      <c r="C213" s="107"/>
      <c r="D213" s="107"/>
      <c r="E213" s="107"/>
      <c r="F213" s="107"/>
      <c r="G213" s="107"/>
      <c r="H213" s="41">
        <v>1.9297132015941953</v>
      </c>
      <c r="J213" s="107"/>
      <c r="K213" s="107"/>
      <c r="L213" s="107"/>
      <c r="M213" s="107"/>
      <c r="N213" s="41">
        <v>1.9297132015941953</v>
      </c>
      <c r="O213" s="41">
        <v>1.9297132015941953</v>
      </c>
    </row>
    <row r="214" spans="1:15" x14ac:dyDescent="0.15">
      <c r="A214" s="38">
        <f t="shared" ref="A214:A264" si="25">A213+1</f>
        <v>1860</v>
      </c>
      <c r="B214" s="109"/>
      <c r="C214" s="107"/>
      <c r="D214" s="107"/>
      <c r="E214" s="107"/>
      <c r="F214" s="107"/>
      <c r="G214" s="107"/>
      <c r="H214" s="41">
        <v>1.9857629626363507</v>
      </c>
      <c r="J214" s="107"/>
      <c r="K214" s="107"/>
      <c r="L214" s="107"/>
      <c r="M214" s="107"/>
      <c r="N214" s="41">
        <v>1.9857629626363507</v>
      </c>
      <c r="O214" s="41">
        <v>1.9857629626363507</v>
      </c>
    </row>
    <row r="215" spans="1:15" x14ac:dyDescent="0.15">
      <c r="A215" s="38">
        <f t="shared" si="25"/>
        <v>1861</v>
      </c>
      <c r="B215" s="109"/>
      <c r="C215" s="107"/>
      <c r="D215" s="107"/>
      <c r="E215" s="107"/>
      <c r="F215" s="107"/>
      <c r="G215" s="107"/>
      <c r="H215" s="41">
        <v>1.777578135908346</v>
      </c>
      <c r="J215" s="107"/>
      <c r="K215" s="107"/>
      <c r="L215" s="107"/>
      <c r="M215" s="107"/>
      <c r="N215" s="41">
        <v>1.777578135908346</v>
      </c>
      <c r="O215" s="41">
        <v>1.777578135908346</v>
      </c>
    </row>
    <row r="216" spans="1:15" x14ac:dyDescent="0.15">
      <c r="A216" s="38">
        <f t="shared" si="25"/>
        <v>1862</v>
      </c>
      <c r="B216" s="109"/>
      <c r="C216" s="107"/>
      <c r="D216" s="107"/>
      <c r="E216" s="107"/>
      <c r="F216" s="107"/>
      <c r="G216" s="107"/>
      <c r="H216" s="41">
        <v>2.1138767021612765</v>
      </c>
      <c r="J216" s="107"/>
      <c r="K216" s="107"/>
      <c r="L216" s="107"/>
      <c r="M216" s="107"/>
      <c r="N216" s="41">
        <v>2.1138767021612765</v>
      </c>
      <c r="O216" s="41">
        <v>2.1138767021612765</v>
      </c>
    </row>
    <row r="217" spans="1:15" x14ac:dyDescent="0.15">
      <c r="A217" s="38">
        <f t="shared" si="25"/>
        <v>1863</v>
      </c>
      <c r="B217" s="109"/>
      <c r="C217" s="107"/>
      <c r="D217" s="107"/>
      <c r="E217" s="107"/>
      <c r="F217" s="107"/>
      <c r="G217" s="107"/>
      <c r="H217" s="41">
        <v>2.2580046591268181</v>
      </c>
      <c r="J217" s="107"/>
      <c r="K217" s="107"/>
      <c r="L217" s="107"/>
      <c r="M217" s="107"/>
      <c r="N217" s="41">
        <v>2.2580046591268181</v>
      </c>
      <c r="O217" s="41">
        <v>2.2580046591268181</v>
      </c>
    </row>
    <row r="218" spans="1:15" x14ac:dyDescent="0.15">
      <c r="A218" s="38">
        <f t="shared" si="25"/>
        <v>1864</v>
      </c>
      <c r="B218" s="109"/>
      <c r="C218" s="107"/>
      <c r="D218" s="107"/>
      <c r="E218" s="107"/>
      <c r="F218" s="107"/>
      <c r="G218" s="107"/>
      <c r="H218" s="41">
        <v>1.7455497010271144</v>
      </c>
      <c r="J218" s="107"/>
      <c r="K218" s="107"/>
      <c r="L218" s="107"/>
      <c r="M218" s="107"/>
      <c r="N218" s="41">
        <v>1.7455497010271144</v>
      </c>
      <c r="O218" s="41">
        <v>1.7455497010271144</v>
      </c>
    </row>
    <row r="219" spans="1:15" x14ac:dyDescent="0.15">
      <c r="A219" s="38">
        <f t="shared" si="25"/>
        <v>1865</v>
      </c>
      <c r="B219" s="109"/>
      <c r="C219" s="107"/>
      <c r="D219" s="107"/>
      <c r="E219" s="107"/>
      <c r="F219" s="107"/>
      <c r="G219" s="107"/>
      <c r="H219" s="41">
        <v>1.777578135908346</v>
      </c>
      <c r="J219" s="107"/>
      <c r="K219" s="107"/>
      <c r="L219" s="107"/>
      <c r="M219" s="107"/>
      <c r="N219" s="41">
        <v>1.777578135908346</v>
      </c>
      <c r="O219" s="41">
        <v>1.777578135908346</v>
      </c>
    </row>
    <row r="220" spans="1:15" x14ac:dyDescent="0.15">
      <c r="A220" s="38">
        <f t="shared" si="25"/>
        <v>1866</v>
      </c>
      <c r="B220" s="109"/>
      <c r="C220" s="107"/>
      <c r="D220" s="107"/>
      <c r="E220" s="107"/>
      <c r="F220" s="107"/>
      <c r="G220" s="107"/>
      <c r="H220" s="41">
        <v>1.9537345277551188</v>
      </c>
      <c r="J220" s="107"/>
      <c r="K220" s="107"/>
      <c r="L220" s="107"/>
      <c r="M220" s="107"/>
      <c r="N220" s="41">
        <v>1.9537345277551188</v>
      </c>
      <c r="O220" s="41">
        <v>1.9537345277551188</v>
      </c>
    </row>
    <row r="221" spans="1:15" x14ac:dyDescent="0.15">
      <c r="A221" s="38">
        <f t="shared" si="25"/>
        <v>1867</v>
      </c>
      <c r="B221" s="109"/>
      <c r="C221" s="107"/>
      <c r="D221" s="107"/>
      <c r="E221" s="107"/>
      <c r="F221" s="107"/>
      <c r="G221" s="107"/>
      <c r="H221" s="41">
        <v>1.6334501789428046</v>
      </c>
      <c r="J221" s="107"/>
      <c r="K221" s="107"/>
      <c r="L221" s="107"/>
      <c r="M221" s="107"/>
      <c r="N221" s="41">
        <v>1.6334501789428046</v>
      </c>
      <c r="O221" s="41">
        <v>1.6334501789428046</v>
      </c>
    </row>
    <row r="222" spans="1:15" x14ac:dyDescent="0.15">
      <c r="A222" s="38">
        <f t="shared" si="25"/>
        <v>1868</v>
      </c>
      <c r="B222" s="109"/>
      <c r="C222" s="107"/>
      <c r="D222" s="107"/>
      <c r="E222" s="107"/>
      <c r="F222" s="107"/>
      <c r="G222" s="107"/>
      <c r="H222" s="41">
        <v>1.4092511347741843</v>
      </c>
      <c r="J222" s="107"/>
      <c r="K222" s="107"/>
      <c r="L222" s="107"/>
      <c r="M222" s="107"/>
      <c r="N222" s="41">
        <v>1.4092511347741843</v>
      </c>
      <c r="O222" s="41">
        <v>1.4092511347741843</v>
      </c>
    </row>
    <row r="223" spans="1:15" x14ac:dyDescent="0.15">
      <c r="A223" s="38">
        <f t="shared" si="25"/>
        <v>1869</v>
      </c>
      <c r="B223" s="109"/>
      <c r="C223" s="107"/>
      <c r="D223" s="107"/>
      <c r="E223" s="107"/>
      <c r="F223" s="107"/>
      <c r="G223" s="107"/>
      <c r="H223" s="41">
        <v>1.345194265011721</v>
      </c>
      <c r="J223" s="107"/>
      <c r="K223" s="107"/>
      <c r="L223" s="107"/>
      <c r="M223" s="107"/>
      <c r="N223" s="41">
        <v>1.345194265011721</v>
      </c>
      <c r="O223" s="41">
        <v>1.345194265011721</v>
      </c>
    </row>
    <row r="224" spans="1:15" x14ac:dyDescent="0.15">
      <c r="A224" s="38">
        <f t="shared" si="25"/>
        <v>1870</v>
      </c>
      <c r="B224" s="109"/>
      <c r="C224" s="107"/>
      <c r="D224" s="107"/>
      <c r="E224" s="107"/>
      <c r="F224" s="107"/>
      <c r="G224" s="107"/>
      <c r="H224" s="41">
        <v>1.1169916664829471</v>
      </c>
      <c r="J224" s="107"/>
      <c r="K224" s="107"/>
      <c r="L224" s="107"/>
      <c r="M224" s="107"/>
      <c r="N224" s="41">
        <v>1.1169916664829471</v>
      </c>
      <c r="O224" s="41">
        <v>1.1169916664829471</v>
      </c>
    </row>
    <row r="225" spans="1:15" x14ac:dyDescent="0.15">
      <c r="A225" s="38">
        <f t="shared" si="25"/>
        <v>1871</v>
      </c>
      <c r="B225" s="109"/>
      <c r="C225" s="107"/>
      <c r="D225" s="107"/>
      <c r="E225" s="107"/>
      <c r="F225" s="107"/>
      <c r="G225" s="107"/>
      <c r="H225" s="41">
        <v>1.6187170988974382</v>
      </c>
      <c r="J225" s="107"/>
      <c r="K225" s="107"/>
      <c r="L225" s="107"/>
      <c r="M225" s="107"/>
      <c r="N225" s="41">
        <v>1.6187170988974382</v>
      </c>
      <c r="O225" s="41">
        <v>1.6187170988974382</v>
      </c>
    </row>
    <row r="226" spans="1:15" x14ac:dyDescent="0.15">
      <c r="A226" s="38">
        <f t="shared" si="25"/>
        <v>1872</v>
      </c>
      <c r="B226" s="109"/>
      <c r="C226" s="107"/>
      <c r="D226" s="107"/>
      <c r="E226" s="107"/>
      <c r="F226" s="107"/>
      <c r="G226" s="107"/>
      <c r="H226" s="41">
        <v>1.6636209646009243</v>
      </c>
      <c r="J226" s="107"/>
      <c r="K226" s="107"/>
      <c r="L226" s="107"/>
      <c r="M226" s="107"/>
      <c r="N226" s="41">
        <v>1.6636209646009243</v>
      </c>
      <c r="O226" s="41">
        <v>1.6636209646009243</v>
      </c>
    </row>
    <row r="227" spans="1:15" x14ac:dyDescent="0.15">
      <c r="A227" s="38">
        <f t="shared" si="25"/>
        <v>1873</v>
      </c>
      <c r="B227" s="109"/>
      <c r="C227" s="107"/>
      <c r="D227" s="107"/>
      <c r="E227" s="107"/>
      <c r="F227" s="107"/>
      <c r="G227" s="107"/>
      <c r="H227" s="41">
        <v>1.8432364274148703</v>
      </c>
      <c r="J227" s="107"/>
      <c r="K227" s="107"/>
      <c r="L227" s="107"/>
      <c r="M227" s="107"/>
      <c r="N227" s="41">
        <v>1.8432364274148703</v>
      </c>
      <c r="O227" s="41">
        <v>1.8432364274148703</v>
      </c>
    </row>
    <row r="228" spans="1:15" x14ac:dyDescent="0.15">
      <c r="A228" s="38">
        <f t="shared" si="25"/>
        <v>1874</v>
      </c>
      <c r="B228" s="109"/>
      <c r="C228" s="107"/>
      <c r="D228" s="107"/>
      <c r="E228" s="107"/>
      <c r="F228" s="107"/>
      <c r="G228" s="107"/>
      <c r="H228" s="41">
        <v>1.8432364274148703</v>
      </c>
      <c r="J228" s="107"/>
      <c r="K228" s="107"/>
      <c r="L228" s="107"/>
      <c r="M228" s="107"/>
      <c r="N228" s="41">
        <v>1.8432364274148703</v>
      </c>
      <c r="O228" s="41">
        <v>1.8432364274148703</v>
      </c>
    </row>
    <row r="229" spans="1:15" x14ac:dyDescent="0.15">
      <c r="A229" s="38">
        <f t="shared" si="25"/>
        <v>1875</v>
      </c>
      <c r="B229" s="109"/>
      <c r="C229" s="107"/>
      <c r="D229" s="107"/>
      <c r="E229" s="107"/>
      <c r="F229" s="107"/>
      <c r="G229" s="107"/>
      <c r="H229" s="41">
        <v>1.8881402931183568</v>
      </c>
      <c r="J229" s="107"/>
      <c r="K229" s="107"/>
      <c r="L229" s="107"/>
      <c r="M229" s="107"/>
      <c r="N229" s="41">
        <v>1.8881402931183568</v>
      </c>
      <c r="O229" s="41">
        <v>1.8881402931183568</v>
      </c>
    </row>
    <row r="230" spans="1:15" x14ac:dyDescent="0.15">
      <c r="A230" s="38">
        <f t="shared" si="25"/>
        <v>1876</v>
      </c>
      <c r="B230" s="109"/>
      <c r="C230" s="107"/>
      <c r="D230" s="107"/>
      <c r="E230" s="107"/>
      <c r="F230" s="107"/>
      <c r="G230" s="107"/>
      <c r="H230" s="41">
        <v>1.7085248303044109</v>
      </c>
      <c r="J230" s="107"/>
      <c r="K230" s="107"/>
      <c r="L230" s="107"/>
      <c r="M230" s="107"/>
      <c r="N230" s="41">
        <v>1.7085248303044109</v>
      </c>
      <c r="O230" s="41">
        <v>1.7085248303044109</v>
      </c>
    </row>
    <row r="231" spans="1:15" x14ac:dyDescent="0.15">
      <c r="A231" s="38">
        <f t="shared" si="25"/>
        <v>1877</v>
      </c>
      <c r="B231" s="109"/>
      <c r="C231" s="107"/>
      <c r="D231" s="107"/>
      <c r="E231" s="107"/>
      <c r="F231" s="107"/>
      <c r="G231" s="107"/>
      <c r="H231" s="41">
        <v>1.8432364274148703</v>
      </c>
      <c r="J231" s="107"/>
      <c r="K231" s="107"/>
      <c r="L231" s="107"/>
      <c r="M231" s="107"/>
      <c r="N231" s="41">
        <v>1.8432364274148703</v>
      </c>
      <c r="O231" s="41">
        <v>1.8432364274148703</v>
      </c>
    </row>
    <row r="232" spans="1:15" x14ac:dyDescent="0.15">
      <c r="A232" s="38">
        <f t="shared" si="25"/>
        <v>1878</v>
      </c>
      <c r="B232" s="109"/>
      <c r="C232" s="107"/>
      <c r="D232" s="107"/>
      <c r="E232" s="107"/>
      <c r="F232" s="107"/>
      <c r="G232" s="107"/>
      <c r="H232" s="41">
        <v>1.8881402931183568</v>
      </c>
      <c r="J232" s="107"/>
      <c r="K232" s="107"/>
      <c r="L232" s="107"/>
      <c r="M232" s="107"/>
      <c r="N232" s="41">
        <v>1.8881402931183568</v>
      </c>
      <c r="O232" s="41">
        <v>1.8881402931183568</v>
      </c>
    </row>
    <row r="233" spans="1:15" x14ac:dyDescent="0.15">
      <c r="A233" s="38">
        <f t="shared" si="25"/>
        <v>1879</v>
      </c>
      <c r="B233" s="109"/>
      <c r="C233" s="107"/>
      <c r="D233" s="107"/>
      <c r="E233" s="107"/>
      <c r="F233" s="107"/>
      <c r="G233" s="107"/>
      <c r="H233" s="41">
        <v>1.7534286960078971</v>
      </c>
      <c r="J233" s="107"/>
      <c r="K233" s="107"/>
      <c r="L233" s="107"/>
      <c r="M233" s="107"/>
      <c r="N233" s="41">
        <v>1.7534286960078971</v>
      </c>
      <c r="O233" s="41">
        <v>1.7534286960078971</v>
      </c>
    </row>
    <row r="234" spans="1:15" x14ac:dyDescent="0.15">
      <c r="A234" s="38">
        <f t="shared" si="25"/>
        <v>1880</v>
      </c>
      <c r="B234" s="109"/>
      <c r="C234" s="107"/>
      <c r="D234" s="107"/>
      <c r="E234" s="107"/>
      <c r="F234" s="107"/>
      <c r="G234" s="107"/>
      <c r="H234" s="41">
        <v>1.7983325617113839</v>
      </c>
      <c r="J234" s="107"/>
      <c r="K234" s="107"/>
      <c r="L234" s="107"/>
      <c r="M234" s="107"/>
      <c r="N234" s="41">
        <v>1.7983325617113839</v>
      </c>
      <c r="O234" s="41">
        <v>1.7983325617113839</v>
      </c>
    </row>
    <row r="235" spans="1:15" x14ac:dyDescent="0.15">
      <c r="A235" s="38">
        <f t="shared" si="25"/>
        <v>1881</v>
      </c>
      <c r="B235" s="109"/>
      <c r="C235" s="107"/>
      <c r="D235" s="107"/>
      <c r="E235" s="107"/>
      <c r="F235" s="107"/>
      <c r="G235" s="107"/>
      <c r="H235" s="41">
        <v>1.8881402931183568</v>
      </c>
      <c r="J235" s="107"/>
      <c r="K235" s="107"/>
      <c r="L235" s="107"/>
      <c r="M235" s="107"/>
      <c r="N235" s="41">
        <v>1.8881402931183568</v>
      </c>
      <c r="O235" s="41">
        <v>1.8881402931183568</v>
      </c>
    </row>
    <row r="236" spans="1:15" x14ac:dyDescent="0.15">
      <c r="A236" s="38">
        <f t="shared" si="25"/>
        <v>1882</v>
      </c>
      <c r="B236" s="109"/>
      <c r="C236" s="107"/>
      <c r="D236" s="107"/>
      <c r="E236" s="107"/>
      <c r="F236" s="107"/>
      <c r="G236" s="107"/>
      <c r="H236" s="41">
        <v>1.8881402931183568</v>
      </c>
      <c r="J236" s="107"/>
      <c r="K236" s="107"/>
      <c r="L236" s="107"/>
      <c r="M236" s="107"/>
      <c r="N236" s="41">
        <v>1.8881402931183568</v>
      </c>
      <c r="O236" s="41">
        <v>1.8881402931183568</v>
      </c>
    </row>
    <row r="237" spans="1:15" x14ac:dyDescent="0.15">
      <c r="A237" s="38">
        <f t="shared" si="25"/>
        <v>1883</v>
      </c>
      <c r="B237" s="109"/>
      <c r="C237" s="107"/>
      <c r="D237" s="107"/>
      <c r="E237" s="107"/>
      <c r="F237" s="107"/>
      <c r="G237" s="107"/>
      <c r="H237" s="41">
        <v>1.8432364274148703</v>
      </c>
      <c r="J237" s="107"/>
      <c r="K237" s="107"/>
      <c r="L237" s="107"/>
      <c r="M237" s="107"/>
      <c r="N237" s="41">
        <v>1.8432364274148703</v>
      </c>
      <c r="O237" s="41">
        <v>1.8432364274148703</v>
      </c>
    </row>
    <row r="238" spans="1:15" x14ac:dyDescent="0.15">
      <c r="A238" s="38">
        <f t="shared" si="25"/>
        <v>1884</v>
      </c>
      <c r="B238" s="109"/>
      <c r="C238" s="107"/>
      <c r="D238" s="107"/>
      <c r="E238" s="107"/>
      <c r="F238" s="107"/>
      <c r="G238" s="107"/>
      <c r="H238" s="41">
        <v>1.7534286960078971</v>
      </c>
      <c r="J238" s="107"/>
      <c r="K238" s="107"/>
      <c r="L238" s="107"/>
      <c r="M238" s="107"/>
      <c r="N238" s="41">
        <v>1.7534286960078971</v>
      </c>
      <c r="O238" s="41">
        <v>1.7534286960078971</v>
      </c>
    </row>
    <row r="239" spans="1:15" x14ac:dyDescent="0.15">
      <c r="A239" s="38">
        <f t="shared" si="25"/>
        <v>1885</v>
      </c>
      <c r="B239" s="109"/>
      <c r="C239" s="107"/>
      <c r="D239" s="107"/>
      <c r="E239" s="107"/>
      <c r="F239" s="107"/>
      <c r="G239" s="107"/>
      <c r="H239" s="41">
        <v>1.7085248303044109</v>
      </c>
      <c r="J239" s="107"/>
      <c r="K239" s="107"/>
      <c r="L239" s="107"/>
      <c r="M239" s="107"/>
      <c r="N239" s="41">
        <v>1.7085248303044109</v>
      </c>
      <c r="O239" s="41">
        <v>1.7085248303044109</v>
      </c>
    </row>
    <row r="240" spans="1:15" x14ac:dyDescent="0.15">
      <c r="A240" s="38">
        <f t="shared" si="25"/>
        <v>1886</v>
      </c>
      <c r="B240" s="109"/>
      <c r="C240" s="107"/>
      <c r="D240" s="107"/>
      <c r="E240" s="107"/>
      <c r="F240" s="107"/>
      <c r="G240" s="107"/>
      <c r="H240" s="41">
        <v>1.6187170988974382</v>
      </c>
      <c r="J240" s="107"/>
      <c r="K240" s="107"/>
      <c r="L240" s="107"/>
      <c r="M240" s="107"/>
      <c r="N240" s="41">
        <v>1.6187170988974382</v>
      </c>
      <c r="O240" s="41">
        <v>1.6187170988974382</v>
      </c>
    </row>
    <row r="241" spans="1:15" x14ac:dyDescent="0.15">
      <c r="A241" s="38">
        <f t="shared" si="25"/>
        <v>1887</v>
      </c>
      <c r="B241" s="109"/>
      <c r="C241" s="107"/>
      <c r="D241" s="107"/>
      <c r="E241" s="107"/>
      <c r="F241" s="107"/>
      <c r="G241" s="107"/>
      <c r="H241" s="41">
        <v>1.4840055017869784</v>
      </c>
      <c r="J241" s="107"/>
      <c r="K241" s="107"/>
      <c r="L241" s="107"/>
      <c r="M241" s="107"/>
      <c r="N241" s="41">
        <v>1.4840055017869784</v>
      </c>
      <c r="O241" s="41">
        <v>1.4840055017869784</v>
      </c>
    </row>
    <row r="242" spans="1:15" x14ac:dyDescent="0.15">
      <c r="A242" s="38">
        <f t="shared" si="25"/>
        <v>1888</v>
      </c>
      <c r="B242" s="109"/>
      <c r="C242" s="107"/>
      <c r="D242" s="107"/>
      <c r="E242" s="107"/>
      <c r="F242" s="107"/>
      <c r="G242" s="107"/>
      <c r="H242" s="41">
        <v>1.4660439555055835</v>
      </c>
      <c r="J242" s="107"/>
      <c r="K242" s="107"/>
      <c r="L242" s="107"/>
      <c r="M242" s="107"/>
      <c r="N242" s="41">
        <v>1.4660439555055835</v>
      </c>
      <c r="O242" s="41">
        <v>1.4660439555055835</v>
      </c>
    </row>
    <row r="243" spans="1:15" x14ac:dyDescent="0.15">
      <c r="A243" s="38">
        <f t="shared" si="25"/>
        <v>1889</v>
      </c>
      <c r="B243" s="109"/>
      <c r="C243" s="107"/>
      <c r="D243" s="107"/>
      <c r="E243" s="107"/>
      <c r="F243" s="107"/>
      <c r="G243" s="107"/>
      <c r="H243" s="41">
        <v>1.6187170988974382</v>
      </c>
      <c r="J243" s="107"/>
      <c r="K243" s="107"/>
      <c r="L243" s="107"/>
      <c r="M243" s="107"/>
      <c r="N243" s="41">
        <v>1.6187170988974382</v>
      </c>
      <c r="O243" s="41">
        <v>1.6187170988974382</v>
      </c>
    </row>
    <row r="244" spans="1:15" x14ac:dyDescent="0.15">
      <c r="A244" s="38">
        <f t="shared" si="25"/>
        <v>1890</v>
      </c>
      <c r="B244" s="109"/>
      <c r="C244" s="107"/>
      <c r="D244" s="107"/>
      <c r="E244" s="107"/>
      <c r="F244" s="107"/>
      <c r="G244" s="107"/>
      <c r="H244" s="41">
        <v>1.6187170988974382</v>
      </c>
      <c r="J244" s="107"/>
      <c r="K244" s="107"/>
      <c r="L244" s="107"/>
      <c r="M244" s="107"/>
      <c r="N244" s="41">
        <v>1.6187170988974382</v>
      </c>
      <c r="O244" s="41">
        <v>1.6187170988974382</v>
      </c>
    </row>
    <row r="245" spans="1:15" x14ac:dyDescent="0.15">
      <c r="A245" s="38">
        <f t="shared" si="25"/>
        <v>1891</v>
      </c>
      <c r="B245" s="109"/>
      <c r="C245" s="107"/>
      <c r="D245" s="107"/>
      <c r="E245" s="107"/>
      <c r="F245" s="107"/>
      <c r="G245" s="107"/>
      <c r="H245" s="41">
        <v>1.6187170988974382</v>
      </c>
      <c r="J245" s="107"/>
      <c r="K245" s="107"/>
      <c r="L245" s="107"/>
      <c r="M245" s="107"/>
      <c r="N245" s="41">
        <v>1.6187170988974382</v>
      </c>
      <c r="O245" s="41">
        <v>1.6187170988974382</v>
      </c>
    </row>
    <row r="246" spans="1:15" x14ac:dyDescent="0.15">
      <c r="A246" s="38">
        <f t="shared" si="25"/>
        <v>1892</v>
      </c>
      <c r="B246" s="109"/>
      <c r="C246" s="107"/>
      <c r="D246" s="107"/>
      <c r="E246" s="107"/>
      <c r="F246" s="107"/>
      <c r="G246" s="107"/>
      <c r="H246" s="41">
        <v>1.5738132331939514</v>
      </c>
      <c r="J246" s="107"/>
      <c r="K246" s="107"/>
      <c r="L246" s="107"/>
      <c r="M246" s="107"/>
      <c r="N246" s="41">
        <v>1.5738132331939514</v>
      </c>
      <c r="O246" s="41">
        <v>1.5738132331939514</v>
      </c>
    </row>
    <row r="247" spans="1:15" x14ac:dyDescent="0.15">
      <c r="A247" s="38">
        <f t="shared" si="25"/>
        <v>1893</v>
      </c>
      <c r="B247" s="109"/>
      <c r="C247" s="107"/>
      <c r="D247" s="107"/>
      <c r="E247" s="107"/>
      <c r="F247" s="107"/>
      <c r="G247" s="107"/>
      <c r="H247" s="41">
        <v>1.6187170988974382</v>
      </c>
      <c r="J247" s="107"/>
      <c r="K247" s="107"/>
      <c r="L247" s="107"/>
      <c r="M247" s="107"/>
      <c r="N247" s="41">
        <v>1.6187170988974382</v>
      </c>
      <c r="O247" s="41">
        <v>1.6187170988974382</v>
      </c>
    </row>
    <row r="248" spans="1:15" x14ac:dyDescent="0.15">
      <c r="A248" s="38">
        <f t="shared" si="25"/>
        <v>1894</v>
      </c>
      <c r="B248" s="109"/>
      <c r="C248" s="107"/>
      <c r="D248" s="107"/>
      <c r="E248" s="107"/>
      <c r="F248" s="107"/>
      <c r="G248" s="107"/>
      <c r="H248" s="41">
        <v>1.5738132331939514</v>
      </c>
      <c r="J248" s="107"/>
      <c r="K248" s="107"/>
      <c r="L248" s="107"/>
      <c r="M248" s="107"/>
      <c r="N248" s="41">
        <v>1.5738132331939514</v>
      </c>
      <c r="O248" s="41">
        <v>1.5738132331939514</v>
      </c>
    </row>
    <row r="249" spans="1:15" x14ac:dyDescent="0.15">
      <c r="A249" s="38">
        <f t="shared" si="25"/>
        <v>1895</v>
      </c>
      <c r="B249" s="109"/>
      <c r="C249" s="107"/>
      <c r="D249" s="107"/>
      <c r="E249" s="107"/>
      <c r="F249" s="107"/>
      <c r="G249" s="107"/>
      <c r="H249" s="41">
        <v>1.5738132331939514</v>
      </c>
      <c r="J249" s="107"/>
      <c r="K249" s="107"/>
      <c r="L249" s="107"/>
      <c r="M249" s="107"/>
      <c r="N249" s="41">
        <v>1.5738132331939514</v>
      </c>
      <c r="O249" s="41">
        <v>1.5738132331939514</v>
      </c>
    </row>
    <row r="250" spans="1:15" x14ac:dyDescent="0.15">
      <c r="A250" s="38">
        <f t="shared" si="25"/>
        <v>1896</v>
      </c>
      <c r="B250" s="109"/>
      <c r="C250" s="107"/>
      <c r="D250" s="107"/>
      <c r="E250" s="107"/>
      <c r="F250" s="107"/>
      <c r="G250" s="107"/>
      <c r="H250" s="41">
        <v>1.5738132331939514</v>
      </c>
      <c r="J250" s="107"/>
      <c r="K250" s="107"/>
      <c r="L250" s="107"/>
      <c r="M250" s="107"/>
      <c r="N250" s="41">
        <v>1.5738132331939514</v>
      </c>
      <c r="O250" s="41">
        <v>1.5738132331939514</v>
      </c>
    </row>
    <row r="251" spans="1:15" x14ac:dyDescent="0.15">
      <c r="A251" s="38">
        <f t="shared" si="25"/>
        <v>1897</v>
      </c>
      <c r="B251" s="109"/>
      <c r="C251" s="107"/>
      <c r="D251" s="107"/>
      <c r="E251" s="107"/>
      <c r="F251" s="107"/>
      <c r="G251" s="107"/>
      <c r="H251" s="41"/>
      <c r="J251" s="107"/>
      <c r="K251" s="107"/>
      <c r="L251" s="107"/>
      <c r="M251" s="107"/>
      <c r="N251" s="41"/>
      <c r="O251" s="42">
        <f>O250+($O$252-$O$250)/2</f>
        <v>1.5064574346387216</v>
      </c>
    </row>
    <row r="252" spans="1:15" x14ac:dyDescent="0.15">
      <c r="A252" s="38">
        <f t="shared" si="25"/>
        <v>1898</v>
      </c>
      <c r="B252" s="109"/>
      <c r="C252" s="107"/>
      <c r="D252" s="107"/>
      <c r="E252" s="107"/>
      <c r="F252" s="107"/>
      <c r="G252" s="107"/>
      <c r="H252" s="41">
        <v>1.4391016360834916</v>
      </c>
      <c r="J252" s="107"/>
      <c r="K252" s="107"/>
      <c r="L252" s="107"/>
      <c r="M252" s="107"/>
      <c r="N252" s="41">
        <v>1.4391016360834916</v>
      </c>
      <c r="O252" s="41">
        <v>1.4391016360834916</v>
      </c>
    </row>
    <row r="253" spans="1:15" x14ac:dyDescent="0.15">
      <c r="A253" s="38">
        <f t="shared" si="25"/>
        <v>1899</v>
      </c>
      <c r="B253" s="109"/>
      <c r="C253" s="107"/>
      <c r="D253" s="107"/>
      <c r="E253" s="107"/>
      <c r="F253" s="107"/>
      <c r="G253" s="107"/>
      <c r="H253" s="41">
        <v>1.4391016360834916</v>
      </c>
      <c r="J253" s="107"/>
      <c r="K253" s="107"/>
      <c r="L253" s="107"/>
      <c r="M253" s="107"/>
      <c r="N253" s="41">
        <v>1.4391016360834916</v>
      </c>
      <c r="O253" s="41">
        <v>1.4391016360834916</v>
      </c>
    </row>
    <row r="254" spans="1:15" x14ac:dyDescent="0.15">
      <c r="A254" s="38">
        <f t="shared" si="25"/>
        <v>1900</v>
      </c>
      <c r="B254" s="109"/>
      <c r="C254" s="107"/>
      <c r="D254" s="107"/>
      <c r="E254" s="107"/>
      <c r="F254" s="107"/>
      <c r="G254" s="107"/>
      <c r="H254" s="41">
        <v>1.4391016360834916</v>
      </c>
      <c r="J254" s="107"/>
      <c r="K254" s="107"/>
      <c r="L254" s="107"/>
      <c r="M254" s="107"/>
      <c r="N254" s="41">
        <v>1.4391016360834916</v>
      </c>
      <c r="O254" s="41">
        <v>1.4391016360834916</v>
      </c>
    </row>
    <row r="255" spans="1:15" x14ac:dyDescent="0.15">
      <c r="A255" s="38">
        <f t="shared" si="25"/>
        <v>1901</v>
      </c>
      <c r="B255" s="109"/>
      <c r="C255" s="107"/>
      <c r="D255" s="107"/>
      <c r="E255" s="107"/>
      <c r="F255" s="107"/>
      <c r="G255" s="107"/>
      <c r="H255" s="41">
        <v>1.5289093674904648</v>
      </c>
      <c r="J255" s="107"/>
      <c r="K255" s="107"/>
      <c r="L255" s="107"/>
      <c r="M255" s="107"/>
      <c r="N255" s="41">
        <v>1.5289093674904648</v>
      </c>
      <c r="O255" s="41">
        <v>1.5289093674904648</v>
      </c>
    </row>
    <row r="256" spans="1:15" x14ac:dyDescent="0.15">
      <c r="A256" s="38">
        <f t="shared" si="25"/>
        <v>1902</v>
      </c>
      <c r="B256" s="109"/>
      <c r="C256" s="107"/>
      <c r="D256" s="107"/>
      <c r="E256" s="107"/>
      <c r="F256" s="107"/>
      <c r="G256" s="107"/>
      <c r="H256" s="41">
        <v>1.5289093674904648</v>
      </c>
      <c r="J256" s="107"/>
      <c r="K256" s="107"/>
      <c r="L256" s="107"/>
      <c r="M256" s="107"/>
      <c r="N256" s="41">
        <v>1.5289093674904648</v>
      </c>
      <c r="O256" s="41">
        <v>1.5289093674904648</v>
      </c>
    </row>
    <row r="257" spans="1:15" x14ac:dyDescent="0.15">
      <c r="A257" s="38">
        <f t="shared" si="25"/>
        <v>1903</v>
      </c>
      <c r="B257" s="109"/>
      <c r="C257" s="107"/>
      <c r="D257" s="107"/>
      <c r="E257" s="107"/>
      <c r="F257" s="107"/>
      <c r="G257" s="107"/>
      <c r="H257" s="41">
        <v>1.3492939046765189</v>
      </c>
      <c r="J257" s="107"/>
      <c r="K257" s="107"/>
      <c r="L257" s="107"/>
      <c r="M257" s="107"/>
      <c r="N257" s="41">
        <v>1.3492939046765189</v>
      </c>
      <c r="O257" s="41">
        <v>1.3492939046765189</v>
      </c>
    </row>
    <row r="258" spans="1:15" x14ac:dyDescent="0.15">
      <c r="A258" s="38">
        <f t="shared" si="25"/>
        <v>1904</v>
      </c>
      <c r="B258" s="109"/>
      <c r="C258" s="107"/>
      <c r="D258" s="107"/>
      <c r="E258" s="107"/>
      <c r="F258" s="107"/>
      <c r="G258" s="107"/>
      <c r="H258" s="41">
        <v>1.3492939046765189</v>
      </c>
      <c r="J258" s="107"/>
      <c r="K258" s="107"/>
      <c r="L258" s="107"/>
      <c r="M258" s="107"/>
      <c r="N258" s="41">
        <v>1.3492939046765189</v>
      </c>
      <c r="O258" s="41">
        <v>1.3492939046765189</v>
      </c>
    </row>
    <row r="259" spans="1:15" x14ac:dyDescent="0.15">
      <c r="A259" s="38">
        <f t="shared" si="25"/>
        <v>1905</v>
      </c>
      <c r="B259" s="109"/>
      <c r="C259" s="107"/>
      <c r="D259" s="107"/>
      <c r="E259" s="107"/>
      <c r="F259" s="107"/>
      <c r="G259" s="107"/>
      <c r="H259" s="41"/>
      <c r="J259" s="107"/>
      <c r="K259" s="107"/>
      <c r="L259" s="107"/>
      <c r="M259" s="107"/>
      <c r="N259" s="41"/>
      <c r="O259" s="42">
        <f>O258+($O$260-$O$258)/2</f>
        <v>1.3492939046765189</v>
      </c>
    </row>
    <row r="260" spans="1:15" x14ac:dyDescent="0.15">
      <c r="A260" s="38">
        <f t="shared" si="25"/>
        <v>1906</v>
      </c>
      <c r="B260" s="109"/>
      <c r="C260" s="107"/>
      <c r="D260" s="107"/>
      <c r="E260" s="107"/>
      <c r="F260" s="107"/>
      <c r="G260" s="107"/>
      <c r="H260" s="41">
        <v>1.3492939046765189</v>
      </c>
      <c r="J260" s="107"/>
      <c r="K260" s="107"/>
      <c r="L260" s="107"/>
      <c r="M260" s="107"/>
      <c r="N260" s="41">
        <v>1.3492939046765189</v>
      </c>
      <c r="O260" s="41">
        <v>1.3492939046765189</v>
      </c>
    </row>
    <row r="261" spans="1:15" x14ac:dyDescent="0.15">
      <c r="A261" s="38">
        <f t="shared" si="25"/>
        <v>1907</v>
      </c>
      <c r="B261" s="109"/>
      <c r="C261" s="107"/>
      <c r="D261" s="107"/>
      <c r="E261" s="107"/>
      <c r="F261" s="107"/>
      <c r="G261" s="107"/>
      <c r="H261" s="41">
        <v>1.3492939046765189</v>
      </c>
      <c r="J261" s="107"/>
      <c r="K261" s="107"/>
      <c r="L261" s="107"/>
      <c r="M261" s="107"/>
      <c r="N261" s="41">
        <v>1.3492939046765189</v>
      </c>
      <c r="O261" s="41">
        <v>1.3492939046765189</v>
      </c>
    </row>
    <row r="262" spans="1:15" x14ac:dyDescent="0.15">
      <c r="A262" s="38">
        <f t="shared" si="25"/>
        <v>1908</v>
      </c>
      <c r="B262" s="109"/>
      <c r="C262" s="107"/>
      <c r="D262" s="107"/>
      <c r="E262" s="107"/>
      <c r="F262" s="107"/>
      <c r="G262" s="107"/>
      <c r="H262" s="41">
        <v>1.4840055017869784</v>
      </c>
      <c r="J262" s="107"/>
      <c r="K262" s="107"/>
      <c r="L262" s="107"/>
      <c r="M262" s="107"/>
      <c r="N262" s="41">
        <v>1.4840055017869784</v>
      </c>
      <c r="O262" s="41">
        <v>1.4840055017869784</v>
      </c>
    </row>
    <row r="263" spans="1:15" x14ac:dyDescent="0.15">
      <c r="A263" s="38">
        <f t="shared" si="25"/>
        <v>1909</v>
      </c>
      <c r="B263" s="109"/>
      <c r="C263" s="107"/>
      <c r="D263" s="107"/>
      <c r="E263" s="107"/>
      <c r="F263" s="107"/>
      <c r="G263" s="107"/>
      <c r="H263" s="41">
        <v>1.4840055017869784</v>
      </c>
      <c r="J263" s="107"/>
      <c r="K263" s="107"/>
      <c r="L263" s="107"/>
      <c r="M263" s="107"/>
      <c r="N263" s="41">
        <v>1.4840055017869784</v>
      </c>
      <c r="O263" s="41">
        <v>1.4840055017869784</v>
      </c>
    </row>
    <row r="264" spans="1:15" x14ac:dyDescent="0.15">
      <c r="A264" s="38">
        <f t="shared" si="25"/>
        <v>1910</v>
      </c>
      <c r="B264" s="109"/>
      <c r="C264" s="107"/>
      <c r="D264" s="107"/>
      <c r="E264" s="107"/>
      <c r="F264" s="107"/>
      <c r="G264" s="107"/>
      <c r="H264" s="41">
        <v>1.4840055017869784</v>
      </c>
      <c r="J264" s="107"/>
      <c r="K264" s="107"/>
      <c r="L264" s="107"/>
      <c r="M264" s="107"/>
      <c r="N264" s="41">
        <v>1.4840055017869784</v>
      </c>
      <c r="O264" s="41">
        <v>1.4840055017869784</v>
      </c>
    </row>
    <row r="265" spans="1:15" x14ac:dyDescent="0.15">
      <c r="A265" s="38">
        <v>1911</v>
      </c>
      <c r="B265" s="109"/>
      <c r="C265" s="107"/>
      <c r="D265" s="107"/>
      <c r="E265" s="107"/>
      <c r="F265" s="107"/>
      <c r="G265" s="107"/>
      <c r="H265" s="41">
        <v>1.4840055017869784</v>
      </c>
      <c r="J265" s="107"/>
      <c r="K265" s="107"/>
      <c r="L265" s="107"/>
      <c r="M265" s="107"/>
      <c r="N265" s="41">
        <v>1.4840055017869784</v>
      </c>
      <c r="O265" s="41">
        <v>1.4840055017869784</v>
      </c>
    </row>
    <row r="266" spans="1:15" x14ac:dyDescent="0.15">
      <c r="A266" s="38">
        <v>1912</v>
      </c>
      <c r="B266" s="109"/>
      <c r="C266" s="107"/>
      <c r="D266" s="107"/>
      <c r="E266" s="107"/>
      <c r="F266" s="107"/>
      <c r="G266" s="107"/>
      <c r="H266" s="41"/>
      <c r="J266" s="107"/>
      <c r="K266" s="107"/>
      <c r="L266" s="107"/>
      <c r="M266" s="107"/>
      <c r="N266" s="41"/>
      <c r="O266" s="42">
        <f>O265+($O$267-$O$265)/2</f>
        <v>1.4840055017869784</v>
      </c>
    </row>
    <row r="267" spans="1:15" x14ac:dyDescent="0.15">
      <c r="A267" s="38">
        <v>1913</v>
      </c>
      <c r="B267" s="109"/>
      <c r="C267" s="107"/>
      <c r="D267" s="107"/>
      <c r="E267" s="107"/>
      <c r="F267" s="107"/>
      <c r="G267" s="107"/>
      <c r="H267" s="41">
        <v>1.4840055017869784</v>
      </c>
      <c r="J267" s="107"/>
      <c r="K267" s="107"/>
      <c r="L267" s="107"/>
      <c r="M267" s="107"/>
      <c r="N267" s="41">
        <v>1.4840055017869784</v>
      </c>
      <c r="O267" s="41">
        <v>1.4840055017869784</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7"/>
  <sheetViews>
    <sheetView workbookViewId="0">
      <pane xSplit="1" ySplit="6" topLeftCell="B7" activePane="bottomRight" state="frozen"/>
      <selection pane="topRight" activeCell="B1" sqref="B1"/>
      <selection pane="bottomLeft" activeCell="A7" sqref="A7"/>
      <selection pane="bottomRight" activeCell="O217" sqref="O217"/>
    </sheetView>
  </sheetViews>
  <sheetFormatPr baseColWidth="10" defaultColWidth="8.83203125" defaultRowHeight="13" x14ac:dyDescent="0.15"/>
  <cols>
    <col min="1" max="1" width="8.83203125" style="38"/>
    <col min="2" max="4" width="8.83203125" style="29"/>
    <col min="5" max="5" width="11.83203125" style="29" customWidth="1"/>
    <col min="6" max="6" width="13.6640625" style="29" customWidth="1"/>
    <col min="7" max="7" width="15.1640625" style="29" customWidth="1"/>
    <col min="8" max="9" width="8.83203125" style="29"/>
    <col min="10" max="10" width="8.83203125" style="70"/>
    <col min="11" max="16" width="8.83203125" style="29"/>
  </cols>
  <sheetData>
    <row r="1" spans="1:18" x14ac:dyDescent="0.15">
      <c r="B1" s="45" t="s">
        <v>62</v>
      </c>
      <c r="C1" s="109"/>
      <c r="D1" s="109"/>
      <c r="E1" s="109"/>
      <c r="F1" s="109"/>
      <c r="G1" s="109"/>
      <c r="H1" s="109"/>
      <c r="I1" s="109"/>
      <c r="K1" s="45" t="s">
        <v>96</v>
      </c>
      <c r="L1" s="109"/>
      <c r="M1" s="109"/>
      <c r="N1" s="45" t="s">
        <v>97</v>
      </c>
      <c r="O1" s="109"/>
      <c r="P1" s="109"/>
    </row>
    <row r="3" spans="1:18" x14ac:dyDescent="0.15">
      <c r="A3" s="38" t="s">
        <v>68</v>
      </c>
      <c r="B3" s="109" t="s">
        <v>72</v>
      </c>
      <c r="C3" s="109" t="s">
        <v>72</v>
      </c>
      <c r="D3" s="109" t="s">
        <v>72</v>
      </c>
      <c r="E3" s="109" t="s">
        <v>73</v>
      </c>
      <c r="F3" s="109" t="s">
        <v>73</v>
      </c>
      <c r="G3" s="109" t="s">
        <v>98</v>
      </c>
      <c r="H3" s="109" t="s">
        <v>78</v>
      </c>
      <c r="I3" s="109" t="s">
        <v>95</v>
      </c>
      <c r="K3" s="109"/>
      <c r="L3" s="109"/>
      <c r="M3" s="109"/>
      <c r="N3" s="109"/>
      <c r="O3" s="109"/>
      <c r="P3" s="109" t="s">
        <v>99</v>
      </c>
    </row>
    <row r="4" spans="1:18" x14ac:dyDescent="0.15">
      <c r="A4" s="31" t="s">
        <v>84</v>
      </c>
      <c r="B4" s="109" t="s">
        <v>85</v>
      </c>
      <c r="C4" s="109" t="s">
        <v>85</v>
      </c>
      <c r="D4" s="109" t="s">
        <v>85</v>
      </c>
      <c r="E4" s="109" t="s">
        <v>85</v>
      </c>
      <c r="F4" s="109" t="s">
        <v>87</v>
      </c>
      <c r="G4" s="109" t="s">
        <v>87</v>
      </c>
      <c r="H4" s="109" t="s">
        <v>100</v>
      </c>
      <c r="I4" s="109" t="s">
        <v>55</v>
      </c>
      <c r="K4" s="109" t="s">
        <v>85</v>
      </c>
      <c r="L4" s="109" t="s">
        <v>87</v>
      </c>
      <c r="M4" s="31" t="s">
        <v>89</v>
      </c>
      <c r="N4" s="31" t="s">
        <v>55</v>
      </c>
      <c r="O4" s="31" t="s">
        <v>55</v>
      </c>
      <c r="P4" s="31" t="s">
        <v>55</v>
      </c>
      <c r="R4" s="31" t="s">
        <v>1031</v>
      </c>
    </row>
    <row r="5" spans="1:18" x14ac:dyDescent="0.15">
      <c r="A5" s="31" t="s">
        <v>91</v>
      </c>
      <c r="B5" s="109" t="s">
        <v>101</v>
      </c>
      <c r="C5" s="109" t="s">
        <v>101</v>
      </c>
      <c r="D5" s="109" t="s">
        <v>102</v>
      </c>
      <c r="E5" s="109" t="s">
        <v>101</v>
      </c>
      <c r="F5" s="109" t="s">
        <v>101</v>
      </c>
      <c r="G5" s="109" t="s">
        <v>103</v>
      </c>
      <c r="H5" s="109" t="s">
        <v>103</v>
      </c>
      <c r="I5" s="109" t="s">
        <v>51</v>
      </c>
      <c r="K5" s="109" t="s">
        <v>101</v>
      </c>
      <c r="L5" s="109" t="s">
        <v>103</v>
      </c>
      <c r="M5" s="109"/>
      <c r="N5" s="109" t="s">
        <v>101</v>
      </c>
      <c r="O5" s="109" t="s">
        <v>51</v>
      </c>
      <c r="P5" s="109" t="s">
        <v>51</v>
      </c>
    </row>
    <row r="7" spans="1:18" x14ac:dyDescent="0.15">
      <c r="A7" s="38">
        <v>1653</v>
      </c>
      <c r="B7" s="109"/>
      <c r="C7" s="109"/>
      <c r="D7" s="109"/>
      <c r="E7" s="109"/>
      <c r="F7" s="109"/>
      <c r="G7" s="109"/>
      <c r="H7" s="109"/>
      <c r="I7" s="109"/>
      <c r="K7" s="109"/>
      <c r="L7" s="109"/>
      <c r="M7" s="109"/>
      <c r="N7" s="109"/>
      <c r="O7" s="109"/>
      <c r="P7" s="40">
        <v>4.761133603238866</v>
      </c>
    </row>
    <row r="8" spans="1:18" x14ac:dyDescent="0.15">
      <c r="A8" s="38">
        <f t="shared" ref="A8:A52" si="0">A9-1</f>
        <v>1654</v>
      </c>
      <c r="B8" s="109"/>
      <c r="C8" s="109"/>
      <c r="D8" s="109"/>
      <c r="E8" s="109"/>
      <c r="F8" s="109"/>
      <c r="G8" s="109"/>
      <c r="H8" s="109"/>
      <c r="I8" s="109"/>
      <c r="K8" s="109"/>
      <c r="L8" s="109"/>
      <c r="M8" s="109"/>
      <c r="N8" s="109"/>
      <c r="O8" s="109"/>
      <c r="P8" s="40">
        <v>4.761133603238866</v>
      </c>
    </row>
    <row r="9" spans="1:18" x14ac:dyDescent="0.15">
      <c r="A9" s="38">
        <f t="shared" si="0"/>
        <v>1655</v>
      </c>
      <c r="B9" s="109"/>
      <c r="C9" s="109"/>
      <c r="D9" s="109"/>
      <c r="E9" s="109"/>
      <c r="F9" s="109"/>
      <c r="G9" s="109"/>
      <c r="H9" s="109"/>
      <c r="I9" s="109"/>
      <c r="K9" s="109"/>
      <c r="L9" s="109"/>
      <c r="M9" s="109"/>
      <c r="N9" s="109"/>
      <c r="O9" s="109"/>
      <c r="P9" s="40">
        <v>4.761133603238866</v>
      </c>
    </row>
    <row r="10" spans="1:18" x14ac:dyDescent="0.15">
      <c r="A10" s="38">
        <f t="shared" si="0"/>
        <v>1656</v>
      </c>
      <c r="B10" s="109">
        <v>0.3</v>
      </c>
      <c r="C10" s="109"/>
      <c r="D10" s="109"/>
      <c r="E10" s="109"/>
      <c r="F10" s="109"/>
      <c r="G10" s="109"/>
      <c r="H10" s="109"/>
      <c r="I10" s="109"/>
      <c r="K10" s="109">
        <f>AVERAGE(B10:C10,E10)</f>
        <v>0.3</v>
      </c>
      <c r="L10" s="109"/>
      <c r="M10" s="109"/>
      <c r="N10" s="31">
        <f>K10*7.84</f>
        <v>2.3519999999999999</v>
      </c>
      <c r="O10" s="109">
        <f t="shared" ref="O10:O73" si="1">N10/0.494</f>
        <v>4.761133603238866</v>
      </c>
      <c r="P10" s="109">
        <v>4.761133603238866</v>
      </c>
    </row>
    <row r="11" spans="1:18" x14ac:dyDescent="0.15">
      <c r="A11" s="38">
        <f t="shared" si="0"/>
        <v>1657</v>
      </c>
      <c r="B11" s="109">
        <v>0.3</v>
      </c>
      <c r="C11" s="109"/>
      <c r="D11" s="109"/>
      <c r="E11" s="109"/>
      <c r="F11" s="109"/>
      <c r="G11" s="109"/>
      <c r="H11" s="109"/>
      <c r="I11" s="109"/>
      <c r="K11" s="109">
        <f t="shared" ref="K11:K74" si="2">AVERAGE(B11:C11,E11)</f>
        <v>0.3</v>
      </c>
      <c r="L11" s="109"/>
      <c r="M11" s="109"/>
      <c r="N11" s="31">
        <f>K11*7.84</f>
        <v>2.3519999999999999</v>
      </c>
      <c r="O11" s="109">
        <f t="shared" si="1"/>
        <v>4.761133603238866</v>
      </c>
      <c r="P11" s="109">
        <v>4.761133603238866</v>
      </c>
    </row>
    <row r="12" spans="1:18" x14ac:dyDescent="0.15">
      <c r="A12" s="38">
        <f t="shared" si="0"/>
        <v>1658</v>
      </c>
      <c r="B12" s="109"/>
      <c r="C12" s="109"/>
      <c r="D12" s="109">
        <v>90</v>
      </c>
      <c r="E12" s="109"/>
      <c r="F12" s="109"/>
      <c r="G12" s="109"/>
      <c r="H12" s="109"/>
      <c r="I12" s="109"/>
      <c r="K12" s="71">
        <f>D12/400</f>
        <v>0.22500000000000001</v>
      </c>
      <c r="L12" s="109"/>
      <c r="M12" s="109"/>
      <c r="N12" s="31">
        <f>K12*7.84</f>
        <v>1.764</v>
      </c>
      <c r="O12" s="109">
        <f t="shared" si="1"/>
        <v>3.57085020242915</v>
      </c>
      <c r="P12" s="109">
        <v>3.57085020242915</v>
      </c>
    </row>
    <row r="13" spans="1:18" x14ac:dyDescent="0.15">
      <c r="A13" s="38">
        <f t="shared" si="0"/>
        <v>1659</v>
      </c>
      <c r="B13" s="109"/>
      <c r="C13" s="109"/>
      <c r="D13" s="109"/>
      <c r="E13" s="109"/>
      <c r="F13" s="109"/>
      <c r="G13" s="109"/>
      <c r="H13" s="109"/>
      <c r="I13" s="109"/>
      <c r="K13" s="109"/>
      <c r="L13" s="109"/>
      <c r="M13" s="109"/>
      <c r="N13" s="31"/>
      <c r="O13" s="109"/>
      <c r="P13" s="55">
        <f>P12+($P$14-$P$12)/2</f>
        <v>4.1659919028340084</v>
      </c>
    </row>
    <row r="14" spans="1:18" x14ac:dyDescent="0.15">
      <c r="A14" s="38">
        <f t="shared" si="0"/>
        <v>1660</v>
      </c>
      <c r="B14" s="109">
        <v>0.3</v>
      </c>
      <c r="C14" s="109"/>
      <c r="D14" s="109"/>
      <c r="E14" s="109"/>
      <c r="F14" s="109"/>
      <c r="G14" s="109"/>
      <c r="H14" s="109"/>
      <c r="I14" s="109"/>
      <c r="K14" s="109">
        <f t="shared" si="2"/>
        <v>0.3</v>
      </c>
      <c r="L14" s="109"/>
      <c r="M14" s="109"/>
      <c r="N14" s="31">
        <f>K14*7.84</f>
        <v>2.3519999999999999</v>
      </c>
      <c r="O14" s="109">
        <f t="shared" si="1"/>
        <v>4.761133603238866</v>
      </c>
      <c r="P14" s="109">
        <v>4.761133603238866</v>
      </c>
    </row>
    <row r="15" spans="1:18" x14ac:dyDescent="0.15">
      <c r="A15" s="38">
        <f t="shared" si="0"/>
        <v>1661</v>
      </c>
      <c r="B15" s="109">
        <v>0.3</v>
      </c>
      <c r="C15" s="109"/>
      <c r="D15" s="109"/>
      <c r="E15" s="109"/>
      <c r="F15" s="109"/>
      <c r="G15" s="109"/>
      <c r="H15" s="109"/>
      <c r="I15" s="109"/>
      <c r="K15" s="109">
        <f t="shared" si="2"/>
        <v>0.3</v>
      </c>
      <c r="L15" s="109"/>
      <c r="M15" s="109"/>
      <c r="N15" s="31">
        <f>K15*7.84</f>
        <v>2.3519999999999999</v>
      </c>
      <c r="O15" s="109">
        <f t="shared" si="1"/>
        <v>4.761133603238866</v>
      </c>
      <c r="P15" s="109">
        <v>4.761133603238866</v>
      </c>
    </row>
    <row r="16" spans="1:18" x14ac:dyDescent="0.15">
      <c r="A16" s="38">
        <f t="shared" si="0"/>
        <v>1662</v>
      </c>
      <c r="B16" s="109">
        <v>0.3</v>
      </c>
      <c r="C16" s="109"/>
      <c r="D16" s="109"/>
      <c r="E16" s="109"/>
      <c r="F16" s="109"/>
      <c r="G16" s="109"/>
      <c r="H16" s="109"/>
      <c r="I16" s="109"/>
      <c r="K16" s="109">
        <f t="shared" si="2"/>
        <v>0.3</v>
      </c>
      <c r="L16" s="109"/>
      <c r="M16" s="109"/>
      <c r="N16" s="31">
        <f>K16*7.84</f>
        <v>2.3519999999999999</v>
      </c>
      <c r="O16" s="109">
        <f t="shared" si="1"/>
        <v>4.761133603238866</v>
      </c>
      <c r="P16" s="109">
        <v>4.761133603238866</v>
      </c>
    </row>
    <row r="17" spans="1:16" x14ac:dyDescent="0.15">
      <c r="A17" s="38">
        <f t="shared" si="0"/>
        <v>1663</v>
      </c>
      <c r="B17" s="109"/>
      <c r="C17" s="109"/>
      <c r="D17" s="109">
        <v>120</v>
      </c>
      <c r="E17" s="109"/>
      <c r="F17" s="109"/>
      <c r="G17" s="109"/>
      <c r="H17" s="109"/>
      <c r="I17" s="109"/>
      <c r="K17" s="71">
        <f>D17/400</f>
        <v>0.3</v>
      </c>
      <c r="L17" s="109"/>
      <c r="M17" s="109"/>
      <c r="N17" s="31">
        <f>K17*7.84</f>
        <v>2.3519999999999999</v>
      </c>
      <c r="O17" s="109">
        <f t="shared" si="1"/>
        <v>4.761133603238866</v>
      </c>
      <c r="P17" s="109">
        <v>4.761133603238866</v>
      </c>
    </row>
    <row r="18" spans="1:16" x14ac:dyDescent="0.15">
      <c r="A18" s="38">
        <f t="shared" si="0"/>
        <v>1664</v>
      </c>
      <c r="B18" s="109"/>
      <c r="C18" s="109"/>
      <c r="D18" s="109"/>
      <c r="E18" s="109"/>
      <c r="F18" s="109"/>
      <c r="G18" s="109"/>
      <c r="H18" s="109"/>
      <c r="I18" s="109"/>
      <c r="K18" s="109"/>
      <c r="L18" s="109"/>
      <c r="M18" s="109"/>
      <c r="N18" s="31"/>
      <c r="O18" s="109"/>
      <c r="P18" s="55">
        <f>P17+($P$19-$P$17)/2</f>
        <v>4.761133603238866</v>
      </c>
    </row>
    <row r="19" spans="1:16" x14ac:dyDescent="0.15">
      <c r="A19" s="38">
        <f t="shared" si="0"/>
        <v>1665</v>
      </c>
      <c r="B19" s="109">
        <v>0.3</v>
      </c>
      <c r="C19" s="109"/>
      <c r="D19" s="109"/>
      <c r="E19" s="109"/>
      <c r="F19" s="109"/>
      <c r="G19" s="109"/>
      <c r="H19" s="109"/>
      <c r="I19" s="109"/>
      <c r="K19" s="109">
        <f t="shared" si="2"/>
        <v>0.3</v>
      </c>
      <c r="L19" s="109"/>
      <c r="M19" s="109"/>
      <c r="N19" s="31">
        <f t="shared" ref="N19:N25" si="3">K19*7.84</f>
        <v>2.3519999999999999</v>
      </c>
      <c r="O19" s="109">
        <f t="shared" si="1"/>
        <v>4.761133603238866</v>
      </c>
      <c r="P19" s="109">
        <v>4.761133603238866</v>
      </c>
    </row>
    <row r="20" spans="1:16" x14ac:dyDescent="0.15">
      <c r="A20" s="38">
        <f t="shared" si="0"/>
        <v>1666</v>
      </c>
      <c r="B20" s="109"/>
      <c r="C20" s="109"/>
      <c r="D20" s="109">
        <v>90</v>
      </c>
      <c r="E20" s="109"/>
      <c r="F20" s="109"/>
      <c r="G20" s="109"/>
      <c r="H20" s="109"/>
      <c r="I20" s="109"/>
      <c r="K20" s="71">
        <f t="shared" ref="K20:K21" si="4">D20/400</f>
        <v>0.22500000000000001</v>
      </c>
      <c r="L20" s="109"/>
      <c r="M20" s="109"/>
      <c r="N20" s="31">
        <f t="shared" si="3"/>
        <v>1.764</v>
      </c>
      <c r="O20" s="109">
        <f t="shared" si="1"/>
        <v>3.57085020242915</v>
      </c>
      <c r="P20" s="109">
        <v>3.57085020242915</v>
      </c>
    </row>
    <row r="21" spans="1:16" x14ac:dyDescent="0.15">
      <c r="A21" s="38">
        <f t="shared" si="0"/>
        <v>1667</v>
      </c>
      <c r="B21" s="109"/>
      <c r="C21" s="109"/>
      <c r="D21" s="109">
        <v>90</v>
      </c>
      <c r="E21" s="109"/>
      <c r="F21" s="109"/>
      <c r="G21" s="109"/>
      <c r="H21" s="109"/>
      <c r="I21" s="109"/>
      <c r="K21" s="71">
        <f t="shared" si="4"/>
        <v>0.22500000000000001</v>
      </c>
      <c r="L21" s="109"/>
      <c r="M21" s="109"/>
      <c r="N21" s="31">
        <f t="shared" si="3"/>
        <v>1.764</v>
      </c>
      <c r="O21" s="109">
        <f t="shared" si="1"/>
        <v>3.57085020242915</v>
      </c>
      <c r="P21" s="109">
        <v>3.57085020242915</v>
      </c>
    </row>
    <row r="22" spans="1:16" x14ac:dyDescent="0.15">
      <c r="A22" s="38">
        <f t="shared" si="0"/>
        <v>1668</v>
      </c>
      <c r="B22" s="109">
        <v>0.3</v>
      </c>
      <c r="C22" s="109"/>
      <c r="D22" s="109"/>
      <c r="E22" s="109"/>
      <c r="F22" s="109"/>
      <c r="G22" s="109"/>
      <c r="H22" s="109"/>
      <c r="I22" s="109"/>
      <c r="K22" s="109">
        <f t="shared" si="2"/>
        <v>0.3</v>
      </c>
      <c r="L22" s="109"/>
      <c r="M22" s="109"/>
      <c r="N22" s="31">
        <f t="shared" si="3"/>
        <v>2.3519999999999999</v>
      </c>
      <c r="O22" s="109">
        <f t="shared" si="1"/>
        <v>4.761133603238866</v>
      </c>
      <c r="P22" s="109">
        <v>4.761133603238866</v>
      </c>
    </row>
    <row r="23" spans="1:16" x14ac:dyDescent="0.15">
      <c r="A23" s="38">
        <f t="shared" si="0"/>
        <v>1669</v>
      </c>
      <c r="B23" s="109">
        <v>0.3</v>
      </c>
      <c r="C23" s="109"/>
      <c r="D23" s="109"/>
      <c r="E23" s="109"/>
      <c r="F23" s="109"/>
      <c r="G23" s="109"/>
      <c r="H23" s="109"/>
      <c r="I23" s="109"/>
      <c r="K23" s="109">
        <f t="shared" si="2"/>
        <v>0.3</v>
      </c>
      <c r="L23" s="109"/>
      <c r="M23" s="109"/>
      <c r="N23" s="31">
        <f t="shared" si="3"/>
        <v>2.3519999999999999</v>
      </c>
      <c r="O23" s="109">
        <f t="shared" si="1"/>
        <v>4.761133603238866</v>
      </c>
      <c r="P23" s="109">
        <v>4.761133603238866</v>
      </c>
    </row>
    <row r="24" spans="1:16" x14ac:dyDescent="0.15">
      <c r="A24" s="38">
        <f t="shared" si="0"/>
        <v>1670</v>
      </c>
      <c r="B24" s="109"/>
      <c r="C24" s="109"/>
      <c r="D24" s="109">
        <v>120</v>
      </c>
      <c r="E24" s="109"/>
      <c r="F24" s="109"/>
      <c r="G24" s="109"/>
      <c r="H24" s="109"/>
      <c r="I24" s="109"/>
      <c r="K24" s="71">
        <f>D24/400</f>
        <v>0.3</v>
      </c>
      <c r="L24" s="109"/>
      <c r="M24" s="109"/>
      <c r="N24" s="31">
        <f t="shared" si="3"/>
        <v>2.3519999999999999</v>
      </c>
      <c r="O24" s="109">
        <f t="shared" si="1"/>
        <v>4.761133603238866</v>
      </c>
      <c r="P24" s="109">
        <v>4.761133603238866</v>
      </c>
    </row>
    <row r="25" spans="1:16" x14ac:dyDescent="0.15">
      <c r="A25" s="38">
        <f t="shared" si="0"/>
        <v>1671</v>
      </c>
      <c r="B25" s="109">
        <v>0.3</v>
      </c>
      <c r="C25" s="109"/>
      <c r="D25" s="109"/>
      <c r="E25" s="109"/>
      <c r="F25" s="109"/>
      <c r="G25" s="109"/>
      <c r="H25" s="109"/>
      <c r="I25" s="109"/>
      <c r="K25" s="109">
        <f t="shared" si="2"/>
        <v>0.3</v>
      </c>
      <c r="L25" s="109"/>
      <c r="M25" s="109"/>
      <c r="N25" s="31">
        <f t="shared" si="3"/>
        <v>2.3519999999999999</v>
      </c>
      <c r="O25" s="109">
        <f t="shared" si="1"/>
        <v>4.761133603238866</v>
      </c>
      <c r="P25" s="109">
        <v>4.761133603238866</v>
      </c>
    </row>
    <row r="26" spans="1:16" x14ac:dyDescent="0.15">
      <c r="A26" s="38">
        <f t="shared" si="0"/>
        <v>1672</v>
      </c>
      <c r="B26" s="109"/>
      <c r="C26" s="109"/>
      <c r="D26" s="109"/>
      <c r="E26" s="109"/>
      <c r="F26" s="109"/>
      <c r="G26" s="109"/>
      <c r="H26" s="109"/>
      <c r="I26" s="109"/>
      <c r="K26" s="109"/>
      <c r="L26" s="109"/>
      <c r="M26" s="109"/>
      <c r="N26" s="31"/>
      <c r="O26" s="109"/>
      <c r="P26" s="55">
        <f>P25+($P$27-$P$25)/2</f>
        <v>4.761133603238866</v>
      </c>
    </row>
    <row r="27" spans="1:16" x14ac:dyDescent="0.15">
      <c r="A27" s="38">
        <f t="shared" si="0"/>
        <v>1673</v>
      </c>
      <c r="B27" s="109">
        <v>0.3</v>
      </c>
      <c r="C27" s="109"/>
      <c r="D27" s="109"/>
      <c r="E27" s="109"/>
      <c r="F27" s="109"/>
      <c r="G27" s="109"/>
      <c r="H27" s="109"/>
      <c r="I27" s="109"/>
      <c r="K27" s="109">
        <f t="shared" si="2"/>
        <v>0.3</v>
      </c>
      <c r="L27" s="109"/>
      <c r="M27" s="109"/>
      <c r="N27" s="31">
        <f>K27*7.84</f>
        <v>2.3519999999999999</v>
      </c>
      <c r="O27" s="109">
        <f t="shared" si="1"/>
        <v>4.761133603238866</v>
      </c>
      <c r="P27" s="109">
        <v>4.761133603238866</v>
      </c>
    </row>
    <row r="28" spans="1:16" x14ac:dyDescent="0.15">
      <c r="A28" s="38">
        <f t="shared" si="0"/>
        <v>1674</v>
      </c>
      <c r="B28" s="109"/>
      <c r="C28" s="109"/>
      <c r="D28" s="109"/>
      <c r="E28" s="109"/>
      <c r="F28" s="109"/>
      <c r="G28" s="109"/>
      <c r="H28" s="109"/>
      <c r="I28" s="109"/>
      <c r="K28" s="109"/>
      <c r="L28" s="109"/>
      <c r="M28" s="109"/>
      <c r="N28" s="31"/>
      <c r="O28" s="109"/>
      <c r="P28" s="55">
        <f t="shared" ref="P28:P35" si="5">P27+($P$36-$P$27)/9</f>
        <v>4.7510121457489873</v>
      </c>
    </row>
    <row r="29" spans="1:16" x14ac:dyDescent="0.15">
      <c r="A29" s="38">
        <f t="shared" si="0"/>
        <v>1675</v>
      </c>
      <c r="B29" s="109"/>
      <c r="C29" s="109"/>
      <c r="D29" s="109"/>
      <c r="E29" s="109"/>
      <c r="F29" s="109"/>
      <c r="G29" s="109"/>
      <c r="H29" s="109"/>
      <c r="I29" s="109"/>
      <c r="K29" s="109"/>
      <c r="L29" s="109"/>
      <c r="M29" s="109"/>
      <c r="N29" s="31"/>
      <c r="O29" s="109"/>
      <c r="P29" s="55">
        <f t="shared" si="5"/>
        <v>4.7408906882591086</v>
      </c>
    </row>
    <row r="30" spans="1:16" x14ac:dyDescent="0.15">
      <c r="A30" s="38">
        <f t="shared" si="0"/>
        <v>1676</v>
      </c>
      <c r="B30" s="109"/>
      <c r="C30" s="109"/>
      <c r="D30" s="109"/>
      <c r="E30" s="109"/>
      <c r="F30" s="109"/>
      <c r="G30" s="109"/>
      <c r="H30" s="109"/>
      <c r="I30" s="109"/>
      <c r="K30" s="109"/>
      <c r="L30" s="109"/>
      <c r="M30" s="109"/>
      <c r="N30" s="31"/>
      <c r="O30" s="109"/>
      <c r="P30" s="55">
        <f t="shared" si="5"/>
        <v>4.7307692307692299</v>
      </c>
    </row>
    <row r="31" spans="1:16" x14ac:dyDescent="0.15">
      <c r="A31" s="38">
        <f t="shared" si="0"/>
        <v>1677</v>
      </c>
      <c r="B31" s="109"/>
      <c r="C31" s="109"/>
      <c r="D31" s="109"/>
      <c r="E31" s="109"/>
      <c r="F31" s="109"/>
      <c r="G31" s="109"/>
      <c r="H31" s="109"/>
      <c r="I31" s="109"/>
      <c r="K31" s="109"/>
      <c r="L31" s="109"/>
      <c r="M31" s="109"/>
      <c r="N31" s="31"/>
      <c r="O31" s="109"/>
      <c r="P31" s="55">
        <f t="shared" si="5"/>
        <v>4.7206477732793513</v>
      </c>
    </row>
    <row r="32" spans="1:16" x14ac:dyDescent="0.15">
      <c r="A32" s="38">
        <f t="shared" si="0"/>
        <v>1678</v>
      </c>
      <c r="B32" s="109"/>
      <c r="C32" s="109"/>
      <c r="D32" s="109"/>
      <c r="E32" s="109"/>
      <c r="F32" s="109"/>
      <c r="G32" s="109"/>
      <c r="H32" s="109"/>
      <c r="I32" s="109"/>
      <c r="K32" s="109"/>
      <c r="L32" s="109"/>
      <c r="M32" s="109"/>
      <c r="N32" s="31"/>
      <c r="O32" s="109"/>
      <c r="P32" s="55">
        <f t="shared" si="5"/>
        <v>4.7105263157894726</v>
      </c>
    </row>
    <row r="33" spans="1:16" x14ac:dyDescent="0.15">
      <c r="A33" s="38">
        <f t="shared" si="0"/>
        <v>1679</v>
      </c>
      <c r="B33" s="109"/>
      <c r="C33" s="109"/>
      <c r="D33" s="109"/>
      <c r="E33" s="109"/>
      <c r="F33" s="109"/>
      <c r="G33" s="109"/>
      <c r="H33" s="109"/>
      <c r="I33" s="109"/>
      <c r="K33" s="109"/>
      <c r="L33" s="109"/>
      <c r="M33" s="109"/>
      <c r="N33" s="31"/>
      <c r="O33" s="109"/>
      <c r="P33" s="55">
        <f t="shared" si="5"/>
        <v>4.7004048582995939</v>
      </c>
    </row>
    <row r="34" spans="1:16" x14ac:dyDescent="0.15">
      <c r="A34" s="38">
        <f t="shared" si="0"/>
        <v>1680</v>
      </c>
      <c r="B34" s="109"/>
      <c r="C34" s="109"/>
      <c r="D34" s="109"/>
      <c r="E34" s="109"/>
      <c r="F34" s="109"/>
      <c r="G34" s="109"/>
      <c r="H34" s="109"/>
      <c r="I34" s="109"/>
      <c r="K34" s="109"/>
      <c r="L34" s="109"/>
      <c r="M34" s="109"/>
      <c r="N34" s="31"/>
      <c r="O34" s="109"/>
      <c r="P34" s="55">
        <f t="shared" si="5"/>
        <v>4.6902834008097152</v>
      </c>
    </row>
    <row r="35" spans="1:16" x14ac:dyDescent="0.15">
      <c r="A35" s="38">
        <f t="shared" si="0"/>
        <v>1681</v>
      </c>
      <c r="B35" s="109"/>
      <c r="C35" s="109"/>
      <c r="D35" s="109"/>
      <c r="E35" s="109"/>
      <c r="F35" s="109"/>
      <c r="G35" s="109"/>
      <c r="H35" s="109"/>
      <c r="I35" s="109"/>
      <c r="K35" s="109"/>
      <c r="L35" s="109"/>
      <c r="M35" s="109"/>
      <c r="N35" s="31"/>
      <c r="O35" s="109"/>
      <c r="P35" s="55">
        <f t="shared" si="5"/>
        <v>4.6801619433198365</v>
      </c>
    </row>
    <row r="36" spans="1:16" x14ac:dyDescent="0.15">
      <c r="A36" s="38">
        <f t="shared" si="0"/>
        <v>1682</v>
      </c>
      <c r="B36" s="109">
        <v>0.3</v>
      </c>
      <c r="C36" s="109"/>
      <c r="D36" s="109"/>
      <c r="E36" s="109"/>
      <c r="F36" s="109"/>
      <c r="G36" s="109"/>
      <c r="H36" s="109"/>
      <c r="I36" s="109"/>
      <c r="K36" s="109">
        <f t="shared" si="2"/>
        <v>0.3</v>
      </c>
      <c r="L36" s="109"/>
      <c r="M36" s="109"/>
      <c r="N36" s="31">
        <f>K36*7.69</f>
        <v>2.3069999999999999</v>
      </c>
      <c r="O36" s="109">
        <f t="shared" si="1"/>
        <v>4.6700404858299596</v>
      </c>
      <c r="P36" s="109">
        <v>4.6700404858299596</v>
      </c>
    </row>
    <row r="37" spans="1:16" x14ac:dyDescent="0.15">
      <c r="A37" s="38">
        <f t="shared" si="0"/>
        <v>1683</v>
      </c>
      <c r="B37" s="109">
        <v>0.3</v>
      </c>
      <c r="C37" s="109"/>
      <c r="D37" s="109"/>
      <c r="E37" s="109"/>
      <c r="F37" s="109"/>
      <c r="G37" s="109"/>
      <c r="H37" s="109"/>
      <c r="I37" s="109"/>
      <c r="K37" s="109">
        <f t="shared" si="2"/>
        <v>0.3</v>
      </c>
      <c r="L37" s="109"/>
      <c r="M37" s="109"/>
      <c r="N37" s="31">
        <f t="shared" ref="N37:N39" si="6">K37*7.69</f>
        <v>2.3069999999999999</v>
      </c>
      <c r="O37" s="109">
        <f t="shared" si="1"/>
        <v>4.6700404858299596</v>
      </c>
      <c r="P37" s="109">
        <v>4.6700404858299596</v>
      </c>
    </row>
    <row r="38" spans="1:16" x14ac:dyDescent="0.15">
      <c r="A38" s="38">
        <f t="shared" si="0"/>
        <v>1684</v>
      </c>
      <c r="B38" s="109">
        <v>0.3</v>
      </c>
      <c r="C38" s="109"/>
      <c r="D38" s="109"/>
      <c r="E38" s="109"/>
      <c r="F38" s="109"/>
      <c r="G38" s="109"/>
      <c r="H38" s="109"/>
      <c r="I38" s="109"/>
      <c r="K38" s="109">
        <f t="shared" si="2"/>
        <v>0.3</v>
      </c>
      <c r="L38" s="109"/>
      <c r="M38" s="109"/>
      <c r="N38" s="31">
        <f t="shared" si="6"/>
        <v>2.3069999999999999</v>
      </c>
      <c r="O38" s="109">
        <f t="shared" si="1"/>
        <v>4.6700404858299596</v>
      </c>
      <c r="P38" s="109">
        <v>4.6700404858299596</v>
      </c>
    </row>
    <row r="39" spans="1:16" x14ac:dyDescent="0.15">
      <c r="A39" s="38">
        <f t="shared" si="0"/>
        <v>1685</v>
      </c>
      <c r="B39" s="109"/>
      <c r="C39" s="109"/>
      <c r="D39" s="109">
        <v>120</v>
      </c>
      <c r="E39" s="109"/>
      <c r="F39" s="109"/>
      <c r="G39" s="109"/>
      <c r="H39" s="109"/>
      <c r="I39" s="109"/>
      <c r="K39" s="71">
        <f>D39/400</f>
        <v>0.3</v>
      </c>
      <c r="L39" s="109"/>
      <c r="M39" s="109"/>
      <c r="N39" s="31">
        <f t="shared" si="6"/>
        <v>2.3069999999999999</v>
      </c>
      <c r="O39" s="109">
        <f t="shared" si="1"/>
        <v>4.6700404858299596</v>
      </c>
      <c r="P39" s="109">
        <v>4.6700404858299596</v>
      </c>
    </row>
    <row r="40" spans="1:16" x14ac:dyDescent="0.15">
      <c r="A40" s="38">
        <f t="shared" si="0"/>
        <v>1686</v>
      </c>
      <c r="B40" s="109"/>
      <c r="C40" s="109"/>
      <c r="D40" s="109"/>
      <c r="E40" s="109"/>
      <c r="F40" s="109"/>
      <c r="G40" s="109"/>
      <c r="H40" s="109"/>
      <c r="I40" s="109"/>
      <c r="K40" s="109"/>
      <c r="L40" s="109"/>
      <c r="M40" s="109"/>
      <c r="N40" s="31"/>
      <c r="O40" s="109"/>
      <c r="P40" s="55">
        <f>P39+($P$42-$P$39)/3</f>
        <v>4.6700404858299596</v>
      </c>
    </row>
    <row r="41" spans="1:16" x14ac:dyDescent="0.15">
      <c r="A41" s="38">
        <f t="shared" si="0"/>
        <v>1687</v>
      </c>
      <c r="B41" s="109"/>
      <c r="C41" s="109"/>
      <c r="D41" s="109"/>
      <c r="E41" s="109"/>
      <c r="F41" s="109"/>
      <c r="G41" s="109"/>
      <c r="H41" s="109"/>
      <c r="I41" s="109"/>
      <c r="K41" s="109"/>
      <c r="L41" s="109"/>
      <c r="M41" s="109"/>
      <c r="N41" s="31"/>
      <c r="O41" s="109"/>
      <c r="P41" s="55">
        <f>P40+($P$42-$P$39)/3</f>
        <v>4.6700404858299596</v>
      </c>
    </row>
    <row r="42" spans="1:16" x14ac:dyDescent="0.15">
      <c r="A42" s="38">
        <f t="shared" si="0"/>
        <v>1688</v>
      </c>
      <c r="B42" s="109"/>
      <c r="C42" s="109"/>
      <c r="D42" s="109">
        <v>120</v>
      </c>
      <c r="E42" s="109"/>
      <c r="F42" s="109"/>
      <c r="G42" s="109"/>
      <c r="H42" s="109"/>
      <c r="I42" s="109"/>
      <c r="K42" s="71">
        <f>D42/400</f>
        <v>0.3</v>
      </c>
      <c r="L42" s="109"/>
      <c r="M42" s="109"/>
      <c r="N42" s="31">
        <f>K42*7.69</f>
        <v>2.3069999999999999</v>
      </c>
      <c r="O42" s="109">
        <f t="shared" si="1"/>
        <v>4.6700404858299596</v>
      </c>
      <c r="P42" s="109">
        <v>4.6700404858299596</v>
      </c>
    </row>
    <row r="43" spans="1:16" x14ac:dyDescent="0.15">
      <c r="A43" s="38">
        <f t="shared" si="0"/>
        <v>1689</v>
      </c>
      <c r="B43" s="109"/>
      <c r="C43" s="109"/>
      <c r="D43" s="109"/>
      <c r="E43" s="109"/>
      <c r="F43" s="109"/>
      <c r="G43" s="109"/>
      <c r="H43" s="109"/>
      <c r="I43" s="109"/>
      <c r="K43" s="109"/>
      <c r="L43" s="109"/>
      <c r="M43" s="109"/>
      <c r="N43" s="31"/>
      <c r="O43" s="109"/>
      <c r="P43" s="55">
        <f>P42+($P$44-$P$42)/2</f>
        <v>4.4754554655870447</v>
      </c>
    </row>
    <row r="44" spans="1:16" x14ac:dyDescent="0.15">
      <c r="A44" s="38">
        <f t="shared" si="0"/>
        <v>1690</v>
      </c>
      <c r="B44" s="109"/>
      <c r="C44" s="109"/>
      <c r="D44" s="109">
        <v>110</v>
      </c>
      <c r="E44" s="109"/>
      <c r="F44" s="109"/>
      <c r="G44" s="109"/>
      <c r="H44" s="109"/>
      <c r="I44" s="109"/>
      <c r="K44" s="71">
        <f t="shared" ref="K44:K45" si="7">D44/400</f>
        <v>0.27500000000000002</v>
      </c>
      <c r="L44" s="109"/>
      <c r="M44" s="109"/>
      <c r="N44" s="31">
        <f t="shared" ref="N44:N47" si="8">K44*7.69</f>
        <v>2.1147500000000004</v>
      </c>
      <c r="O44" s="109">
        <f t="shared" si="1"/>
        <v>4.2808704453441306</v>
      </c>
      <c r="P44" s="109">
        <v>4.2808704453441306</v>
      </c>
    </row>
    <row r="45" spans="1:16" x14ac:dyDescent="0.15">
      <c r="A45" s="38">
        <f t="shared" si="0"/>
        <v>1691</v>
      </c>
      <c r="B45" s="109"/>
      <c r="C45" s="109"/>
      <c r="D45" s="109">
        <v>154.5</v>
      </c>
      <c r="E45" s="109"/>
      <c r="F45" s="109"/>
      <c r="G45" s="109"/>
      <c r="H45" s="109"/>
      <c r="I45" s="109"/>
      <c r="K45" s="71">
        <f t="shared" si="7"/>
        <v>0.38624999999999998</v>
      </c>
      <c r="L45" s="109"/>
      <c r="M45" s="109"/>
      <c r="N45" s="31">
        <f t="shared" si="8"/>
        <v>2.9702625</v>
      </c>
      <c r="O45" s="109">
        <f t="shared" si="1"/>
        <v>6.0126771255060731</v>
      </c>
      <c r="P45" s="109">
        <v>6.0126771255060731</v>
      </c>
    </row>
    <row r="46" spans="1:16" x14ac:dyDescent="0.15">
      <c r="A46" s="38">
        <f t="shared" si="0"/>
        <v>1692</v>
      </c>
      <c r="B46" s="109">
        <v>0.42499999999999999</v>
      </c>
      <c r="C46" s="109"/>
      <c r="D46" s="109"/>
      <c r="E46" s="109"/>
      <c r="F46" s="109"/>
      <c r="G46" s="109"/>
      <c r="H46" s="109"/>
      <c r="I46" s="109"/>
      <c r="K46" s="109">
        <f t="shared" si="2"/>
        <v>0.42499999999999999</v>
      </c>
      <c r="L46" s="109"/>
      <c r="M46" s="109"/>
      <c r="N46" s="31">
        <f t="shared" si="8"/>
        <v>3.2682500000000001</v>
      </c>
      <c r="O46" s="109">
        <f t="shared" si="1"/>
        <v>6.6158906882591095</v>
      </c>
      <c r="P46" s="109">
        <v>6.6158906882591095</v>
      </c>
    </row>
    <row r="47" spans="1:16" x14ac:dyDescent="0.15">
      <c r="A47" s="38">
        <f t="shared" si="0"/>
        <v>1693</v>
      </c>
      <c r="B47" s="109">
        <v>0.4</v>
      </c>
      <c r="C47" s="109"/>
      <c r="D47" s="109"/>
      <c r="E47" s="109"/>
      <c r="F47" s="109"/>
      <c r="G47" s="109"/>
      <c r="H47" s="109"/>
      <c r="I47" s="109"/>
      <c r="K47" s="109">
        <f t="shared" si="2"/>
        <v>0.4</v>
      </c>
      <c r="L47" s="109"/>
      <c r="M47" s="109"/>
      <c r="N47" s="31">
        <f t="shared" si="8"/>
        <v>3.0760000000000005</v>
      </c>
      <c r="O47" s="109">
        <f t="shared" si="1"/>
        <v>6.2267206477732806</v>
      </c>
      <c r="P47" s="109">
        <v>6.2267206477732806</v>
      </c>
    </row>
    <row r="48" spans="1:16" x14ac:dyDescent="0.15">
      <c r="A48" s="38">
        <f t="shared" si="0"/>
        <v>1694</v>
      </c>
      <c r="B48" s="109"/>
      <c r="C48" s="109"/>
      <c r="D48" s="109"/>
      <c r="E48" s="109"/>
      <c r="F48" s="109"/>
      <c r="G48" s="109"/>
      <c r="H48" s="109"/>
      <c r="I48" s="109"/>
      <c r="K48" s="109"/>
      <c r="L48" s="109"/>
      <c r="M48" s="109"/>
      <c r="N48" s="31"/>
      <c r="O48" s="109"/>
      <c r="P48" s="55">
        <f>P47+($P$49-$P$47)/2</f>
        <v>6.1488866396761139</v>
      </c>
    </row>
    <row r="49" spans="1:16" x14ac:dyDescent="0.15">
      <c r="A49" s="38">
        <f t="shared" si="0"/>
        <v>1695</v>
      </c>
      <c r="B49" s="109"/>
      <c r="C49" s="109"/>
      <c r="D49" s="109">
        <v>156</v>
      </c>
      <c r="E49" s="109"/>
      <c r="F49" s="109"/>
      <c r="G49" s="109"/>
      <c r="H49" s="109"/>
      <c r="I49" s="109"/>
      <c r="K49" s="71">
        <f t="shared" ref="K49:K50" si="9">D49/400</f>
        <v>0.39</v>
      </c>
      <c r="L49" s="109"/>
      <c r="M49" s="109"/>
      <c r="N49" s="31">
        <f t="shared" ref="N49:N52" si="10">K49*7.69</f>
        <v>2.9991000000000003</v>
      </c>
      <c r="O49" s="109">
        <f t="shared" si="1"/>
        <v>6.0710526315789481</v>
      </c>
      <c r="P49" s="109">
        <v>6.0710526315789481</v>
      </c>
    </row>
    <row r="50" spans="1:16" x14ac:dyDescent="0.15">
      <c r="A50" s="38">
        <f t="shared" si="0"/>
        <v>1696</v>
      </c>
      <c r="B50" s="109"/>
      <c r="C50" s="109"/>
      <c r="D50" s="109">
        <v>160</v>
      </c>
      <c r="E50" s="109"/>
      <c r="F50" s="109"/>
      <c r="G50" s="109"/>
      <c r="H50" s="109"/>
      <c r="I50" s="109"/>
      <c r="K50" s="71">
        <f t="shared" si="9"/>
        <v>0.4</v>
      </c>
      <c r="L50" s="109"/>
      <c r="M50" s="109"/>
      <c r="N50" s="31">
        <f t="shared" si="10"/>
        <v>3.0760000000000005</v>
      </c>
      <c r="O50" s="109">
        <f t="shared" si="1"/>
        <v>6.2267206477732806</v>
      </c>
      <c r="P50" s="109">
        <v>6.2267206477732806</v>
      </c>
    </row>
    <row r="51" spans="1:16" x14ac:dyDescent="0.15">
      <c r="A51" s="38">
        <f t="shared" si="0"/>
        <v>1697</v>
      </c>
      <c r="B51" s="109">
        <v>0.4</v>
      </c>
      <c r="C51" s="109"/>
      <c r="D51" s="109"/>
      <c r="E51" s="109"/>
      <c r="F51" s="109"/>
      <c r="G51" s="109"/>
      <c r="H51" s="109"/>
      <c r="I51" s="109"/>
      <c r="K51" s="109">
        <f t="shared" si="2"/>
        <v>0.4</v>
      </c>
      <c r="L51" s="109"/>
      <c r="M51" s="109"/>
      <c r="N51" s="31">
        <f t="shared" si="10"/>
        <v>3.0760000000000005</v>
      </c>
      <c r="O51" s="109">
        <f t="shared" si="1"/>
        <v>6.2267206477732806</v>
      </c>
      <c r="P51" s="109">
        <v>6.2267206477732806</v>
      </c>
    </row>
    <row r="52" spans="1:16" x14ac:dyDescent="0.15">
      <c r="A52" s="38">
        <f t="shared" si="0"/>
        <v>1698</v>
      </c>
      <c r="B52" s="109">
        <v>0.4</v>
      </c>
      <c r="C52" s="109"/>
      <c r="D52" s="109"/>
      <c r="E52" s="109"/>
      <c r="F52" s="109"/>
      <c r="G52" s="109"/>
      <c r="H52" s="109"/>
      <c r="I52" s="109"/>
      <c r="K52" s="109">
        <f t="shared" si="2"/>
        <v>0.4</v>
      </c>
      <c r="L52" s="109"/>
      <c r="M52" s="109"/>
      <c r="N52" s="31">
        <f t="shared" si="10"/>
        <v>3.0760000000000005</v>
      </c>
      <c r="O52" s="109">
        <f t="shared" si="1"/>
        <v>6.2267206477732806</v>
      </c>
      <c r="P52" s="109">
        <v>6.2267206477732806</v>
      </c>
    </row>
    <row r="53" spans="1:16" x14ac:dyDescent="0.15">
      <c r="A53" s="38">
        <f>A54-1</f>
        <v>1699</v>
      </c>
      <c r="B53" s="109"/>
      <c r="C53" s="109"/>
      <c r="D53" s="109"/>
      <c r="E53" s="109"/>
      <c r="F53" s="109"/>
      <c r="G53" s="109"/>
      <c r="H53" s="109"/>
      <c r="I53" s="109"/>
      <c r="K53" s="109"/>
      <c r="L53" s="109"/>
      <c r="M53" s="109"/>
      <c r="N53" s="31"/>
      <c r="O53" s="109"/>
      <c r="P53" s="55">
        <f>P52+($P$56-$P$52)/4</f>
        <v>5.2654292294258997</v>
      </c>
    </row>
    <row r="54" spans="1:16" x14ac:dyDescent="0.15">
      <c r="A54" s="38">
        <v>1700</v>
      </c>
      <c r="B54" s="109"/>
      <c r="C54" s="109"/>
      <c r="D54" s="109"/>
      <c r="E54" s="109"/>
      <c r="F54" s="109"/>
      <c r="G54" s="109"/>
      <c r="H54" s="109"/>
      <c r="I54" s="109"/>
      <c r="K54" s="109"/>
      <c r="L54" s="109"/>
      <c r="M54" s="109"/>
      <c r="N54" s="31"/>
      <c r="O54" s="109"/>
      <c r="P54" s="55">
        <f>P53+($P$56-$P$52)/4</f>
        <v>4.3041378110785189</v>
      </c>
    </row>
    <row r="55" spans="1:16" x14ac:dyDescent="0.15">
      <c r="A55" s="38">
        <v>1701</v>
      </c>
      <c r="B55" s="109"/>
      <c r="C55" s="109"/>
      <c r="D55" s="109"/>
      <c r="E55" s="109"/>
      <c r="F55" s="109"/>
      <c r="G55" s="109"/>
      <c r="H55" s="109"/>
      <c r="I55" s="109"/>
      <c r="K55" s="109"/>
      <c r="L55" s="109"/>
      <c r="M55" s="109"/>
      <c r="N55" s="31"/>
      <c r="O55" s="109"/>
      <c r="P55" s="55">
        <f>P54+($P$56-$P$52)/4</f>
        <v>3.342846392731138</v>
      </c>
    </row>
    <row r="56" spans="1:16" x14ac:dyDescent="0.15">
      <c r="A56" s="38">
        <v>1702</v>
      </c>
      <c r="B56" s="109">
        <v>0.14972871452420702</v>
      </c>
      <c r="C56" s="109">
        <v>0.15625</v>
      </c>
      <c r="D56" s="109"/>
      <c r="E56" s="109"/>
      <c r="F56" s="109"/>
      <c r="G56" s="109"/>
      <c r="H56" s="109"/>
      <c r="I56" s="109"/>
      <c r="K56" s="109">
        <f t="shared" si="2"/>
        <v>0.1529893572621035</v>
      </c>
      <c r="L56" s="109"/>
      <c r="M56" s="109"/>
      <c r="N56" s="31">
        <f t="shared" ref="N56:N83" si="11">K56*7.69</f>
        <v>1.1764881573455759</v>
      </c>
      <c r="O56" s="109">
        <f t="shared" si="1"/>
        <v>2.3815549743837567</v>
      </c>
      <c r="P56" s="109">
        <v>2.3815549743837567</v>
      </c>
    </row>
    <row r="57" spans="1:16" x14ac:dyDescent="0.15">
      <c r="A57" s="38">
        <v>1703</v>
      </c>
      <c r="B57" s="109">
        <v>0.13695704633204633</v>
      </c>
      <c r="C57" s="109"/>
      <c r="D57" s="109"/>
      <c r="E57" s="109"/>
      <c r="F57" s="109"/>
      <c r="G57" s="109"/>
      <c r="H57" s="109"/>
      <c r="I57" s="109"/>
      <c r="K57" s="109">
        <f t="shared" si="2"/>
        <v>0.13695704633204633</v>
      </c>
      <c r="L57" s="109"/>
      <c r="M57" s="109"/>
      <c r="N57" s="31">
        <f t="shared" si="11"/>
        <v>1.0531996862934363</v>
      </c>
      <c r="O57" s="109">
        <f t="shared" si="1"/>
        <v>2.1319831706344865</v>
      </c>
      <c r="P57" s="109">
        <v>2.1319831706344865</v>
      </c>
    </row>
    <row r="58" spans="1:16" x14ac:dyDescent="0.15">
      <c r="A58" s="38">
        <v>1704</v>
      </c>
      <c r="B58" s="109">
        <v>0.15625</v>
      </c>
      <c r="C58" s="109">
        <v>0.15625</v>
      </c>
      <c r="D58" s="109"/>
      <c r="E58" s="109"/>
      <c r="F58" s="109"/>
      <c r="G58" s="109"/>
      <c r="H58" s="109"/>
      <c r="I58" s="109"/>
      <c r="K58" s="109">
        <f t="shared" si="2"/>
        <v>0.15625</v>
      </c>
      <c r="L58" s="109"/>
      <c r="M58" s="109"/>
      <c r="N58" s="31">
        <f t="shared" si="11"/>
        <v>1.2015625000000001</v>
      </c>
      <c r="O58" s="109">
        <f t="shared" si="1"/>
        <v>2.4323127530364372</v>
      </c>
      <c r="P58" s="109">
        <v>2.4323127530364372</v>
      </c>
    </row>
    <row r="59" spans="1:16" x14ac:dyDescent="0.15">
      <c r="A59" s="38">
        <v>1705</v>
      </c>
      <c r="B59" s="109">
        <v>0.15625</v>
      </c>
      <c r="C59" s="109">
        <v>0.15625</v>
      </c>
      <c r="D59" s="109"/>
      <c r="E59" s="109"/>
      <c r="F59" s="109"/>
      <c r="G59" s="109"/>
      <c r="H59" s="109"/>
      <c r="I59" s="109"/>
      <c r="K59" s="109">
        <f t="shared" si="2"/>
        <v>0.15625</v>
      </c>
      <c r="L59" s="109"/>
      <c r="M59" s="109"/>
      <c r="N59" s="31">
        <f t="shared" si="11"/>
        <v>1.2015625000000001</v>
      </c>
      <c r="O59" s="109">
        <f t="shared" si="1"/>
        <v>2.4323127530364372</v>
      </c>
      <c r="P59" s="109">
        <v>2.4323127530364372</v>
      </c>
    </row>
    <row r="60" spans="1:16" x14ac:dyDescent="0.15">
      <c r="A60" s="38">
        <v>1706</v>
      </c>
      <c r="B60" s="109"/>
      <c r="C60" s="109">
        <v>0.10938151494093121</v>
      </c>
      <c r="D60" s="109"/>
      <c r="E60" s="109"/>
      <c r="F60" s="109"/>
      <c r="G60" s="109"/>
      <c r="H60" s="109"/>
      <c r="I60" s="109"/>
      <c r="K60" s="109">
        <f t="shared" si="2"/>
        <v>0.10938151494093121</v>
      </c>
      <c r="L60" s="109"/>
      <c r="M60" s="109"/>
      <c r="N60" s="31">
        <f t="shared" si="11"/>
        <v>0.84114384989576108</v>
      </c>
      <c r="O60" s="109">
        <f t="shared" si="1"/>
        <v>1.7027203439185448</v>
      </c>
      <c r="P60" s="109">
        <v>1.7027203439185448</v>
      </c>
    </row>
    <row r="61" spans="1:16" x14ac:dyDescent="0.15">
      <c r="A61" s="38">
        <v>1707</v>
      </c>
      <c r="B61" s="109"/>
      <c r="C61" s="109">
        <v>0.10936758893280632</v>
      </c>
      <c r="D61" s="109"/>
      <c r="E61" s="109"/>
      <c r="F61" s="109"/>
      <c r="G61" s="109"/>
      <c r="H61" s="109"/>
      <c r="I61" s="109"/>
      <c r="K61" s="109">
        <f t="shared" si="2"/>
        <v>0.10936758893280632</v>
      </c>
      <c r="L61" s="109"/>
      <c r="M61" s="109"/>
      <c r="N61" s="31">
        <f t="shared" si="11"/>
        <v>0.84103675889328067</v>
      </c>
      <c r="O61" s="109">
        <f t="shared" si="1"/>
        <v>1.7025035605127139</v>
      </c>
      <c r="P61" s="109">
        <v>1.7025035605127139</v>
      </c>
    </row>
    <row r="62" spans="1:16" x14ac:dyDescent="0.15">
      <c r="A62" s="38">
        <v>1708</v>
      </c>
      <c r="B62" s="109"/>
      <c r="C62" s="109">
        <v>0.10156641604010025</v>
      </c>
      <c r="D62" s="109"/>
      <c r="E62" s="109"/>
      <c r="F62" s="109"/>
      <c r="G62" s="109"/>
      <c r="H62" s="109"/>
      <c r="I62" s="109"/>
      <c r="K62" s="109">
        <f t="shared" si="2"/>
        <v>0.10156641604010025</v>
      </c>
      <c r="L62" s="109"/>
      <c r="M62" s="109"/>
      <c r="N62" s="31">
        <f t="shared" si="11"/>
        <v>0.78104573934837096</v>
      </c>
      <c r="O62" s="109">
        <f t="shared" si="1"/>
        <v>1.5810642496930587</v>
      </c>
      <c r="P62" s="109">
        <v>1.5810642496930587</v>
      </c>
    </row>
    <row r="63" spans="1:16" x14ac:dyDescent="0.15">
      <c r="A63" s="38">
        <v>1709</v>
      </c>
      <c r="B63" s="109"/>
      <c r="C63" s="109">
        <v>0.10156065959952885</v>
      </c>
      <c r="D63" s="109"/>
      <c r="E63" s="109"/>
      <c r="F63" s="109"/>
      <c r="G63" s="109"/>
      <c r="H63" s="109"/>
      <c r="I63" s="109"/>
      <c r="K63" s="109">
        <f t="shared" si="2"/>
        <v>0.10156065959952885</v>
      </c>
      <c r="L63" s="109"/>
      <c r="M63" s="109"/>
      <c r="N63" s="31">
        <f t="shared" si="11"/>
        <v>0.78100147232037698</v>
      </c>
      <c r="O63" s="109">
        <f t="shared" si="1"/>
        <v>1.5809746403246498</v>
      </c>
      <c r="P63" s="109">
        <v>1.5809746403246498</v>
      </c>
    </row>
    <row r="64" spans="1:16" x14ac:dyDescent="0.15">
      <c r="A64" s="38">
        <v>1710</v>
      </c>
      <c r="B64" s="109">
        <v>0.1015625</v>
      </c>
      <c r="C64" s="109">
        <v>0.10154382470119522</v>
      </c>
      <c r="D64" s="109"/>
      <c r="E64" s="109"/>
      <c r="F64" s="109"/>
      <c r="G64" s="109"/>
      <c r="H64" s="109"/>
      <c r="I64" s="109"/>
      <c r="K64" s="109">
        <f t="shared" si="2"/>
        <v>0.10155316235059761</v>
      </c>
      <c r="L64" s="109"/>
      <c r="M64" s="109"/>
      <c r="N64" s="31">
        <f t="shared" si="11"/>
        <v>0.78094381847609562</v>
      </c>
      <c r="O64" s="109">
        <f t="shared" si="1"/>
        <v>1.5808579321378453</v>
      </c>
      <c r="P64" s="109">
        <v>1.5808579321378453</v>
      </c>
    </row>
    <row r="65" spans="1:16" x14ac:dyDescent="0.15">
      <c r="A65" s="38">
        <v>1711</v>
      </c>
      <c r="B65" s="109"/>
      <c r="C65" s="109">
        <v>0.10156032078103207</v>
      </c>
      <c r="D65" s="109"/>
      <c r="E65" s="109"/>
      <c r="F65" s="109"/>
      <c r="G65" s="109"/>
      <c r="H65" s="109"/>
      <c r="I65" s="109"/>
      <c r="K65" s="109">
        <f t="shared" si="2"/>
        <v>0.10156032078103207</v>
      </c>
      <c r="L65" s="109"/>
      <c r="M65" s="109"/>
      <c r="N65" s="31">
        <f t="shared" si="11"/>
        <v>0.78099886680613662</v>
      </c>
      <c r="O65" s="109">
        <f t="shared" si="1"/>
        <v>1.5809693660043251</v>
      </c>
      <c r="P65" s="109">
        <v>1.5809693660043251</v>
      </c>
    </row>
    <row r="66" spans="1:16" x14ac:dyDescent="0.15">
      <c r="A66" s="38">
        <v>1712</v>
      </c>
      <c r="B66" s="109"/>
      <c r="C66" s="109">
        <v>0.10140056022408964</v>
      </c>
      <c r="D66" s="109"/>
      <c r="E66" s="109"/>
      <c r="F66" s="109"/>
      <c r="G66" s="109"/>
      <c r="H66" s="109"/>
      <c r="I66" s="109"/>
      <c r="K66" s="109">
        <f t="shared" si="2"/>
        <v>0.10140056022408964</v>
      </c>
      <c r="L66" s="109"/>
      <c r="M66" s="109"/>
      <c r="N66" s="31">
        <f t="shared" si="11"/>
        <v>0.77977030812324932</v>
      </c>
      <c r="O66" s="109">
        <f t="shared" si="1"/>
        <v>1.5784824051077921</v>
      </c>
      <c r="P66" s="109">
        <v>1.5784824051077921</v>
      </c>
    </row>
    <row r="67" spans="1:16" x14ac:dyDescent="0.15">
      <c r="A67" s="38">
        <v>1713</v>
      </c>
      <c r="B67" s="109">
        <v>7.7785326086956527E-2</v>
      </c>
      <c r="C67" s="109">
        <v>0.10156277436347673</v>
      </c>
      <c r="D67" s="109"/>
      <c r="E67" s="109"/>
      <c r="F67" s="109"/>
      <c r="G67" s="109"/>
      <c r="H67" s="109"/>
      <c r="I67" s="109"/>
      <c r="K67" s="109">
        <f t="shared" si="2"/>
        <v>8.9674050225216628E-2</v>
      </c>
      <c r="L67" s="109"/>
      <c r="M67" s="109"/>
      <c r="N67" s="31">
        <f t="shared" si="11"/>
        <v>0.68959344623191587</v>
      </c>
      <c r="O67" s="109">
        <f t="shared" si="1"/>
        <v>1.3959381502670363</v>
      </c>
      <c r="P67" s="109">
        <v>1.3959381502670363</v>
      </c>
    </row>
    <row r="68" spans="1:16" x14ac:dyDescent="0.15">
      <c r="A68" s="38">
        <v>1714</v>
      </c>
      <c r="B68" s="109"/>
      <c r="C68" s="109">
        <v>0.10195071868583162</v>
      </c>
      <c r="D68" s="109"/>
      <c r="E68" s="109"/>
      <c r="F68" s="109"/>
      <c r="G68" s="109"/>
      <c r="H68" s="109"/>
      <c r="I68" s="109"/>
      <c r="K68" s="109">
        <f t="shared" si="2"/>
        <v>0.10195071868583162</v>
      </c>
      <c r="L68" s="109"/>
      <c r="M68" s="109"/>
      <c r="N68" s="31">
        <f t="shared" si="11"/>
        <v>0.78400102669404526</v>
      </c>
      <c r="O68" s="109">
        <f t="shared" si="1"/>
        <v>1.5870466127409824</v>
      </c>
      <c r="P68" s="109">
        <v>1.5870466127409824</v>
      </c>
    </row>
    <row r="69" spans="1:16" x14ac:dyDescent="0.15">
      <c r="A69" s="38">
        <v>1715</v>
      </c>
      <c r="B69" s="109"/>
      <c r="C69" s="109">
        <v>0.10155920775389803</v>
      </c>
      <c r="D69" s="109"/>
      <c r="E69" s="109"/>
      <c r="F69" s="109"/>
      <c r="G69" s="109"/>
      <c r="H69" s="109"/>
      <c r="I69" s="109"/>
      <c r="K69" s="109">
        <f t="shared" si="2"/>
        <v>0.10155920775389803</v>
      </c>
      <c r="L69" s="109"/>
      <c r="M69" s="109"/>
      <c r="N69" s="31">
        <f t="shared" si="11"/>
        <v>0.7809903076274759</v>
      </c>
      <c r="O69" s="109">
        <f t="shared" si="1"/>
        <v>1.5809520397317327</v>
      </c>
      <c r="P69" s="109">
        <v>1.5809520397317327</v>
      </c>
    </row>
    <row r="70" spans="1:16" x14ac:dyDescent="0.15">
      <c r="A70" s="38">
        <v>1716</v>
      </c>
      <c r="B70" s="109">
        <v>0.35625000000000001</v>
      </c>
      <c r="C70" s="109">
        <v>0.125</v>
      </c>
      <c r="D70" s="109"/>
      <c r="E70" s="109"/>
      <c r="F70" s="109"/>
      <c r="G70" s="109"/>
      <c r="H70" s="109"/>
      <c r="I70" s="109"/>
      <c r="K70" s="109">
        <f t="shared" si="2"/>
        <v>0.24062500000000001</v>
      </c>
      <c r="L70" s="109"/>
      <c r="M70" s="109"/>
      <c r="N70" s="31">
        <f t="shared" si="11"/>
        <v>1.85040625</v>
      </c>
      <c r="O70" s="109">
        <f t="shared" si="1"/>
        <v>3.7457616396761133</v>
      </c>
      <c r="P70" s="109">
        <v>3.7457616396761133</v>
      </c>
    </row>
    <row r="71" spans="1:16" x14ac:dyDescent="0.15">
      <c r="A71" s="38">
        <v>1717</v>
      </c>
      <c r="B71" s="109"/>
      <c r="C71" s="109">
        <v>0.125</v>
      </c>
      <c r="D71" s="109"/>
      <c r="E71" s="109"/>
      <c r="F71" s="109"/>
      <c r="G71" s="109"/>
      <c r="H71" s="109"/>
      <c r="I71" s="109"/>
      <c r="K71" s="109">
        <f t="shared" si="2"/>
        <v>0.125</v>
      </c>
      <c r="L71" s="109"/>
      <c r="M71" s="109"/>
      <c r="N71" s="31">
        <f t="shared" si="11"/>
        <v>0.96125000000000005</v>
      </c>
      <c r="O71" s="109">
        <f t="shared" si="1"/>
        <v>1.94585020242915</v>
      </c>
      <c r="P71" s="109">
        <v>1.94585020242915</v>
      </c>
    </row>
    <row r="72" spans="1:16" x14ac:dyDescent="0.15">
      <c r="A72" s="38">
        <v>1718</v>
      </c>
      <c r="B72" s="109">
        <v>0.10407599598259124</v>
      </c>
      <c r="C72" s="109">
        <v>0.125</v>
      </c>
      <c r="D72" s="109"/>
      <c r="E72" s="109"/>
      <c r="F72" s="109"/>
      <c r="G72" s="109"/>
      <c r="H72" s="109"/>
      <c r="I72" s="109"/>
      <c r="K72" s="109">
        <f t="shared" si="2"/>
        <v>0.11453799799129562</v>
      </c>
      <c r="L72" s="109"/>
      <c r="M72" s="109"/>
      <c r="N72" s="31">
        <f t="shared" si="11"/>
        <v>0.88079720455306332</v>
      </c>
      <c r="O72" s="109">
        <f t="shared" si="1"/>
        <v>1.7829902926175372</v>
      </c>
      <c r="P72" s="109">
        <v>1.7829902926175372</v>
      </c>
    </row>
    <row r="73" spans="1:16" x14ac:dyDescent="0.15">
      <c r="A73" s="38">
        <v>1719</v>
      </c>
      <c r="B73" s="109"/>
      <c r="C73" s="109">
        <v>0.1875</v>
      </c>
      <c r="D73" s="109"/>
      <c r="E73" s="109"/>
      <c r="F73" s="109"/>
      <c r="G73" s="109"/>
      <c r="H73" s="109"/>
      <c r="I73" s="109"/>
      <c r="K73" s="109">
        <f t="shared" si="2"/>
        <v>0.1875</v>
      </c>
      <c r="L73" s="109"/>
      <c r="M73" s="109"/>
      <c r="N73" s="31">
        <f t="shared" si="11"/>
        <v>1.441875</v>
      </c>
      <c r="O73" s="109">
        <f t="shared" si="1"/>
        <v>2.9187753036437249</v>
      </c>
      <c r="P73" s="109">
        <v>2.9187753036437249</v>
      </c>
    </row>
    <row r="74" spans="1:16" x14ac:dyDescent="0.15">
      <c r="A74" s="38">
        <v>1720</v>
      </c>
      <c r="B74" s="109"/>
      <c r="C74" s="109">
        <v>0.18747959183673468</v>
      </c>
      <c r="D74" s="109"/>
      <c r="E74" s="109"/>
      <c r="F74" s="109"/>
      <c r="G74" s="109"/>
      <c r="H74" s="109"/>
      <c r="I74" s="109"/>
      <c r="K74" s="109">
        <f t="shared" si="2"/>
        <v>0.18747959183673468</v>
      </c>
      <c r="L74" s="109"/>
      <c r="M74" s="109"/>
      <c r="N74" s="31">
        <f t="shared" si="11"/>
        <v>1.4417180612244898</v>
      </c>
      <c r="O74" s="109">
        <f t="shared" ref="O74:O135" si="12">N74/0.494</f>
        <v>2.9184576138147564</v>
      </c>
      <c r="P74" s="109">
        <v>2.9184576138147564</v>
      </c>
    </row>
    <row r="75" spans="1:16" x14ac:dyDescent="0.15">
      <c r="A75" s="38">
        <v>1721</v>
      </c>
      <c r="B75" s="109"/>
      <c r="C75" s="109">
        <v>0.1875</v>
      </c>
      <c r="D75" s="109"/>
      <c r="E75" s="109"/>
      <c r="F75" s="109"/>
      <c r="G75" s="109"/>
      <c r="H75" s="109"/>
      <c r="I75" s="109"/>
      <c r="K75" s="109">
        <f t="shared" ref="K75:K137" si="13">AVERAGE(B75:C75,E75)</f>
        <v>0.1875</v>
      </c>
      <c r="L75" s="109"/>
      <c r="M75" s="109"/>
      <c r="N75" s="31">
        <f t="shared" si="11"/>
        <v>1.441875</v>
      </c>
      <c r="O75" s="109">
        <f t="shared" si="12"/>
        <v>2.9187753036437249</v>
      </c>
      <c r="P75" s="109">
        <v>2.9187753036437249</v>
      </c>
    </row>
    <row r="76" spans="1:16" x14ac:dyDescent="0.15">
      <c r="A76" s="38">
        <v>1722</v>
      </c>
      <c r="B76" s="109"/>
      <c r="C76" s="109">
        <v>0.1875</v>
      </c>
      <c r="D76" s="109"/>
      <c r="E76" s="109"/>
      <c r="F76" s="109"/>
      <c r="G76" s="109"/>
      <c r="H76" s="109"/>
      <c r="I76" s="109"/>
      <c r="K76" s="109">
        <f t="shared" si="13"/>
        <v>0.1875</v>
      </c>
      <c r="L76" s="109"/>
      <c r="M76" s="109"/>
      <c r="N76" s="31">
        <f t="shared" si="11"/>
        <v>1.441875</v>
      </c>
      <c r="O76" s="109">
        <f t="shared" si="12"/>
        <v>2.9187753036437249</v>
      </c>
      <c r="P76" s="109">
        <v>2.9187753036437249</v>
      </c>
    </row>
    <row r="77" spans="1:16" x14ac:dyDescent="0.15">
      <c r="A77" s="38">
        <v>1723</v>
      </c>
      <c r="B77" s="109"/>
      <c r="C77" s="109">
        <v>0.17182835820895523</v>
      </c>
      <c r="D77" s="109"/>
      <c r="E77" s="109"/>
      <c r="F77" s="109"/>
      <c r="G77" s="109"/>
      <c r="H77" s="109"/>
      <c r="I77" s="109"/>
      <c r="K77" s="109">
        <f t="shared" si="13"/>
        <v>0.17182835820895523</v>
      </c>
      <c r="L77" s="109"/>
      <c r="M77" s="109"/>
      <c r="N77" s="31">
        <f t="shared" si="11"/>
        <v>1.3213600746268657</v>
      </c>
      <c r="O77" s="109">
        <f t="shared" si="12"/>
        <v>2.6748179648317119</v>
      </c>
      <c r="P77" s="109">
        <v>2.6748179648317119</v>
      </c>
    </row>
    <row r="78" spans="1:16" x14ac:dyDescent="0.15">
      <c r="A78" s="38">
        <v>1724</v>
      </c>
      <c r="B78" s="109"/>
      <c r="C78" s="109">
        <v>0.17187074829931973</v>
      </c>
      <c r="D78" s="109"/>
      <c r="E78" s="109"/>
      <c r="F78" s="109"/>
      <c r="G78" s="109"/>
      <c r="H78" s="109"/>
      <c r="I78" s="109"/>
      <c r="K78" s="109">
        <f t="shared" si="13"/>
        <v>0.17187074829931973</v>
      </c>
      <c r="L78" s="109"/>
      <c r="M78" s="109"/>
      <c r="N78" s="31">
        <f t="shared" si="11"/>
        <v>1.3216860544217688</v>
      </c>
      <c r="O78" s="109">
        <f t="shared" si="12"/>
        <v>2.675477842959046</v>
      </c>
      <c r="P78" s="109">
        <v>2.675477842959046</v>
      </c>
    </row>
    <row r="79" spans="1:16" x14ac:dyDescent="0.15">
      <c r="A79" s="38">
        <v>1725</v>
      </c>
      <c r="B79" s="109"/>
      <c r="C79" s="109">
        <v>0.125</v>
      </c>
      <c r="D79" s="109"/>
      <c r="E79" s="109"/>
      <c r="F79" s="109"/>
      <c r="G79" s="109"/>
      <c r="H79" s="109"/>
      <c r="I79" s="109"/>
      <c r="K79" s="109">
        <f t="shared" si="13"/>
        <v>0.125</v>
      </c>
      <c r="L79" s="109"/>
      <c r="M79" s="109"/>
      <c r="N79" s="31">
        <f t="shared" si="11"/>
        <v>0.96125000000000005</v>
      </c>
      <c r="O79" s="109">
        <f t="shared" si="12"/>
        <v>1.94585020242915</v>
      </c>
      <c r="P79" s="109">
        <v>1.94585020242915</v>
      </c>
    </row>
    <row r="80" spans="1:16" x14ac:dyDescent="0.15">
      <c r="A80" s="38">
        <v>1726</v>
      </c>
      <c r="B80" s="109">
        <v>0.125</v>
      </c>
      <c r="C80" s="109"/>
      <c r="D80" s="109"/>
      <c r="E80" s="109"/>
      <c r="F80" s="109"/>
      <c r="G80" s="109"/>
      <c r="H80" s="109"/>
      <c r="I80" s="109"/>
      <c r="K80" s="109">
        <f t="shared" si="13"/>
        <v>0.125</v>
      </c>
      <c r="L80" s="109"/>
      <c r="M80" s="109"/>
      <c r="N80" s="31">
        <f t="shared" si="11"/>
        <v>0.96125000000000005</v>
      </c>
      <c r="O80" s="109">
        <f t="shared" si="12"/>
        <v>1.94585020242915</v>
      </c>
      <c r="P80" s="109">
        <v>1.94585020242915</v>
      </c>
    </row>
    <row r="81" spans="1:16" x14ac:dyDescent="0.15">
      <c r="A81" s="38">
        <v>1727</v>
      </c>
      <c r="B81" s="109"/>
      <c r="C81" s="109">
        <v>0.125</v>
      </c>
      <c r="D81" s="109"/>
      <c r="E81" s="109"/>
      <c r="F81" s="109"/>
      <c r="G81" s="109"/>
      <c r="H81" s="109"/>
      <c r="I81" s="109"/>
      <c r="K81" s="109">
        <f t="shared" si="13"/>
        <v>0.125</v>
      </c>
      <c r="L81" s="109"/>
      <c r="M81" s="109"/>
      <c r="N81" s="31">
        <f t="shared" si="11"/>
        <v>0.96125000000000005</v>
      </c>
      <c r="O81" s="109">
        <f t="shared" si="12"/>
        <v>1.94585020242915</v>
      </c>
      <c r="P81" s="109">
        <v>1.94585020242915</v>
      </c>
    </row>
    <row r="82" spans="1:16" x14ac:dyDescent="0.15">
      <c r="A82" s="38">
        <v>1728</v>
      </c>
      <c r="B82" s="109"/>
      <c r="C82" s="109">
        <v>9.3089832181638688E-2</v>
      </c>
      <c r="D82" s="109"/>
      <c r="E82" s="109"/>
      <c r="F82" s="109"/>
      <c r="G82" s="109"/>
      <c r="H82" s="109"/>
      <c r="I82" s="109"/>
      <c r="K82" s="109">
        <f t="shared" si="13"/>
        <v>9.3089832181638688E-2</v>
      </c>
      <c r="L82" s="109"/>
      <c r="M82" s="109"/>
      <c r="N82" s="31">
        <f t="shared" si="11"/>
        <v>0.71586080947680153</v>
      </c>
      <c r="O82" s="109">
        <f t="shared" si="12"/>
        <v>1.4491109503578978</v>
      </c>
      <c r="P82" s="109">
        <v>1.4491109503578978</v>
      </c>
    </row>
    <row r="83" spans="1:16" x14ac:dyDescent="0.15">
      <c r="A83" s="38">
        <v>1729</v>
      </c>
      <c r="B83" s="109"/>
      <c r="C83" s="109">
        <v>9.375E-2</v>
      </c>
      <c r="D83" s="109"/>
      <c r="E83" s="109"/>
      <c r="F83" s="109"/>
      <c r="G83" s="109"/>
      <c r="H83" s="109"/>
      <c r="I83" s="109"/>
      <c r="K83" s="109">
        <f t="shared" si="13"/>
        <v>9.375E-2</v>
      </c>
      <c r="L83" s="109"/>
      <c r="M83" s="109"/>
      <c r="N83" s="31">
        <f t="shared" si="11"/>
        <v>0.72093750000000001</v>
      </c>
      <c r="O83" s="109">
        <f t="shared" si="12"/>
        <v>1.4593876518218625</v>
      </c>
      <c r="P83" s="109">
        <v>1.4593876518218625</v>
      </c>
    </row>
    <row r="84" spans="1:16" x14ac:dyDescent="0.15">
      <c r="A84" s="38">
        <v>1730</v>
      </c>
      <c r="B84" s="109"/>
      <c r="C84" s="109"/>
      <c r="D84" s="109"/>
      <c r="E84" s="109"/>
      <c r="F84" s="109"/>
      <c r="G84" s="109"/>
      <c r="H84" s="109"/>
      <c r="I84" s="109"/>
      <c r="K84" s="109"/>
      <c r="L84" s="109"/>
      <c r="M84" s="109"/>
      <c r="N84" s="31"/>
      <c r="O84" s="109"/>
      <c r="P84" s="55">
        <f>P83+($P$85-$P$83)/2</f>
        <v>1.3985798329959516</v>
      </c>
    </row>
    <row r="85" spans="1:16" x14ac:dyDescent="0.15">
      <c r="A85" s="38">
        <v>1731</v>
      </c>
      <c r="B85" s="109"/>
      <c r="C85" s="109">
        <v>8.59375E-2</v>
      </c>
      <c r="D85" s="109"/>
      <c r="E85" s="109"/>
      <c r="F85" s="109"/>
      <c r="G85" s="109"/>
      <c r="H85" s="109"/>
      <c r="I85" s="109"/>
      <c r="K85" s="109">
        <f t="shared" si="13"/>
        <v>8.59375E-2</v>
      </c>
      <c r="L85" s="109"/>
      <c r="M85" s="109"/>
      <c r="N85" s="31">
        <f t="shared" ref="N85:N96" si="14">K85*7.69</f>
        <v>0.66085937500000003</v>
      </c>
      <c r="O85" s="109">
        <f t="shared" si="12"/>
        <v>1.3377720141700407</v>
      </c>
      <c r="P85" s="109">
        <v>1.3377720141700407</v>
      </c>
    </row>
    <row r="86" spans="1:16" x14ac:dyDescent="0.15">
      <c r="A86" s="38">
        <v>1732</v>
      </c>
      <c r="B86" s="109"/>
      <c r="C86" s="109">
        <v>8.5882519863791154E-2</v>
      </c>
      <c r="D86" s="109"/>
      <c r="E86" s="109"/>
      <c r="F86" s="109"/>
      <c r="G86" s="109"/>
      <c r="H86" s="109"/>
      <c r="I86" s="109"/>
      <c r="K86" s="109">
        <f t="shared" si="13"/>
        <v>8.5882519863791154E-2</v>
      </c>
      <c r="L86" s="109"/>
      <c r="M86" s="109"/>
      <c r="N86" s="31">
        <f t="shared" si="14"/>
        <v>0.66043657775255404</v>
      </c>
      <c r="O86" s="109">
        <f t="shared" si="12"/>
        <v>1.3369161492966681</v>
      </c>
      <c r="P86" s="109">
        <v>1.3369161492966681</v>
      </c>
    </row>
    <row r="87" spans="1:16" x14ac:dyDescent="0.15">
      <c r="A87" s="38">
        <v>1733</v>
      </c>
      <c r="B87" s="109"/>
      <c r="C87" s="109">
        <v>8.59375E-2</v>
      </c>
      <c r="D87" s="109"/>
      <c r="E87" s="109"/>
      <c r="F87" s="109"/>
      <c r="G87" s="109"/>
      <c r="H87" s="109"/>
      <c r="I87" s="109"/>
      <c r="K87" s="109">
        <f t="shared" si="13"/>
        <v>8.59375E-2</v>
      </c>
      <c r="L87" s="109"/>
      <c r="M87" s="109"/>
      <c r="N87" s="31">
        <f t="shared" si="14"/>
        <v>0.66085937500000003</v>
      </c>
      <c r="O87" s="109">
        <f t="shared" si="12"/>
        <v>1.3377720141700407</v>
      </c>
      <c r="P87" s="109">
        <v>1.3377720141700407</v>
      </c>
    </row>
    <row r="88" spans="1:16" x14ac:dyDescent="0.15">
      <c r="A88" s="38">
        <v>1734</v>
      </c>
      <c r="B88" s="109"/>
      <c r="C88" s="109">
        <v>8.5935544430538177E-2</v>
      </c>
      <c r="D88" s="109"/>
      <c r="E88" s="109"/>
      <c r="F88" s="109"/>
      <c r="G88" s="109"/>
      <c r="H88" s="109"/>
      <c r="I88" s="109"/>
      <c r="K88" s="109">
        <f t="shared" si="13"/>
        <v>8.5935544430538177E-2</v>
      </c>
      <c r="L88" s="109"/>
      <c r="M88" s="109"/>
      <c r="N88" s="31">
        <f t="shared" si="14"/>
        <v>0.66084433667083864</v>
      </c>
      <c r="O88" s="109">
        <f t="shared" si="12"/>
        <v>1.3377415722081754</v>
      </c>
      <c r="P88" s="109">
        <v>1.3377415722081754</v>
      </c>
    </row>
    <row r="89" spans="1:16" x14ac:dyDescent="0.15">
      <c r="A89" s="38">
        <v>1735</v>
      </c>
      <c r="B89" s="109"/>
      <c r="C89" s="109">
        <v>8.5932721712538226E-2</v>
      </c>
      <c r="D89" s="109"/>
      <c r="E89" s="109"/>
      <c r="F89" s="109"/>
      <c r="G89" s="109"/>
      <c r="H89" s="109"/>
      <c r="I89" s="109"/>
      <c r="K89" s="109">
        <f t="shared" si="13"/>
        <v>8.5932721712538226E-2</v>
      </c>
      <c r="L89" s="109"/>
      <c r="M89" s="109"/>
      <c r="N89" s="31">
        <f t="shared" si="14"/>
        <v>0.66082262996941898</v>
      </c>
      <c r="O89" s="109">
        <f t="shared" si="12"/>
        <v>1.3376976315170426</v>
      </c>
      <c r="P89" s="109">
        <v>1.3376976315170426</v>
      </c>
    </row>
    <row r="90" spans="1:16" x14ac:dyDescent="0.15">
      <c r="A90" s="38">
        <v>1736</v>
      </c>
      <c r="B90" s="109"/>
      <c r="C90" s="109">
        <v>8.5939241917502796E-2</v>
      </c>
      <c r="D90" s="109"/>
      <c r="E90" s="109"/>
      <c r="F90" s="109"/>
      <c r="G90" s="109"/>
      <c r="H90" s="109"/>
      <c r="I90" s="109"/>
      <c r="K90" s="109">
        <f t="shared" si="13"/>
        <v>8.5939241917502796E-2</v>
      </c>
      <c r="L90" s="109"/>
      <c r="M90" s="109"/>
      <c r="N90" s="31">
        <f t="shared" si="14"/>
        <v>0.66087277034559655</v>
      </c>
      <c r="O90" s="109">
        <f t="shared" si="12"/>
        <v>1.337799130254244</v>
      </c>
      <c r="P90" s="109">
        <v>1.337799130254244</v>
      </c>
    </row>
    <row r="91" spans="1:16" x14ac:dyDescent="0.15">
      <c r="A91" s="38">
        <v>1737</v>
      </c>
      <c r="B91" s="109"/>
      <c r="C91" s="109">
        <v>8.6316287878787881E-2</v>
      </c>
      <c r="D91" s="109"/>
      <c r="E91" s="109"/>
      <c r="F91" s="109"/>
      <c r="G91" s="109"/>
      <c r="H91" s="109"/>
      <c r="I91" s="109"/>
      <c r="K91" s="109">
        <f t="shared" si="13"/>
        <v>8.6316287878787881E-2</v>
      </c>
      <c r="L91" s="109"/>
      <c r="M91" s="109"/>
      <c r="N91" s="31">
        <f t="shared" si="14"/>
        <v>0.66377225378787885</v>
      </c>
      <c r="O91" s="109">
        <f t="shared" si="12"/>
        <v>1.3436685299349775</v>
      </c>
      <c r="P91" s="109">
        <v>1.3436685299349775</v>
      </c>
    </row>
    <row r="92" spans="1:16" x14ac:dyDescent="0.15">
      <c r="A92" s="38">
        <v>1738</v>
      </c>
      <c r="B92" s="109"/>
      <c r="C92" s="109">
        <v>8.5940594059405934E-2</v>
      </c>
      <c r="D92" s="109"/>
      <c r="E92" s="109"/>
      <c r="F92" s="109"/>
      <c r="G92" s="109"/>
      <c r="H92" s="109"/>
      <c r="I92" s="109"/>
      <c r="K92" s="109">
        <f t="shared" si="13"/>
        <v>8.5940594059405934E-2</v>
      </c>
      <c r="L92" s="109"/>
      <c r="M92" s="109"/>
      <c r="N92" s="31">
        <f t="shared" si="14"/>
        <v>0.66088316831683169</v>
      </c>
      <c r="O92" s="109">
        <f t="shared" si="12"/>
        <v>1.3378201787790116</v>
      </c>
      <c r="P92" s="109">
        <v>1.3378201787790116</v>
      </c>
    </row>
    <row r="93" spans="1:16" x14ac:dyDescent="0.15">
      <c r="A93" s="38">
        <v>1739</v>
      </c>
      <c r="B93" s="109"/>
      <c r="C93" s="109">
        <v>8.5932835820895517E-2</v>
      </c>
      <c r="D93" s="109"/>
      <c r="E93" s="109"/>
      <c r="F93" s="109"/>
      <c r="G93" s="109"/>
      <c r="H93" s="109"/>
      <c r="I93" s="109"/>
      <c r="K93" s="109">
        <f t="shared" si="13"/>
        <v>8.5932835820895517E-2</v>
      </c>
      <c r="L93" s="109"/>
      <c r="M93" s="109"/>
      <c r="N93" s="31">
        <f t="shared" si="14"/>
        <v>0.66082350746268659</v>
      </c>
      <c r="O93" s="109">
        <f t="shared" si="12"/>
        <v>1.3376994078192037</v>
      </c>
      <c r="P93" s="109">
        <v>1.3376994078192037</v>
      </c>
    </row>
    <row r="94" spans="1:16" x14ac:dyDescent="0.15">
      <c r="A94" s="38">
        <v>1740</v>
      </c>
      <c r="B94" s="109"/>
      <c r="C94" s="109">
        <v>8.6099476439790573E-2</v>
      </c>
      <c r="D94" s="109"/>
      <c r="E94" s="109"/>
      <c r="F94" s="109"/>
      <c r="G94" s="109"/>
      <c r="H94" s="109"/>
      <c r="I94" s="109"/>
      <c r="K94" s="109">
        <f t="shared" si="13"/>
        <v>8.6099476439790573E-2</v>
      </c>
      <c r="L94" s="109"/>
      <c r="M94" s="109"/>
      <c r="N94" s="31">
        <f t="shared" si="14"/>
        <v>0.66210497382198952</v>
      </c>
      <c r="O94" s="109">
        <f t="shared" si="12"/>
        <v>1.3402934692752824</v>
      </c>
      <c r="P94" s="109">
        <v>1.3402934692752824</v>
      </c>
    </row>
    <row r="95" spans="1:16" x14ac:dyDescent="0.15">
      <c r="A95" s="38">
        <v>1741</v>
      </c>
      <c r="B95" s="109">
        <v>0.36249999999999999</v>
      </c>
      <c r="C95" s="109">
        <v>8.5930493273542602E-2</v>
      </c>
      <c r="D95" s="109"/>
      <c r="E95" s="109"/>
      <c r="F95" s="109"/>
      <c r="G95" s="109"/>
      <c r="H95" s="109"/>
      <c r="I95" s="109"/>
      <c r="K95" s="109">
        <f t="shared" si="13"/>
        <v>0.22421524663677128</v>
      </c>
      <c r="L95" s="109"/>
      <c r="M95" s="109"/>
      <c r="N95" s="31">
        <f t="shared" si="14"/>
        <v>1.7242152466367713</v>
      </c>
      <c r="O95" s="109">
        <f t="shared" si="12"/>
        <v>3.4903142644469054</v>
      </c>
      <c r="P95" s="109">
        <v>3.4903142644469054</v>
      </c>
    </row>
    <row r="96" spans="1:16" x14ac:dyDescent="0.15">
      <c r="A96" s="38">
        <v>1742</v>
      </c>
      <c r="B96" s="109"/>
      <c r="C96" s="109">
        <v>8.5932944606414E-2</v>
      </c>
      <c r="D96" s="109"/>
      <c r="E96" s="109"/>
      <c r="F96" s="109"/>
      <c r="G96" s="109"/>
      <c r="H96" s="109"/>
      <c r="I96" s="109"/>
      <c r="K96" s="109">
        <f t="shared" si="13"/>
        <v>8.5932944606414E-2</v>
      </c>
      <c r="L96" s="109"/>
      <c r="M96" s="109"/>
      <c r="N96" s="31">
        <f t="shared" si="14"/>
        <v>0.66082434402332368</v>
      </c>
      <c r="O96" s="109">
        <f t="shared" si="12"/>
        <v>1.3377011012617888</v>
      </c>
      <c r="P96" s="109">
        <v>1.3377011012617888</v>
      </c>
    </row>
    <row r="97" spans="1:16" x14ac:dyDescent="0.15">
      <c r="A97" s="38">
        <v>1743</v>
      </c>
      <c r="B97" s="109"/>
      <c r="C97" s="109">
        <v>3.8875189681335354E-2</v>
      </c>
      <c r="D97" s="109"/>
      <c r="E97" s="109"/>
      <c r="F97" s="109"/>
      <c r="G97" s="109"/>
      <c r="H97" s="109"/>
      <c r="I97" s="109"/>
      <c r="K97" s="109">
        <f t="shared" si="13"/>
        <v>3.8875189681335354E-2</v>
      </c>
      <c r="L97" s="109"/>
      <c r="M97" s="109"/>
      <c r="N97" s="31">
        <f t="shared" ref="N97:N123" si="15">K97*8.04</f>
        <v>0.31255652503793618</v>
      </c>
      <c r="O97" s="109">
        <f t="shared" si="12"/>
        <v>0.63270551627112592</v>
      </c>
      <c r="P97" s="109">
        <v>0.63270551627112592</v>
      </c>
    </row>
    <row r="98" spans="1:16" x14ac:dyDescent="0.15">
      <c r="A98" s="38">
        <v>1744</v>
      </c>
      <c r="B98" s="109"/>
      <c r="C98" s="109">
        <v>3.125E-2</v>
      </c>
      <c r="D98" s="109"/>
      <c r="E98" s="109"/>
      <c r="F98" s="109"/>
      <c r="G98" s="109"/>
      <c r="H98" s="109"/>
      <c r="I98" s="109"/>
      <c r="K98" s="109">
        <f t="shared" si="13"/>
        <v>3.125E-2</v>
      </c>
      <c r="L98" s="109"/>
      <c r="M98" s="109"/>
      <c r="N98" s="31">
        <f t="shared" si="15"/>
        <v>0.25124999999999997</v>
      </c>
      <c r="O98" s="109">
        <f t="shared" si="12"/>
        <v>0.50860323886639669</v>
      </c>
      <c r="P98" s="109">
        <v>0.50860323886639669</v>
      </c>
    </row>
    <row r="99" spans="1:16" x14ac:dyDescent="0.15">
      <c r="A99" s="38">
        <v>1745</v>
      </c>
      <c r="B99" s="109"/>
      <c r="C99" s="109">
        <v>3.125E-2</v>
      </c>
      <c r="D99" s="109"/>
      <c r="E99" s="109"/>
      <c r="F99" s="109"/>
      <c r="G99" s="109"/>
      <c r="H99" s="109"/>
      <c r="I99" s="109"/>
      <c r="K99" s="109">
        <f t="shared" si="13"/>
        <v>3.125E-2</v>
      </c>
      <c r="L99" s="109"/>
      <c r="M99" s="109"/>
      <c r="N99" s="31">
        <f t="shared" si="15"/>
        <v>0.25124999999999997</v>
      </c>
      <c r="O99" s="109">
        <f t="shared" si="12"/>
        <v>0.50860323886639669</v>
      </c>
      <c r="P99" s="109">
        <v>0.50860323886639669</v>
      </c>
    </row>
    <row r="100" spans="1:16" x14ac:dyDescent="0.15">
      <c r="A100" s="38">
        <v>1746</v>
      </c>
      <c r="B100" s="109"/>
      <c r="C100" s="109"/>
      <c r="D100" s="109"/>
      <c r="E100" s="109"/>
      <c r="F100" s="109"/>
      <c r="G100" s="109"/>
      <c r="H100" s="109"/>
      <c r="I100" s="109"/>
      <c r="K100" s="109"/>
      <c r="L100" s="109"/>
      <c r="M100" s="109"/>
      <c r="N100" s="31">
        <f t="shared" si="15"/>
        <v>0</v>
      </c>
      <c r="O100" s="109"/>
      <c r="P100" s="55">
        <f>P99+($P$102-$P$99)/3</f>
        <v>0.69508284326763004</v>
      </c>
    </row>
    <row r="101" spans="1:16" x14ac:dyDescent="0.15">
      <c r="A101" s="38">
        <v>1747</v>
      </c>
      <c r="B101" s="109"/>
      <c r="C101" s="109"/>
      <c r="D101" s="109"/>
      <c r="E101" s="109"/>
      <c r="F101" s="109"/>
      <c r="G101" s="109"/>
      <c r="H101" s="109"/>
      <c r="I101" s="109"/>
      <c r="K101" s="109"/>
      <c r="L101" s="109"/>
      <c r="M101" s="109"/>
      <c r="N101" s="31">
        <f t="shared" si="15"/>
        <v>0</v>
      </c>
      <c r="O101" s="109"/>
      <c r="P101" s="55">
        <f>P100+($P$102-$P$99)/3</f>
        <v>0.88156244766886338</v>
      </c>
    </row>
    <row r="102" spans="1:16" x14ac:dyDescent="0.15">
      <c r="A102" s="38">
        <v>1748</v>
      </c>
      <c r="B102" s="109">
        <v>8.7500000000000008E-2</v>
      </c>
      <c r="C102" s="109">
        <v>4.3746958637469587E-2</v>
      </c>
      <c r="D102" s="109"/>
      <c r="E102" s="109"/>
      <c r="F102" s="109"/>
      <c r="G102" s="109"/>
      <c r="H102" s="109"/>
      <c r="I102" s="109"/>
      <c r="K102" s="109">
        <f t="shared" si="13"/>
        <v>6.5623479318734801E-2</v>
      </c>
      <c r="L102" s="109"/>
      <c r="M102" s="109"/>
      <c r="N102" s="31">
        <f t="shared" si="15"/>
        <v>0.52761277372262771</v>
      </c>
      <c r="O102" s="109">
        <f t="shared" si="12"/>
        <v>1.0680420520700966</v>
      </c>
      <c r="P102" s="109">
        <v>1.0680420520700966</v>
      </c>
    </row>
    <row r="103" spans="1:16" x14ac:dyDescent="0.15">
      <c r="A103" s="38">
        <v>1749</v>
      </c>
      <c r="B103" s="109"/>
      <c r="C103" s="109">
        <v>4.3753315649867376E-2</v>
      </c>
      <c r="D103" s="109"/>
      <c r="E103" s="109"/>
      <c r="F103" s="109"/>
      <c r="G103" s="109"/>
      <c r="H103" s="109"/>
      <c r="I103" s="109"/>
      <c r="K103" s="109">
        <f t="shared" si="13"/>
        <v>4.3753315649867376E-2</v>
      </c>
      <c r="L103" s="109"/>
      <c r="M103" s="109"/>
      <c r="N103" s="31">
        <f t="shared" si="15"/>
        <v>0.35177665782493367</v>
      </c>
      <c r="O103" s="109">
        <f t="shared" si="12"/>
        <v>0.71209849762132327</v>
      </c>
      <c r="P103" s="109">
        <v>0.71209849762132327</v>
      </c>
    </row>
    <row r="104" spans="1:16" x14ac:dyDescent="0.15">
      <c r="A104" s="38">
        <v>1750</v>
      </c>
      <c r="B104" s="109"/>
      <c r="C104" s="109">
        <v>6.8769450207468871E-2</v>
      </c>
      <c r="D104" s="109"/>
      <c r="E104" s="109"/>
      <c r="F104" s="109"/>
      <c r="G104" s="109"/>
      <c r="H104" s="109"/>
      <c r="I104" s="109"/>
      <c r="K104" s="109">
        <f t="shared" si="13"/>
        <v>6.8769450207468871E-2</v>
      </c>
      <c r="L104" s="109"/>
      <c r="M104" s="109"/>
      <c r="N104" s="31">
        <f t="shared" si="15"/>
        <v>0.55290637966804967</v>
      </c>
      <c r="O104" s="109">
        <f t="shared" si="12"/>
        <v>1.1192436835385622</v>
      </c>
      <c r="P104" s="109">
        <v>1.1192436835385622</v>
      </c>
    </row>
    <row r="105" spans="1:16" x14ac:dyDescent="0.15">
      <c r="A105" s="38">
        <v>1751</v>
      </c>
      <c r="B105" s="109"/>
      <c r="C105" s="109">
        <v>6.8750000000000006E-2</v>
      </c>
      <c r="D105" s="109"/>
      <c r="E105" s="109"/>
      <c r="F105" s="109"/>
      <c r="G105" s="109"/>
      <c r="H105" s="109"/>
      <c r="I105" s="109"/>
      <c r="K105" s="109">
        <f t="shared" si="13"/>
        <v>6.8750000000000006E-2</v>
      </c>
      <c r="L105" s="109"/>
      <c r="M105" s="109"/>
      <c r="N105" s="31">
        <f t="shared" si="15"/>
        <v>0.55274999999999996</v>
      </c>
      <c r="O105" s="109">
        <f t="shared" si="12"/>
        <v>1.1189271255060729</v>
      </c>
      <c r="P105" s="109">
        <v>1.1189271255060729</v>
      </c>
    </row>
    <row r="106" spans="1:16" x14ac:dyDescent="0.15">
      <c r="A106" s="38">
        <v>1752</v>
      </c>
      <c r="B106" s="109"/>
      <c r="C106" s="109">
        <v>6.875136671769079E-2</v>
      </c>
      <c r="D106" s="109"/>
      <c r="E106" s="109"/>
      <c r="F106" s="109"/>
      <c r="G106" s="109"/>
      <c r="H106" s="109"/>
      <c r="I106" s="109"/>
      <c r="K106" s="109">
        <f t="shared" si="13"/>
        <v>6.875136671769079E-2</v>
      </c>
      <c r="L106" s="109"/>
      <c r="M106" s="109"/>
      <c r="N106" s="31">
        <f t="shared" si="15"/>
        <v>0.55276098841023391</v>
      </c>
      <c r="O106" s="109">
        <f t="shared" si="12"/>
        <v>1.1189493692514856</v>
      </c>
      <c r="P106" s="109">
        <v>1.1189493692514856</v>
      </c>
    </row>
    <row r="107" spans="1:16" x14ac:dyDescent="0.15">
      <c r="A107" s="38">
        <f>A106+1</f>
        <v>1753</v>
      </c>
      <c r="B107" s="109"/>
      <c r="C107" s="109">
        <v>6.8750000000000006E-2</v>
      </c>
      <c r="D107" s="109"/>
      <c r="E107" s="109"/>
      <c r="F107" s="109"/>
      <c r="G107" s="109"/>
      <c r="H107" s="109"/>
      <c r="I107" s="109"/>
      <c r="K107" s="109">
        <f t="shared" si="13"/>
        <v>6.8750000000000006E-2</v>
      </c>
      <c r="L107" s="109"/>
      <c r="M107" s="109"/>
      <c r="N107" s="31">
        <f t="shared" si="15"/>
        <v>0.55274999999999996</v>
      </c>
      <c r="O107" s="109">
        <f t="shared" si="12"/>
        <v>1.1189271255060729</v>
      </c>
      <c r="P107" s="109">
        <v>1.1189271255060729</v>
      </c>
    </row>
    <row r="108" spans="1:16" x14ac:dyDescent="0.15">
      <c r="A108" s="38">
        <f t="shared" ref="A108:A147" si="16">A107+1</f>
        <v>1754</v>
      </c>
      <c r="B108" s="109"/>
      <c r="C108" s="109">
        <v>6.8750818813048606E-2</v>
      </c>
      <c r="D108" s="109"/>
      <c r="E108" s="109"/>
      <c r="F108" s="109"/>
      <c r="G108" s="109"/>
      <c r="H108" s="109"/>
      <c r="I108" s="109"/>
      <c r="K108" s="109">
        <f t="shared" si="13"/>
        <v>6.8750818813048606E-2</v>
      </c>
      <c r="L108" s="109"/>
      <c r="M108" s="109"/>
      <c r="N108" s="31">
        <f t="shared" si="15"/>
        <v>0.55275658325691068</v>
      </c>
      <c r="O108" s="109">
        <f t="shared" si="12"/>
        <v>1.1189404519370663</v>
      </c>
      <c r="P108" s="109">
        <v>1.1189404519370663</v>
      </c>
    </row>
    <row r="109" spans="1:16" x14ac:dyDescent="0.15">
      <c r="A109" s="38">
        <f t="shared" si="16"/>
        <v>1755</v>
      </c>
      <c r="B109" s="109"/>
      <c r="C109" s="109">
        <v>3.1251092848400067E-2</v>
      </c>
      <c r="D109" s="109"/>
      <c r="E109" s="109"/>
      <c r="F109" s="109"/>
      <c r="G109" s="109"/>
      <c r="H109" s="109"/>
      <c r="I109" s="109"/>
      <c r="K109" s="109">
        <f t="shared" si="13"/>
        <v>3.1251092848400067E-2</v>
      </c>
      <c r="L109" s="109"/>
      <c r="M109" s="109"/>
      <c r="N109" s="31">
        <f t="shared" si="15"/>
        <v>0.25125878650113653</v>
      </c>
      <c r="O109" s="109">
        <f t="shared" si="12"/>
        <v>0.50862102530594444</v>
      </c>
      <c r="P109" s="109">
        <v>0.50862102530594444</v>
      </c>
    </row>
    <row r="110" spans="1:16" x14ac:dyDescent="0.15">
      <c r="A110" s="38">
        <f t="shared" si="16"/>
        <v>1756</v>
      </c>
      <c r="B110" s="109"/>
      <c r="C110" s="109">
        <v>3.1248147050103765E-2</v>
      </c>
      <c r="D110" s="109"/>
      <c r="E110" s="109"/>
      <c r="F110" s="109"/>
      <c r="G110" s="109"/>
      <c r="H110" s="109"/>
      <c r="I110" s="109"/>
      <c r="K110" s="109">
        <f t="shared" si="13"/>
        <v>3.1248147050103765E-2</v>
      </c>
      <c r="L110" s="109"/>
      <c r="M110" s="109"/>
      <c r="N110" s="31">
        <f t="shared" si="15"/>
        <v>0.25123510228283424</v>
      </c>
      <c r="O110" s="109">
        <f t="shared" si="12"/>
        <v>0.50857308154419889</v>
      </c>
      <c r="P110" s="109">
        <v>0.50857308154419889</v>
      </c>
    </row>
    <row r="111" spans="1:16" x14ac:dyDescent="0.15">
      <c r="A111" s="38">
        <f t="shared" si="16"/>
        <v>1757</v>
      </c>
      <c r="B111" s="109"/>
      <c r="C111" s="109">
        <v>3.1251389197599462E-2</v>
      </c>
      <c r="D111" s="109"/>
      <c r="E111" s="109"/>
      <c r="F111" s="109"/>
      <c r="G111" s="109"/>
      <c r="H111" s="109"/>
      <c r="I111" s="109"/>
      <c r="K111" s="109">
        <f t="shared" si="13"/>
        <v>3.1251389197599462E-2</v>
      </c>
      <c r="L111" s="109"/>
      <c r="M111" s="109"/>
      <c r="N111" s="31">
        <f t="shared" si="15"/>
        <v>0.25126116914869967</v>
      </c>
      <c r="O111" s="109">
        <f t="shared" si="12"/>
        <v>0.50862584847914916</v>
      </c>
      <c r="P111" s="109">
        <v>0.50862584847914916</v>
      </c>
    </row>
    <row r="112" spans="1:16" x14ac:dyDescent="0.15">
      <c r="A112" s="38">
        <f t="shared" si="16"/>
        <v>1758</v>
      </c>
      <c r="B112" s="109"/>
      <c r="C112" s="109"/>
      <c r="D112" s="109"/>
      <c r="E112" s="109"/>
      <c r="F112" s="109"/>
      <c r="G112" s="109"/>
      <c r="H112" s="109"/>
      <c r="I112" s="109"/>
      <c r="K112" s="109"/>
      <c r="L112" s="109"/>
      <c r="M112" s="109"/>
      <c r="N112" s="31"/>
      <c r="O112" s="109"/>
      <c r="P112" s="55">
        <f>P111+($P$113-$P$111)/2</f>
        <v>0.50858917692769223</v>
      </c>
    </row>
    <row r="113" spans="1:16" x14ac:dyDescent="0.15">
      <c r="A113" s="38">
        <f t="shared" si="16"/>
        <v>1759</v>
      </c>
      <c r="B113" s="109"/>
      <c r="C113" s="109">
        <v>3.1246882793017454E-2</v>
      </c>
      <c r="D113" s="109"/>
      <c r="E113" s="109"/>
      <c r="F113" s="109"/>
      <c r="G113" s="109"/>
      <c r="H113" s="109"/>
      <c r="I113" s="109"/>
      <c r="K113" s="109">
        <f t="shared" si="13"/>
        <v>3.1246882793017454E-2</v>
      </c>
      <c r="L113" s="109"/>
      <c r="M113" s="109"/>
      <c r="N113" s="31">
        <f t="shared" si="15"/>
        <v>0.25122493765586029</v>
      </c>
      <c r="O113" s="109">
        <f t="shared" si="12"/>
        <v>0.50855250537623542</v>
      </c>
      <c r="P113" s="109">
        <v>0.50855250537623542</v>
      </c>
    </row>
    <row r="114" spans="1:16" x14ac:dyDescent="0.15">
      <c r="A114" s="38">
        <f t="shared" si="16"/>
        <v>1760</v>
      </c>
      <c r="B114" s="109"/>
      <c r="C114" s="109">
        <v>3.7026963103122049E-2</v>
      </c>
      <c r="D114" s="109"/>
      <c r="E114" s="109"/>
      <c r="F114" s="109"/>
      <c r="G114" s="109"/>
      <c r="H114" s="109"/>
      <c r="I114" s="109"/>
      <c r="K114" s="109">
        <f t="shared" si="13"/>
        <v>3.7026963103122049E-2</v>
      </c>
      <c r="L114" s="109"/>
      <c r="M114" s="109"/>
      <c r="N114" s="31">
        <f t="shared" si="15"/>
        <v>0.29769678334910121</v>
      </c>
      <c r="O114" s="109">
        <f t="shared" si="12"/>
        <v>0.60262506750830203</v>
      </c>
      <c r="P114" s="109">
        <v>0.60262506750830203</v>
      </c>
    </row>
    <row r="115" spans="1:16" x14ac:dyDescent="0.15">
      <c r="A115" s="38">
        <f t="shared" si="16"/>
        <v>1761</v>
      </c>
      <c r="B115" s="109">
        <v>3.7689969604863226E-2</v>
      </c>
      <c r="C115" s="109">
        <v>3.7499999999999999E-2</v>
      </c>
      <c r="D115" s="109"/>
      <c r="E115" s="109"/>
      <c r="F115" s="109"/>
      <c r="G115" s="109"/>
      <c r="H115" s="109"/>
      <c r="I115" s="109"/>
      <c r="K115" s="109">
        <f t="shared" si="13"/>
        <v>3.7594984802431612E-2</v>
      </c>
      <c r="L115" s="109"/>
      <c r="M115" s="109"/>
      <c r="N115" s="31">
        <f t="shared" si="15"/>
        <v>0.30226367781155011</v>
      </c>
      <c r="O115" s="109">
        <f t="shared" si="12"/>
        <v>0.61186979314078971</v>
      </c>
      <c r="P115" s="109">
        <v>0.61186979314078971</v>
      </c>
    </row>
    <row r="116" spans="1:16" x14ac:dyDescent="0.15">
      <c r="A116" s="38">
        <f t="shared" si="16"/>
        <v>1762</v>
      </c>
      <c r="B116" s="109"/>
      <c r="C116" s="109">
        <v>3.7507331378299119E-2</v>
      </c>
      <c r="D116" s="109"/>
      <c r="E116" s="109"/>
      <c r="F116" s="109"/>
      <c r="G116" s="109"/>
      <c r="H116" s="109"/>
      <c r="I116" s="109"/>
      <c r="K116" s="109">
        <f t="shared" si="13"/>
        <v>3.7507331378299119E-2</v>
      </c>
      <c r="L116" s="109"/>
      <c r="M116" s="109"/>
      <c r="N116" s="31">
        <f t="shared" si="15"/>
        <v>0.30155894428152491</v>
      </c>
      <c r="O116" s="109">
        <f t="shared" si="12"/>
        <v>0.61044320704762123</v>
      </c>
      <c r="P116" s="109">
        <v>0.61044320704762123</v>
      </c>
    </row>
    <row r="117" spans="1:16" x14ac:dyDescent="0.15">
      <c r="A117" s="38">
        <f t="shared" si="16"/>
        <v>1763</v>
      </c>
      <c r="B117" s="109"/>
      <c r="C117" s="109">
        <v>3.7499999999999999E-2</v>
      </c>
      <c r="D117" s="109"/>
      <c r="E117" s="109"/>
      <c r="F117" s="109"/>
      <c r="G117" s="109"/>
      <c r="H117" s="109"/>
      <c r="I117" s="109"/>
      <c r="K117" s="109">
        <f t="shared" si="13"/>
        <v>3.7499999999999999E-2</v>
      </c>
      <c r="L117" s="109"/>
      <c r="M117" s="109"/>
      <c r="N117" s="31">
        <f t="shared" si="15"/>
        <v>0.30149999999999993</v>
      </c>
      <c r="O117" s="109">
        <f t="shared" si="12"/>
        <v>0.61032388663967596</v>
      </c>
      <c r="P117" s="109">
        <v>0.61032388663967596</v>
      </c>
    </row>
    <row r="118" spans="1:16" x14ac:dyDescent="0.15">
      <c r="A118" s="38">
        <f t="shared" si="16"/>
        <v>1764</v>
      </c>
      <c r="B118" s="109">
        <v>3.7511737089201878E-2</v>
      </c>
      <c r="C118" s="109">
        <v>0.05</v>
      </c>
      <c r="D118" s="109"/>
      <c r="E118" s="109"/>
      <c r="F118" s="109"/>
      <c r="G118" s="109"/>
      <c r="H118" s="109"/>
      <c r="I118" s="109"/>
      <c r="K118" s="109">
        <f>AVERAGE(C118:C118,E118)</f>
        <v>0.05</v>
      </c>
      <c r="L118" s="109"/>
      <c r="M118" s="109"/>
      <c r="N118" s="31">
        <f t="shared" si="15"/>
        <v>0.40199999999999997</v>
      </c>
      <c r="O118" s="109">
        <f t="shared" si="12"/>
        <v>0.81376518218623473</v>
      </c>
      <c r="P118" s="109">
        <v>0.71214004675828235</v>
      </c>
    </row>
    <row r="119" spans="1:16" x14ac:dyDescent="0.15">
      <c r="A119" s="38">
        <f t="shared" si="16"/>
        <v>1765</v>
      </c>
      <c r="B119" s="109"/>
      <c r="C119" s="109">
        <v>0.05</v>
      </c>
      <c r="D119" s="109"/>
      <c r="E119" s="109"/>
      <c r="F119" s="109"/>
      <c r="G119" s="109"/>
      <c r="H119" s="109"/>
      <c r="I119" s="109"/>
      <c r="K119" s="109">
        <f t="shared" si="13"/>
        <v>0.05</v>
      </c>
      <c r="L119" s="109"/>
      <c r="M119" s="109"/>
      <c r="N119" s="31">
        <f t="shared" si="15"/>
        <v>0.40199999999999997</v>
      </c>
      <c r="O119" s="109">
        <f t="shared" si="12"/>
        <v>0.81376518218623473</v>
      </c>
      <c r="P119" s="109">
        <v>0.81376518218623473</v>
      </c>
    </row>
    <row r="120" spans="1:16" x14ac:dyDescent="0.15">
      <c r="A120" s="38">
        <f t="shared" si="16"/>
        <v>1766</v>
      </c>
      <c r="B120" s="109"/>
      <c r="C120" s="109">
        <v>0.05</v>
      </c>
      <c r="D120" s="109"/>
      <c r="E120" s="109"/>
      <c r="F120" s="109"/>
      <c r="G120" s="109"/>
      <c r="H120" s="109"/>
      <c r="I120" s="109"/>
      <c r="K120" s="109">
        <f t="shared" si="13"/>
        <v>0.05</v>
      </c>
      <c r="L120" s="109"/>
      <c r="M120" s="109"/>
      <c r="N120" s="31">
        <f t="shared" si="15"/>
        <v>0.40199999999999997</v>
      </c>
      <c r="O120" s="109">
        <f t="shared" si="12"/>
        <v>0.81376518218623473</v>
      </c>
      <c r="P120" s="109">
        <v>0.81376518218623473</v>
      </c>
    </row>
    <row r="121" spans="1:16" x14ac:dyDescent="0.15">
      <c r="A121" s="38">
        <f t="shared" si="16"/>
        <v>1767</v>
      </c>
      <c r="B121" s="109"/>
      <c r="C121" s="109">
        <v>4.9999999999999996E-2</v>
      </c>
      <c r="D121" s="109"/>
      <c r="E121" s="109"/>
      <c r="F121" s="109"/>
      <c r="G121" s="109"/>
      <c r="H121" s="109"/>
      <c r="I121" s="109"/>
      <c r="K121" s="109">
        <f t="shared" si="13"/>
        <v>4.9999999999999996E-2</v>
      </c>
      <c r="L121" s="109"/>
      <c r="M121" s="109"/>
      <c r="N121" s="31">
        <f t="shared" si="15"/>
        <v>0.40199999999999991</v>
      </c>
      <c r="O121" s="109">
        <f t="shared" si="12"/>
        <v>0.81376518218623461</v>
      </c>
      <c r="P121" s="109">
        <v>0.81376518218623461</v>
      </c>
    </row>
    <row r="122" spans="1:16" x14ac:dyDescent="0.15">
      <c r="A122" s="38">
        <f t="shared" si="16"/>
        <v>1768</v>
      </c>
      <c r="B122" s="109"/>
      <c r="C122" s="109">
        <v>4.9999999999999996E-2</v>
      </c>
      <c r="D122" s="109"/>
      <c r="E122" s="109"/>
      <c r="F122" s="109"/>
      <c r="G122" s="109"/>
      <c r="H122" s="109"/>
      <c r="I122" s="109"/>
      <c r="K122" s="109">
        <f t="shared" si="13"/>
        <v>4.9999999999999996E-2</v>
      </c>
      <c r="L122" s="109"/>
      <c r="M122" s="109"/>
      <c r="N122" s="31">
        <f t="shared" si="15"/>
        <v>0.40199999999999991</v>
      </c>
      <c r="O122" s="109">
        <f t="shared" si="12"/>
        <v>0.81376518218623461</v>
      </c>
      <c r="P122" s="109">
        <v>0.81376518218623461</v>
      </c>
    </row>
    <row r="123" spans="1:16" x14ac:dyDescent="0.15">
      <c r="A123" s="38">
        <f t="shared" si="16"/>
        <v>1769</v>
      </c>
      <c r="B123" s="109"/>
      <c r="C123" s="109">
        <v>0.05</v>
      </c>
      <c r="D123" s="109"/>
      <c r="E123" s="109"/>
      <c r="F123" s="109"/>
      <c r="G123" s="109"/>
      <c r="H123" s="109"/>
      <c r="I123" s="109"/>
      <c r="K123" s="109">
        <f t="shared" si="13"/>
        <v>0.05</v>
      </c>
      <c r="L123" s="109"/>
      <c r="M123" s="109"/>
      <c r="N123" s="31">
        <f t="shared" si="15"/>
        <v>0.40199999999999997</v>
      </c>
      <c r="O123" s="109">
        <f t="shared" si="12"/>
        <v>0.81376518218623473</v>
      </c>
      <c r="P123" s="109">
        <v>0.97267206477732793</v>
      </c>
    </row>
    <row r="124" spans="1:16" x14ac:dyDescent="0.15">
      <c r="A124" s="38">
        <f t="shared" si="16"/>
        <v>1770</v>
      </c>
      <c r="B124" s="109"/>
      <c r="C124" s="109">
        <v>2.8645447816432273E-2</v>
      </c>
      <c r="D124" s="109"/>
      <c r="E124" s="109"/>
      <c r="F124" s="109"/>
      <c r="G124" s="109"/>
      <c r="H124" s="109"/>
      <c r="I124" s="109"/>
      <c r="K124" s="109">
        <f t="shared" si="13"/>
        <v>2.8645447816432273E-2</v>
      </c>
      <c r="L124" s="109"/>
      <c r="M124" s="109"/>
      <c r="N124" s="31">
        <f t="shared" ref="N124:N135" si="17">K124*9.61</f>
        <v>0.27528275351591414</v>
      </c>
      <c r="O124" s="109">
        <f t="shared" si="12"/>
        <v>0.55725253748160752</v>
      </c>
      <c r="P124" s="109">
        <v>0.55725253748160752</v>
      </c>
    </row>
    <row r="125" spans="1:16" x14ac:dyDescent="0.15">
      <c r="A125" s="38">
        <f t="shared" si="16"/>
        <v>1771</v>
      </c>
      <c r="B125" s="109"/>
      <c r="C125" s="109">
        <v>2.8646659933631514E-2</v>
      </c>
      <c r="D125" s="109"/>
      <c r="E125" s="109"/>
      <c r="F125" s="109"/>
      <c r="G125" s="109"/>
      <c r="H125" s="109"/>
      <c r="I125" s="109"/>
      <c r="K125" s="109">
        <f t="shared" si="13"/>
        <v>2.8646659933631514E-2</v>
      </c>
      <c r="L125" s="109"/>
      <c r="M125" s="109"/>
      <c r="N125" s="31">
        <f t="shared" si="17"/>
        <v>0.27529440196219884</v>
      </c>
      <c r="O125" s="109">
        <f t="shared" si="12"/>
        <v>0.55727611733238636</v>
      </c>
      <c r="P125" s="109">
        <v>0.55727611733238636</v>
      </c>
    </row>
    <row r="126" spans="1:16" x14ac:dyDescent="0.15">
      <c r="A126" s="38">
        <f t="shared" si="16"/>
        <v>1772</v>
      </c>
      <c r="B126" s="109"/>
      <c r="C126" s="109">
        <v>2.8647582269979852E-2</v>
      </c>
      <c r="D126" s="109"/>
      <c r="E126" s="109"/>
      <c r="F126" s="109"/>
      <c r="G126" s="109"/>
      <c r="H126" s="109"/>
      <c r="I126" s="109"/>
      <c r="K126" s="109">
        <f t="shared" si="13"/>
        <v>2.8647582269979852E-2</v>
      </c>
      <c r="L126" s="109"/>
      <c r="M126" s="109"/>
      <c r="N126" s="31">
        <f t="shared" si="17"/>
        <v>0.27530326561450635</v>
      </c>
      <c r="O126" s="109">
        <f t="shared" si="12"/>
        <v>0.55729405994839343</v>
      </c>
      <c r="P126" s="109">
        <v>0.55729405994839343</v>
      </c>
    </row>
    <row r="127" spans="1:16" x14ac:dyDescent="0.15">
      <c r="A127" s="38">
        <f t="shared" si="16"/>
        <v>1773</v>
      </c>
      <c r="B127" s="109"/>
      <c r="C127" s="109">
        <v>2.8643973214285717E-2</v>
      </c>
      <c r="D127" s="109"/>
      <c r="E127" s="109"/>
      <c r="F127" s="109"/>
      <c r="G127" s="109"/>
      <c r="H127" s="109"/>
      <c r="I127" s="109"/>
      <c r="K127" s="109">
        <f t="shared" si="13"/>
        <v>2.8643973214285717E-2</v>
      </c>
      <c r="L127" s="109"/>
      <c r="M127" s="109"/>
      <c r="N127" s="31">
        <f t="shared" si="17"/>
        <v>0.27526858258928572</v>
      </c>
      <c r="O127" s="109">
        <f t="shared" si="12"/>
        <v>0.55722385139531527</v>
      </c>
      <c r="P127" s="109">
        <v>0.55722385139531527</v>
      </c>
    </row>
    <row r="128" spans="1:16" x14ac:dyDescent="0.15">
      <c r="A128" s="38">
        <f t="shared" si="16"/>
        <v>1774</v>
      </c>
      <c r="B128" s="109"/>
      <c r="C128" s="109">
        <v>1.7188130803391197E-2</v>
      </c>
      <c r="D128" s="109"/>
      <c r="E128" s="109"/>
      <c r="F128" s="109"/>
      <c r="G128" s="109"/>
      <c r="H128" s="109"/>
      <c r="I128" s="109"/>
      <c r="K128" s="109">
        <f t="shared" si="13"/>
        <v>1.7188130803391197E-2</v>
      </c>
      <c r="L128" s="109"/>
      <c r="M128" s="109"/>
      <c r="N128" s="31">
        <f t="shared" si="17"/>
        <v>0.16517793702058939</v>
      </c>
      <c r="O128" s="109">
        <f t="shared" si="12"/>
        <v>0.33436829356394615</v>
      </c>
      <c r="P128" s="109">
        <v>0.33436829356394615</v>
      </c>
    </row>
    <row r="129" spans="1:16" x14ac:dyDescent="0.15">
      <c r="A129" s="38">
        <f t="shared" si="16"/>
        <v>1775</v>
      </c>
      <c r="B129" s="109"/>
      <c r="C129" s="109">
        <v>1.7183583959899749E-2</v>
      </c>
      <c r="D129" s="109"/>
      <c r="E129" s="109"/>
      <c r="F129" s="109"/>
      <c r="G129" s="109"/>
      <c r="H129" s="109"/>
      <c r="I129" s="109"/>
      <c r="K129" s="109">
        <f t="shared" si="13"/>
        <v>1.7183583959899749E-2</v>
      </c>
      <c r="L129" s="109"/>
      <c r="M129" s="109"/>
      <c r="N129" s="31">
        <f t="shared" si="17"/>
        <v>0.16513424185463657</v>
      </c>
      <c r="O129" s="109">
        <f t="shared" si="12"/>
        <v>0.33427984181100523</v>
      </c>
      <c r="P129" s="109">
        <v>0.33427984181100523</v>
      </c>
    </row>
    <row r="130" spans="1:16" x14ac:dyDescent="0.15">
      <c r="A130" s="38">
        <f t="shared" si="16"/>
        <v>1776</v>
      </c>
      <c r="B130" s="109"/>
      <c r="C130" s="109">
        <v>1.7187742737299984E-2</v>
      </c>
      <c r="D130" s="109"/>
      <c r="E130" s="109"/>
      <c r="F130" s="109"/>
      <c r="G130" s="109"/>
      <c r="H130" s="109"/>
      <c r="I130" s="109"/>
      <c r="K130" s="109">
        <f t="shared" si="13"/>
        <v>1.7187742737299984E-2</v>
      </c>
      <c r="L130" s="109"/>
      <c r="M130" s="109"/>
      <c r="N130" s="31">
        <f t="shared" si="17"/>
        <v>0.16517420770545282</v>
      </c>
      <c r="O130" s="109">
        <f t="shared" si="12"/>
        <v>0.33436074434302193</v>
      </c>
      <c r="P130" s="109">
        <v>0.33436074434302193</v>
      </c>
    </row>
    <row r="131" spans="1:16" x14ac:dyDescent="0.15">
      <c r="A131" s="38">
        <f t="shared" si="16"/>
        <v>1777</v>
      </c>
      <c r="B131" s="109"/>
      <c r="C131" s="109">
        <v>1.7178861788617886E-2</v>
      </c>
      <c r="D131" s="109"/>
      <c r="E131" s="109"/>
      <c r="F131" s="109"/>
      <c r="G131" s="109"/>
      <c r="H131" s="109"/>
      <c r="I131" s="109"/>
      <c r="K131" s="109">
        <f t="shared" si="13"/>
        <v>1.7178861788617886E-2</v>
      </c>
      <c r="L131" s="109"/>
      <c r="M131" s="109"/>
      <c r="N131" s="31">
        <f t="shared" si="17"/>
        <v>0.16508886178861787</v>
      </c>
      <c r="O131" s="109">
        <f t="shared" si="12"/>
        <v>0.33418797932918598</v>
      </c>
      <c r="P131" s="109">
        <v>0.33418797932918598</v>
      </c>
    </row>
    <row r="132" spans="1:16" x14ac:dyDescent="0.15">
      <c r="A132" s="38">
        <f t="shared" si="16"/>
        <v>1778</v>
      </c>
      <c r="B132" s="109"/>
      <c r="C132" s="109">
        <v>1.7188760419467597E-2</v>
      </c>
      <c r="D132" s="109"/>
      <c r="E132" s="109"/>
      <c r="F132" s="109"/>
      <c r="G132" s="109"/>
      <c r="H132" s="109"/>
      <c r="I132" s="109"/>
      <c r="K132" s="109">
        <f t="shared" si="13"/>
        <v>1.7188760419467597E-2</v>
      </c>
      <c r="L132" s="109"/>
      <c r="M132" s="109"/>
      <c r="N132" s="31">
        <f t="shared" si="17"/>
        <v>0.16518398763108361</v>
      </c>
      <c r="O132" s="109">
        <f t="shared" si="12"/>
        <v>0.33438054176332715</v>
      </c>
      <c r="P132" s="109">
        <v>0.33438054176332715</v>
      </c>
    </row>
    <row r="133" spans="1:16" x14ac:dyDescent="0.15">
      <c r="A133" s="38">
        <f t="shared" si="16"/>
        <v>1779</v>
      </c>
      <c r="B133" s="109"/>
      <c r="C133" s="109">
        <v>2.29E-2</v>
      </c>
      <c r="D133" s="109"/>
      <c r="E133" s="109"/>
      <c r="F133" s="109"/>
      <c r="G133" s="109"/>
      <c r="H133" s="109"/>
      <c r="I133" s="109"/>
      <c r="K133" s="109">
        <f t="shared" si="13"/>
        <v>2.29E-2</v>
      </c>
      <c r="L133" s="109"/>
      <c r="M133" s="109"/>
      <c r="N133" s="31">
        <f t="shared" si="17"/>
        <v>0.22006899999999999</v>
      </c>
      <c r="O133" s="109">
        <f t="shared" si="12"/>
        <v>0.44548380566801615</v>
      </c>
      <c r="P133" s="109">
        <v>0.44548380566801615</v>
      </c>
    </row>
    <row r="134" spans="1:16" x14ac:dyDescent="0.15">
      <c r="A134" s="38">
        <f t="shared" si="16"/>
        <v>1780</v>
      </c>
      <c r="B134" s="109"/>
      <c r="C134" s="109">
        <v>2.2919241862381541E-2</v>
      </c>
      <c r="D134" s="109"/>
      <c r="E134" s="109"/>
      <c r="F134" s="109"/>
      <c r="G134" s="109"/>
      <c r="H134" s="109"/>
      <c r="I134" s="109"/>
      <c r="K134" s="109">
        <f t="shared" si="13"/>
        <v>2.2919241862381541E-2</v>
      </c>
      <c r="L134" s="109"/>
      <c r="M134" s="109"/>
      <c r="N134" s="31">
        <f t="shared" si="17"/>
        <v>0.22025391429748659</v>
      </c>
      <c r="O134" s="109">
        <f t="shared" si="12"/>
        <v>0.44585812610827247</v>
      </c>
      <c r="P134" s="109">
        <v>0.44585812610827247</v>
      </c>
    </row>
    <row r="135" spans="1:16" x14ac:dyDescent="0.15">
      <c r="A135" s="38">
        <f t="shared" si="16"/>
        <v>1781</v>
      </c>
      <c r="B135" s="109"/>
      <c r="C135" s="109">
        <v>2.2935132957292506E-2</v>
      </c>
      <c r="D135" s="109"/>
      <c r="E135" s="109"/>
      <c r="F135" s="109"/>
      <c r="G135" s="109"/>
      <c r="H135" s="109"/>
      <c r="I135" s="109"/>
      <c r="K135" s="109">
        <f t="shared" si="13"/>
        <v>2.2935132957292506E-2</v>
      </c>
      <c r="L135" s="109"/>
      <c r="M135" s="109"/>
      <c r="N135" s="31">
        <f t="shared" si="17"/>
        <v>0.22040662771958097</v>
      </c>
      <c r="O135" s="109">
        <f t="shared" si="12"/>
        <v>0.44616726259024486</v>
      </c>
      <c r="P135" s="109">
        <v>0.44616726259024486</v>
      </c>
    </row>
    <row r="136" spans="1:16" x14ac:dyDescent="0.15">
      <c r="A136" s="38">
        <f t="shared" si="16"/>
        <v>1782</v>
      </c>
      <c r="B136" s="109"/>
      <c r="C136" s="109"/>
      <c r="D136" s="109"/>
      <c r="E136" s="109"/>
      <c r="F136" s="109"/>
      <c r="G136" s="109"/>
      <c r="H136" s="109"/>
      <c r="I136" s="109"/>
      <c r="K136" s="109"/>
      <c r="L136" s="109"/>
      <c r="M136" s="109"/>
      <c r="N136" s="31"/>
      <c r="O136" s="109"/>
      <c r="P136" s="55">
        <f>P135+($P$137-$P$135)/2</f>
        <v>0.44599515967398295</v>
      </c>
    </row>
    <row r="137" spans="1:16" x14ac:dyDescent="0.15">
      <c r="A137" s="38">
        <f t="shared" si="16"/>
        <v>1783</v>
      </c>
      <c r="B137" s="109"/>
      <c r="C137" s="109">
        <v>2.2917439129897417E-2</v>
      </c>
      <c r="D137" s="109"/>
      <c r="E137" s="109"/>
      <c r="F137" s="109"/>
      <c r="G137" s="109"/>
      <c r="H137" s="109"/>
      <c r="I137" s="109"/>
      <c r="K137" s="109">
        <f t="shared" si="13"/>
        <v>2.2917439129897417E-2</v>
      </c>
      <c r="L137" s="109"/>
      <c r="M137" s="109"/>
      <c r="N137" s="31">
        <f t="shared" ref="N137:N147" si="18">K137*9.61</f>
        <v>0.22023659003831417</v>
      </c>
      <c r="O137" s="109">
        <f t="shared" ref="O137:O146" si="19">N137/0.494</f>
        <v>0.44582305675772099</v>
      </c>
      <c r="P137" s="109">
        <v>0.44582305675772099</v>
      </c>
    </row>
    <row r="138" spans="1:16" x14ac:dyDescent="0.15">
      <c r="A138" s="38">
        <f t="shared" si="16"/>
        <v>1784</v>
      </c>
      <c r="B138" s="109">
        <v>2.2916666666666669E-2</v>
      </c>
      <c r="C138" s="109">
        <v>3.1509494689411006E-2</v>
      </c>
      <c r="D138" s="109"/>
      <c r="E138" s="109">
        <v>3.1510512725931396E-2</v>
      </c>
      <c r="F138" s="109"/>
      <c r="G138" s="109"/>
      <c r="H138" s="109"/>
      <c r="I138" s="109"/>
      <c r="K138" s="109">
        <f>AVERAGE(C138:E138)</f>
        <v>3.1510003707671201E-2</v>
      </c>
      <c r="L138" s="109"/>
      <c r="M138" s="109"/>
      <c r="N138" s="31">
        <f t="shared" si="18"/>
        <v>0.30281113563072021</v>
      </c>
      <c r="O138" s="109">
        <f t="shared" si="19"/>
        <v>0.61297800734963603</v>
      </c>
      <c r="P138" s="109">
        <v>0.5572546814629602</v>
      </c>
    </row>
    <row r="139" spans="1:16" x14ac:dyDescent="0.15">
      <c r="A139" s="38">
        <f t="shared" si="16"/>
        <v>1785</v>
      </c>
      <c r="B139" s="109"/>
      <c r="C139" s="109">
        <v>2.1383799421407911E-2</v>
      </c>
      <c r="D139" s="109"/>
      <c r="E139" s="109">
        <v>3.1509833941820754E-2</v>
      </c>
      <c r="F139" s="109"/>
      <c r="G139" s="109"/>
      <c r="H139" s="109"/>
      <c r="I139" s="109"/>
      <c r="K139" s="109">
        <f t="shared" ref="K139:K146" si="20">AVERAGE(B139:E139)</f>
        <v>2.6446816681614332E-2</v>
      </c>
      <c r="L139" s="109"/>
      <c r="M139" s="109"/>
      <c r="N139" s="31">
        <f t="shared" si="18"/>
        <v>0.2541539083103137</v>
      </c>
      <c r="O139" s="109">
        <f t="shared" si="19"/>
        <v>0.51448159576986585</v>
      </c>
      <c r="P139" s="109">
        <v>0.51448159576986585</v>
      </c>
    </row>
    <row r="140" spans="1:16" x14ac:dyDescent="0.15">
      <c r="A140" s="38">
        <f t="shared" si="16"/>
        <v>1786</v>
      </c>
      <c r="B140" s="109"/>
      <c r="C140" s="109">
        <v>3.1505956813104988E-2</v>
      </c>
      <c r="D140" s="109"/>
      <c r="E140" s="109"/>
      <c r="F140" s="109">
        <v>6.25E-2</v>
      </c>
      <c r="G140" s="109"/>
      <c r="H140" s="109"/>
      <c r="I140" s="109"/>
      <c r="K140" s="109">
        <f>AVERAGE(B140:E140)</f>
        <v>3.1505956813104988E-2</v>
      </c>
      <c r="L140" s="109"/>
      <c r="M140" s="109"/>
      <c r="N140" s="31">
        <f t="shared" si="18"/>
        <v>0.3027722449739389</v>
      </c>
      <c r="O140" s="109">
        <f t="shared" si="19"/>
        <v>0.61289928132376292</v>
      </c>
      <c r="P140" s="109">
        <v>0.61289928132376292</v>
      </c>
    </row>
    <row r="141" spans="1:16" x14ac:dyDescent="0.15">
      <c r="A141" s="38">
        <f t="shared" si="16"/>
        <v>1787</v>
      </c>
      <c r="B141" s="109"/>
      <c r="C141" s="109">
        <v>3.1507803790412486E-2</v>
      </c>
      <c r="D141" s="109"/>
      <c r="E141" s="109"/>
      <c r="F141" s="109"/>
      <c r="G141" s="109"/>
      <c r="H141" s="109"/>
      <c r="I141" s="109"/>
      <c r="K141" s="109">
        <f t="shared" si="20"/>
        <v>3.1507803790412486E-2</v>
      </c>
      <c r="L141" s="109"/>
      <c r="M141" s="109"/>
      <c r="N141" s="31">
        <f t="shared" si="18"/>
        <v>0.30278999442586396</v>
      </c>
      <c r="O141" s="109">
        <f t="shared" si="19"/>
        <v>0.61293521138838858</v>
      </c>
      <c r="P141" s="109">
        <v>0.61293521138838858</v>
      </c>
    </row>
    <row r="142" spans="1:16" x14ac:dyDescent="0.15">
      <c r="A142" s="38">
        <f t="shared" si="16"/>
        <v>1788</v>
      </c>
      <c r="B142" s="109"/>
      <c r="C142" s="109">
        <v>3.1501831501831501E-2</v>
      </c>
      <c r="D142" s="109"/>
      <c r="E142" s="109"/>
      <c r="F142" s="109"/>
      <c r="G142" s="109"/>
      <c r="H142" s="109"/>
      <c r="I142" s="109"/>
      <c r="K142" s="109">
        <f t="shared" si="20"/>
        <v>3.1501831501831501E-2</v>
      </c>
      <c r="L142" s="109"/>
      <c r="M142" s="109"/>
      <c r="N142" s="31">
        <f t="shared" si="18"/>
        <v>0.30273260073260072</v>
      </c>
      <c r="O142" s="109">
        <f t="shared" si="19"/>
        <v>0.61281902982307834</v>
      </c>
      <c r="P142" s="109">
        <v>0.61281902982307834</v>
      </c>
    </row>
    <row r="143" spans="1:16" x14ac:dyDescent="0.15">
      <c r="A143" s="38">
        <f t="shared" si="16"/>
        <v>1789</v>
      </c>
      <c r="B143" s="109">
        <v>3.1481481481481485E-2</v>
      </c>
      <c r="C143" s="109">
        <v>4.583333333333333E-2</v>
      </c>
      <c r="D143" s="109"/>
      <c r="E143" s="109">
        <v>3.8709677419354833E-2</v>
      </c>
      <c r="F143" s="109"/>
      <c r="G143" s="109"/>
      <c r="H143" s="109"/>
      <c r="I143" s="109"/>
      <c r="K143" s="109">
        <f>AVERAGE(B143:E143)</f>
        <v>3.8674830744723214E-2</v>
      </c>
      <c r="L143" s="109"/>
      <c r="M143" s="109"/>
      <c r="N143" s="31">
        <f t="shared" si="18"/>
        <v>0.37166512345679009</v>
      </c>
      <c r="O143" s="109">
        <f t="shared" si="19"/>
        <v>0.75235854950767223</v>
      </c>
      <c r="P143" s="109">
        <v>0.75235854950767223</v>
      </c>
    </row>
    <row r="144" spans="1:16" x14ac:dyDescent="0.15">
      <c r="A144" s="38">
        <f t="shared" si="16"/>
        <v>1790</v>
      </c>
      <c r="B144" s="109"/>
      <c r="C144" s="109">
        <v>4.583333333333333E-2</v>
      </c>
      <c r="D144" s="109"/>
      <c r="E144" s="109">
        <v>4.2857142857142851E-2</v>
      </c>
      <c r="F144" s="109"/>
      <c r="G144" s="109"/>
      <c r="H144" s="109"/>
      <c r="I144" s="109"/>
      <c r="K144" s="109">
        <f t="shared" si="20"/>
        <v>4.434523809523809E-2</v>
      </c>
      <c r="L144" s="109"/>
      <c r="M144" s="109"/>
      <c r="N144" s="31">
        <f t="shared" si="18"/>
        <v>0.42615773809523805</v>
      </c>
      <c r="O144" s="109">
        <f t="shared" si="19"/>
        <v>0.86266748602274912</v>
      </c>
      <c r="P144" s="109">
        <v>0.86266748602274912</v>
      </c>
    </row>
    <row r="145" spans="1:16" x14ac:dyDescent="0.15">
      <c r="A145" s="38">
        <f t="shared" si="16"/>
        <v>1791</v>
      </c>
      <c r="B145" s="109"/>
      <c r="C145" s="109">
        <v>4.5788770053475938E-2</v>
      </c>
      <c r="D145" s="109"/>
      <c r="E145" s="109"/>
      <c r="F145" s="109"/>
      <c r="G145" s="109"/>
      <c r="H145" s="109"/>
      <c r="I145" s="109"/>
      <c r="K145" s="109">
        <f t="shared" si="20"/>
        <v>4.5788770053475938E-2</v>
      </c>
      <c r="L145" s="109"/>
      <c r="M145" s="109"/>
      <c r="N145" s="31">
        <f t="shared" si="18"/>
        <v>0.44003008021390372</v>
      </c>
      <c r="O145" s="109">
        <f t="shared" si="19"/>
        <v>0.89074915023057433</v>
      </c>
      <c r="P145" s="109">
        <v>0.89074915023057433</v>
      </c>
    </row>
    <row r="146" spans="1:16" x14ac:dyDescent="0.15">
      <c r="A146" s="38">
        <f t="shared" si="16"/>
        <v>1792</v>
      </c>
      <c r="B146" s="109"/>
      <c r="C146" s="109">
        <v>4.5875000000000006E-2</v>
      </c>
      <c r="D146" s="109"/>
      <c r="E146" s="109"/>
      <c r="F146" s="109"/>
      <c r="G146" s="109"/>
      <c r="H146" s="109"/>
      <c r="I146" s="109"/>
      <c r="K146" s="109">
        <f t="shared" si="20"/>
        <v>4.5875000000000006E-2</v>
      </c>
      <c r="L146" s="109"/>
      <c r="M146" s="109"/>
      <c r="N146" s="31">
        <f t="shared" si="18"/>
        <v>0.44085875000000002</v>
      </c>
      <c r="O146" s="109">
        <f t="shared" si="19"/>
        <v>0.89242661943319845</v>
      </c>
      <c r="P146" s="109">
        <v>0.89242661943319845</v>
      </c>
    </row>
    <row r="147" spans="1:16" x14ac:dyDescent="0.15">
      <c r="A147" s="38">
        <f t="shared" si="16"/>
        <v>1793</v>
      </c>
      <c r="B147" s="109">
        <v>4.5836109260493002E-2</v>
      </c>
      <c r="C147" s="109">
        <v>3.4385382059800663E-2</v>
      </c>
      <c r="D147" s="109"/>
      <c r="E147" s="109"/>
      <c r="F147" s="109"/>
      <c r="G147" s="109"/>
      <c r="H147" s="109"/>
      <c r="I147" s="109"/>
      <c r="K147" s="109">
        <f>AVERAGE(B147:E147)</f>
        <v>4.0110745660146829E-2</v>
      </c>
      <c r="L147" s="109"/>
      <c r="M147" s="109"/>
      <c r="N147" s="31">
        <f t="shared" si="18"/>
        <v>0.385464265794011</v>
      </c>
      <c r="O147" s="109">
        <f>N147/0.494</f>
        <v>0.7802920360202652</v>
      </c>
      <c r="P147" s="109">
        <v>0.7802920360202652</v>
      </c>
    </row>
    <row r="148" spans="1:16" x14ac:dyDescent="0.15">
      <c r="A148" s="38">
        <v>1794</v>
      </c>
      <c r="B148" s="109"/>
      <c r="C148" s="109">
        <v>3.4375942116370219E-2</v>
      </c>
      <c r="D148" s="109"/>
      <c r="E148" s="109"/>
      <c r="F148" s="109"/>
      <c r="G148" s="109"/>
      <c r="H148" s="109"/>
      <c r="I148" s="109"/>
      <c r="K148" s="109"/>
      <c r="L148" s="109"/>
      <c r="M148" s="109"/>
      <c r="N148" s="31"/>
      <c r="O148" s="109"/>
      <c r="P148" s="55">
        <f>P147+($P$149-$P$147)/2</f>
        <v>1.1577625713434663</v>
      </c>
    </row>
    <row r="149" spans="1:16" x14ac:dyDescent="0.15">
      <c r="A149" s="38">
        <v>1795</v>
      </c>
      <c r="B149" s="109"/>
      <c r="C149" s="109"/>
      <c r="D149" s="109"/>
      <c r="E149" s="109"/>
      <c r="F149" s="109"/>
      <c r="G149" s="109"/>
      <c r="H149" s="109">
        <v>3.1255707762557081E-2</v>
      </c>
      <c r="I149" s="109"/>
      <c r="K149" s="109"/>
      <c r="L149" s="109">
        <f>AVERAGE(G149:H149)</f>
        <v>3.1255707762557081E-2</v>
      </c>
      <c r="M149" s="109">
        <v>0.2</v>
      </c>
      <c r="N149" s="109"/>
      <c r="O149" s="109">
        <f>M149*L149*111.4*2.2046</f>
        <v>1.5352331066666671</v>
      </c>
      <c r="P149" s="109">
        <v>1.5352331066666671</v>
      </c>
    </row>
    <row r="150" spans="1:16" x14ac:dyDescent="0.15">
      <c r="A150" s="38">
        <f t="shared" ref="A150:A213" si="21">A149+1</f>
        <v>1796</v>
      </c>
      <c r="B150" s="109"/>
      <c r="C150" s="109"/>
      <c r="D150" s="109"/>
      <c r="E150" s="109"/>
      <c r="F150" s="109"/>
      <c r="G150" s="109"/>
      <c r="H150" s="109"/>
      <c r="I150" s="109"/>
      <c r="K150" s="109"/>
      <c r="L150" s="109"/>
      <c r="M150" s="109">
        <v>0.2</v>
      </c>
      <c r="N150" s="109"/>
      <c r="O150" s="109"/>
      <c r="P150" s="55">
        <f>P149+($P$151-$P$149)/2</f>
        <v>1.5350929283333337</v>
      </c>
    </row>
    <row r="151" spans="1:16" x14ac:dyDescent="0.15">
      <c r="A151" s="38">
        <f t="shared" si="21"/>
        <v>1797</v>
      </c>
      <c r="B151" s="109"/>
      <c r="C151" s="109"/>
      <c r="D151" s="109"/>
      <c r="E151" s="109"/>
      <c r="F151" s="109"/>
      <c r="G151" s="109">
        <v>3.125E-2</v>
      </c>
      <c r="H151" s="109"/>
      <c r="I151" s="109"/>
      <c r="K151" s="109"/>
      <c r="L151" s="109">
        <f>AVERAGE(G151:H151)</f>
        <v>3.125E-2</v>
      </c>
      <c r="M151" s="109">
        <v>0.2</v>
      </c>
      <c r="N151" s="109"/>
      <c r="O151" s="109">
        <f t="shared" ref="O151:O152" si="22">M151*L151*111.4*2.2046</f>
        <v>1.5349527500000002</v>
      </c>
      <c r="P151" s="109">
        <v>1.5349527500000002</v>
      </c>
    </row>
    <row r="152" spans="1:16" x14ac:dyDescent="0.15">
      <c r="A152" s="38">
        <f t="shared" si="21"/>
        <v>1798</v>
      </c>
      <c r="B152" s="109"/>
      <c r="C152" s="109"/>
      <c r="D152" s="109"/>
      <c r="E152" s="109"/>
      <c r="F152" s="109"/>
      <c r="G152" s="109">
        <v>6.25E-2</v>
      </c>
      <c r="H152" s="109"/>
      <c r="I152" s="109"/>
      <c r="K152" s="109"/>
      <c r="L152" s="109">
        <f>AVERAGE(G152:H152)</f>
        <v>6.25E-2</v>
      </c>
      <c r="M152" s="109">
        <v>0.2</v>
      </c>
      <c r="N152" s="109"/>
      <c r="O152" s="109">
        <f t="shared" si="22"/>
        <v>3.0699055000000004</v>
      </c>
      <c r="P152" s="109">
        <v>3.0699055000000004</v>
      </c>
    </row>
    <row r="153" spans="1:16" x14ac:dyDescent="0.15">
      <c r="A153" s="38">
        <f t="shared" si="21"/>
        <v>1799</v>
      </c>
      <c r="B153" s="109"/>
      <c r="C153" s="109"/>
      <c r="D153" s="109"/>
      <c r="E153" s="109"/>
      <c r="F153" s="109"/>
      <c r="G153" s="109"/>
      <c r="H153" s="109"/>
      <c r="I153" s="109"/>
      <c r="K153" s="109"/>
      <c r="L153" s="109"/>
      <c r="M153" s="109">
        <v>0.2</v>
      </c>
      <c r="N153" s="109"/>
      <c r="O153" s="109"/>
      <c r="P153" s="55">
        <f>P152+($P$154-$P$152)/2</f>
        <v>2.7629149500000008</v>
      </c>
    </row>
    <row r="154" spans="1:16" x14ac:dyDescent="0.15">
      <c r="A154" s="38">
        <f t="shared" si="21"/>
        <v>1800</v>
      </c>
      <c r="B154" s="109"/>
      <c r="C154" s="109"/>
      <c r="D154" s="109"/>
      <c r="E154" s="109"/>
      <c r="F154" s="109"/>
      <c r="G154" s="109"/>
      <c r="H154" s="109">
        <v>0.05</v>
      </c>
      <c r="I154" s="109"/>
      <c r="K154" s="109"/>
      <c r="L154" s="109">
        <f>AVERAGE(G154:H154)</f>
        <v>0.05</v>
      </c>
      <c r="M154" s="109">
        <v>0.2</v>
      </c>
      <c r="N154" s="109"/>
      <c r="O154" s="109">
        <f t="shared" ref="O154:O155" si="23">M154*L154*111.4*2.2046</f>
        <v>2.4559244000000007</v>
      </c>
      <c r="P154" s="109">
        <v>2.4559244000000007</v>
      </c>
    </row>
    <row r="155" spans="1:16" x14ac:dyDescent="0.15">
      <c r="A155" s="38">
        <f t="shared" si="21"/>
        <v>1801</v>
      </c>
      <c r="B155" s="109"/>
      <c r="C155" s="109"/>
      <c r="D155" s="109"/>
      <c r="E155" s="109"/>
      <c r="F155" s="109"/>
      <c r="G155" s="109">
        <v>4.1666666666666664E-2</v>
      </c>
      <c r="H155" s="109">
        <v>4.1666666666666664E-2</v>
      </c>
      <c r="I155" s="109"/>
      <c r="K155" s="109"/>
      <c r="L155" s="109">
        <f>AVERAGE(G155:H155)</f>
        <v>4.1666666666666664E-2</v>
      </c>
      <c r="M155" s="109">
        <v>0.2</v>
      </c>
      <c r="N155" s="109"/>
      <c r="O155" s="109">
        <f t="shared" si="23"/>
        <v>2.0466036666666669</v>
      </c>
      <c r="P155" s="109">
        <v>2.0466036666666669</v>
      </c>
    </row>
    <row r="156" spans="1:16" x14ac:dyDescent="0.15">
      <c r="A156" s="38">
        <f t="shared" si="21"/>
        <v>1802</v>
      </c>
      <c r="B156" s="109"/>
      <c r="C156" s="109"/>
      <c r="D156" s="109"/>
      <c r="E156" s="109"/>
      <c r="F156" s="109"/>
      <c r="G156" s="109"/>
      <c r="H156" s="109"/>
      <c r="I156" s="109"/>
      <c r="K156" s="109"/>
      <c r="L156" s="109"/>
      <c r="M156" s="109">
        <v>0.2</v>
      </c>
      <c r="N156" s="109"/>
      <c r="O156" s="109"/>
      <c r="P156" s="55">
        <f>P155+($P$157-$P$155)/2</f>
        <v>2.5582545833333334</v>
      </c>
    </row>
    <row r="157" spans="1:16" x14ac:dyDescent="0.15">
      <c r="A157" s="38">
        <f t="shared" si="21"/>
        <v>1803</v>
      </c>
      <c r="B157" s="109"/>
      <c r="C157" s="109"/>
      <c r="D157" s="109"/>
      <c r="E157" s="109"/>
      <c r="F157" s="109"/>
      <c r="G157" s="109">
        <v>6.25E-2</v>
      </c>
      <c r="H157" s="109"/>
      <c r="I157" s="109"/>
      <c r="K157" s="109"/>
      <c r="L157" s="109">
        <f>AVERAGE(G157:H157)</f>
        <v>6.25E-2</v>
      </c>
      <c r="M157" s="109">
        <v>0.2</v>
      </c>
      <c r="N157" s="109"/>
      <c r="O157" s="109">
        <f>M157*L157*111.4*2.2046</f>
        <v>3.0699055000000004</v>
      </c>
      <c r="P157" s="109">
        <v>3.0699055000000004</v>
      </c>
    </row>
    <row r="158" spans="1:16" x14ac:dyDescent="0.15">
      <c r="A158" s="38">
        <f t="shared" si="21"/>
        <v>1804</v>
      </c>
      <c r="B158" s="109"/>
      <c r="C158" s="109"/>
      <c r="D158" s="109"/>
      <c r="E158" s="109"/>
      <c r="F158" s="109"/>
      <c r="G158" s="109"/>
      <c r="H158" s="109"/>
      <c r="I158" s="109"/>
      <c r="K158" s="109"/>
      <c r="L158" s="109"/>
      <c r="M158" s="109">
        <v>0.2</v>
      </c>
      <c r="N158" s="109"/>
      <c r="O158" s="109"/>
      <c r="P158" s="55">
        <f t="shared" ref="P158:P164" si="24">P157+($P$165-$P$157)/8</f>
        <v>2.9260036796875002</v>
      </c>
    </row>
    <row r="159" spans="1:16" x14ac:dyDescent="0.15">
      <c r="A159" s="38">
        <f t="shared" si="21"/>
        <v>1805</v>
      </c>
      <c r="B159" s="109"/>
      <c r="C159" s="109"/>
      <c r="D159" s="109"/>
      <c r="E159" s="109"/>
      <c r="F159" s="109"/>
      <c r="G159" s="109"/>
      <c r="H159" s="109"/>
      <c r="I159" s="109"/>
      <c r="K159" s="109"/>
      <c r="L159" s="109"/>
      <c r="M159" s="109">
        <v>0.16666666666666666</v>
      </c>
      <c r="N159" s="109"/>
      <c r="O159" s="109"/>
      <c r="P159" s="55">
        <f t="shared" si="24"/>
        <v>2.782101859375</v>
      </c>
    </row>
    <row r="160" spans="1:16" x14ac:dyDescent="0.15">
      <c r="A160" s="38">
        <f t="shared" si="21"/>
        <v>1806</v>
      </c>
      <c r="B160" s="109"/>
      <c r="C160" s="109"/>
      <c r="D160" s="109"/>
      <c r="E160" s="109"/>
      <c r="F160" s="109"/>
      <c r="G160" s="109"/>
      <c r="H160" s="109"/>
      <c r="I160" s="109"/>
      <c r="K160" s="109"/>
      <c r="L160" s="109"/>
      <c r="M160" s="109">
        <v>0.2</v>
      </c>
      <c r="N160" s="109"/>
      <c r="O160" s="109"/>
      <c r="P160" s="55">
        <f t="shared" si="24"/>
        <v>2.6382000390624998</v>
      </c>
    </row>
    <row r="161" spans="1:16" x14ac:dyDescent="0.15">
      <c r="A161" s="38">
        <f t="shared" si="21"/>
        <v>1807</v>
      </c>
      <c r="B161" s="109"/>
      <c r="C161" s="109"/>
      <c r="D161" s="109"/>
      <c r="E161" s="109"/>
      <c r="F161" s="109"/>
      <c r="G161" s="109"/>
      <c r="H161" s="109"/>
      <c r="I161" s="109"/>
      <c r="K161" s="109"/>
      <c r="L161" s="109"/>
      <c r="M161" s="109">
        <v>0.1875</v>
      </c>
      <c r="N161" s="109"/>
      <c r="O161" s="109"/>
      <c r="P161" s="55">
        <f t="shared" si="24"/>
        <v>2.4942982187499996</v>
      </c>
    </row>
    <row r="162" spans="1:16" x14ac:dyDescent="0.15">
      <c r="A162" s="38">
        <f t="shared" si="21"/>
        <v>1808</v>
      </c>
      <c r="B162" s="109"/>
      <c r="C162" s="109"/>
      <c r="D162" s="109"/>
      <c r="E162" s="109"/>
      <c r="F162" s="109"/>
      <c r="G162" s="109"/>
      <c r="H162" s="109"/>
      <c r="I162" s="109"/>
      <c r="K162" s="109"/>
      <c r="L162" s="109"/>
      <c r="M162" s="109">
        <v>0.164583333333333</v>
      </c>
      <c r="N162" s="109"/>
      <c r="O162" s="109"/>
      <c r="P162" s="55">
        <f t="shared" si="24"/>
        <v>2.3503963984374994</v>
      </c>
    </row>
    <row r="163" spans="1:16" x14ac:dyDescent="0.15">
      <c r="A163" s="38">
        <f t="shared" si="21"/>
        <v>1809</v>
      </c>
      <c r="B163" s="109"/>
      <c r="C163" s="109"/>
      <c r="D163" s="109"/>
      <c r="E163" s="109"/>
      <c r="F163" s="109"/>
      <c r="G163" s="109"/>
      <c r="H163" s="109"/>
      <c r="I163" s="109"/>
      <c r="K163" s="109"/>
      <c r="L163" s="109"/>
      <c r="M163" s="109">
        <v>0.16666666666666699</v>
      </c>
      <c r="N163" s="109"/>
      <c r="O163" s="109"/>
      <c r="P163" s="55">
        <f t="shared" si="24"/>
        <v>2.2064945781249992</v>
      </c>
    </row>
    <row r="164" spans="1:16" x14ac:dyDescent="0.15">
      <c r="A164" s="38">
        <f t="shared" si="21"/>
        <v>1810</v>
      </c>
      <c r="B164" s="109"/>
      <c r="C164" s="109"/>
      <c r="D164" s="109"/>
      <c r="E164" s="109"/>
      <c r="F164" s="109"/>
      <c r="G164" s="109"/>
      <c r="H164" s="109"/>
      <c r="I164" s="109"/>
      <c r="K164" s="109"/>
      <c r="L164" s="109"/>
      <c r="M164" s="109">
        <v>0.15937499999999999</v>
      </c>
      <c r="N164" s="109"/>
      <c r="O164" s="109"/>
      <c r="P164" s="55">
        <f t="shared" si="24"/>
        <v>2.062592757812499</v>
      </c>
    </row>
    <row r="165" spans="1:16" x14ac:dyDescent="0.15">
      <c r="A165" s="38">
        <f t="shared" si="21"/>
        <v>1811</v>
      </c>
      <c r="B165" s="109"/>
      <c r="C165" s="109"/>
      <c r="D165" s="109"/>
      <c r="E165" s="109"/>
      <c r="F165" s="109"/>
      <c r="G165" s="109"/>
      <c r="H165" s="71">
        <v>7.8125E-3</v>
      </c>
      <c r="I165" s="71"/>
      <c r="K165" s="109"/>
      <c r="L165" s="109"/>
      <c r="M165" s="109">
        <v>0.139583333333333</v>
      </c>
      <c r="N165" s="109"/>
      <c r="O165" s="109">
        <f>H165*111.4*2.2046</f>
        <v>1.9186909375000003</v>
      </c>
      <c r="P165" s="109">
        <v>1.9186909375000003</v>
      </c>
    </row>
    <row r="166" spans="1:16" x14ac:dyDescent="0.15">
      <c r="A166" s="38">
        <f t="shared" si="21"/>
        <v>1812</v>
      </c>
      <c r="B166" s="109"/>
      <c r="C166" s="109"/>
      <c r="D166" s="109"/>
      <c r="E166" s="109"/>
      <c r="F166" s="109"/>
      <c r="G166" s="109"/>
      <c r="H166" s="71">
        <v>7.2916666666666668E-3</v>
      </c>
      <c r="I166" s="71"/>
      <c r="K166" s="109"/>
      <c r="L166" s="109"/>
      <c r="M166" s="109">
        <v>0.13645833333333299</v>
      </c>
      <c r="N166" s="109"/>
      <c r="O166" s="109">
        <f>H166*111.4*2.2046</f>
        <v>1.7907782083333337</v>
      </c>
      <c r="P166" s="109">
        <v>1.7907782083333337</v>
      </c>
    </row>
    <row r="167" spans="1:16" x14ac:dyDescent="0.15">
      <c r="A167" s="38">
        <f t="shared" si="21"/>
        <v>1813</v>
      </c>
      <c r="B167" s="109"/>
      <c r="C167" s="109"/>
      <c r="D167" s="109"/>
      <c r="E167" s="109"/>
      <c r="F167" s="109"/>
      <c r="G167" s="109"/>
      <c r="H167" s="109"/>
      <c r="I167" s="109"/>
      <c r="K167" s="109"/>
      <c r="L167" s="109"/>
      <c r="M167" s="109">
        <v>0.126041666666667</v>
      </c>
      <c r="N167" s="109"/>
      <c r="O167" s="109"/>
      <c r="P167" s="55">
        <f>P166+($P$171-$P$166)/5</f>
        <v>1.801277488252315</v>
      </c>
    </row>
    <row r="168" spans="1:16" x14ac:dyDescent="0.15">
      <c r="A168" s="38">
        <f t="shared" si="21"/>
        <v>1814</v>
      </c>
      <c r="B168" s="109"/>
      <c r="C168" s="109"/>
      <c r="D168" s="109"/>
      <c r="E168" s="109"/>
      <c r="F168" s="109"/>
      <c r="G168" s="109"/>
      <c r="H168" s="109"/>
      <c r="I168" s="109"/>
      <c r="K168" s="109"/>
      <c r="L168" s="109"/>
      <c r="M168" s="109">
        <v>0.113541666666667</v>
      </c>
      <c r="N168" s="109"/>
      <c r="O168" s="109"/>
      <c r="P168" s="55">
        <f>P167+($P$171-$P$166)/5</f>
        <v>1.8117767681712964</v>
      </c>
    </row>
    <row r="169" spans="1:16" x14ac:dyDescent="0.15">
      <c r="A169" s="38">
        <f t="shared" si="21"/>
        <v>1815</v>
      </c>
      <c r="B169" s="109"/>
      <c r="C169" s="109"/>
      <c r="D169" s="109"/>
      <c r="E169" s="109"/>
      <c r="F169" s="109"/>
      <c r="G169" s="109"/>
      <c r="H169" s="109"/>
      <c r="I169" s="109"/>
      <c r="K169" s="109"/>
      <c r="L169" s="109"/>
      <c r="M169" s="109">
        <v>0.1125</v>
      </c>
      <c r="N169" s="109"/>
      <c r="O169" s="109"/>
      <c r="P169" s="55">
        <f>P168+($P$171-$P$166)/5</f>
        <v>1.8222760480902778</v>
      </c>
    </row>
    <row r="170" spans="1:16" x14ac:dyDescent="0.15">
      <c r="A170" s="38">
        <f t="shared" si="21"/>
        <v>1816</v>
      </c>
      <c r="B170" s="109"/>
      <c r="C170" s="109"/>
      <c r="D170" s="109"/>
      <c r="E170" s="109"/>
      <c r="F170" s="109"/>
      <c r="G170" s="109"/>
      <c r="H170" s="109"/>
      <c r="I170" s="109"/>
      <c r="K170" s="109"/>
      <c r="L170" s="109"/>
      <c r="M170" s="109">
        <v>0.104166666666667</v>
      </c>
      <c r="N170" s="109"/>
      <c r="O170" s="109"/>
      <c r="P170" s="55">
        <f>P169+($P$171-$P$166)/5</f>
        <v>1.8327753280092591</v>
      </c>
    </row>
    <row r="171" spans="1:16" x14ac:dyDescent="0.15">
      <c r="A171" s="38">
        <f t="shared" si="21"/>
        <v>1817</v>
      </c>
      <c r="B171" s="109"/>
      <c r="C171" s="109"/>
      <c r="D171" s="109"/>
      <c r="E171" s="109"/>
      <c r="F171" s="109">
        <v>9.0277777777777776E-2</v>
      </c>
      <c r="G171" s="109"/>
      <c r="H171" s="109"/>
      <c r="I171" s="109"/>
      <c r="K171" s="109"/>
      <c r="L171" s="109">
        <f>F171</f>
        <v>9.0277777777777776E-2</v>
      </c>
      <c r="M171" s="109">
        <v>8.8541666666666671E-2</v>
      </c>
      <c r="N171" s="109"/>
      <c r="O171" s="109">
        <f>M171*L171*104.6*2.2046</f>
        <v>1.8432746079282407</v>
      </c>
      <c r="P171" s="109">
        <v>1.8432746079282407</v>
      </c>
    </row>
    <row r="172" spans="1:16" x14ac:dyDescent="0.15">
      <c r="A172" s="38">
        <f t="shared" si="21"/>
        <v>1818</v>
      </c>
      <c r="B172" s="109"/>
      <c r="C172" s="109"/>
      <c r="D172" s="109"/>
      <c r="E172" s="109"/>
      <c r="F172" s="109"/>
      <c r="G172" s="109"/>
      <c r="H172" s="109"/>
      <c r="I172" s="109"/>
      <c r="K172" s="109"/>
      <c r="L172" s="109"/>
      <c r="M172" s="109">
        <v>8.7499999999999994E-2</v>
      </c>
      <c r="N172" s="109"/>
      <c r="O172" s="109"/>
      <c r="P172" s="55">
        <f>P171+($P$173-$P$171)/2</f>
        <v>2.1835714586226844</v>
      </c>
    </row>
    <row r="173" spans="1:16" x14ac:dyDescent="0.15">
      <c r="A173" s="38">
        <f t="shared" si="21"/>
        <v>1819</v>
      </c>
      <c r="B173" s="109"/>
      <c r="C173" s="109"/>
      <c r="D173" s="109"/>
      <c r="E173" s="109"/>
      <c r="F173" s="109">
        <v>0.11805555555555554</v>
      </c>
      <c r="G173" s="109"/>
      <c r="H173" s="109"/>
      <c r="I173" s="109"/>
      <c r="K173" s="109"/>
      <c r="L173" s="109">
        <f>F173</f>
        <v>0.11805555555555554</v>
      </c>
      <c r="M173" s="109">
        <v>9.2708333333333295E-2</v>
      </c>
      <c r="N173" s="109"/>
      <c r="O173" s="109">
        <f>M173*L173*104.6*2.2046</f>
        <v>2.5238683093171281</v>
      </c>
      <c r="P173" s="109">
        <v>2.5238683093171281</v>
      </c>
    </row>
    <row r="174" spans="1:16" x14ac:dyDescent="0.15">
      <c r="A174" s="38">
        <f t="shared" si="21"/>
        <v>1820</v>
      </c>
      <c r="B174" s="109"/>
      <c r="C174" s="109"/>
      <c r="D174" s="109"/>
      <c r="E174" s="109"/>
      <c r="F174" s="109"/>
      <c r="G174" s="109"/>
      <c r="H174" s="109">
        <v>0.25</v>
      </c>
      <c r="I174" s="109"/>
      <c r="K174" s="109"/>
      <c r="L174" s="109">
        <f>H174</f>
        <v>0.25</v>
      </c>
      <c r="M174" s="109">
        <v>8.7499999999999994E-2</v>
      </c>
      <c r="N174" s="109"/>
      <c r="O174" s="109">
        <f>M174*L174*104.6*2.2046</f>
        <v>5.0444003749999995</v>
      </c>
      <c r="P174" s="109">
        <v>5.0444003749999995</v>
      </c>
    </row>
    <row r="175" spans="1:16" x14ac:dyDescent="0.15">
      <c r="A175" s="38">
        <f t="shared" si="21"/>
        <v>1821</v>
      </c>
      <c r="B175" s="109"/>
      <c r="C175" s="109"/>
      <c r="D175" s="109"/>
      <c r="E175" s="109"/>
      <c r="F175" s="109"/>
      <c r="G175" s="109"/>
      <c r="H175" s="109"/>
      <c r="I175" s="109"/>
      <c r="K175" s="109"/>
      <c r="L175" s="109"/>
      <c r="M175" s="109">
        <v>8.3333333333333301E-2</v>
      </c>
      <c r="N175" s="109"/>
      <c r="O175" s="41"/>
      <c r="P175" s="55">
        <f>P174+($P$177-$P$174)/3</f>
        <v>4.1761429691840277</v>
      </c>
    </row>
    <row r="176" spans="1:16" x14ac:dyDescent="0.15">
      <c r="A176" s="38">
        <f t="shared" si="21"/>
        <v>1822</v>
      </c>
      <c r="B176" s="109"/>
      <c r="C176" s="109"/>
      <c r="D176" s="109"/>
      <c r="E176" s="109"/>
      <c r="F176" s="109"/>
      <c r="G176" s="109"/>
      <c r="H176" s="109"/>
      <c r="I176" s="109"/>
      <c r="K176" s="109"/>
      <c r="L176" s="109"/>
      <c r="M176" s="109">
        <v>7.1874999999999994E-2</v>
      </c>
      <c r="N176" s="109"/>
      <c r="O176" s="41"/>
      <c r="P176" s="55">
        <f>P175+($P$177-$P$174)/3</f>
        <v>3.3078855633680555</v>
      </c>
    </row>
    <row r="177" spans="1:16" x14ac:dyDescent="0.15">
      <c r="A177" s="38">
        <f t="shared" si="21"/>
        <v>1823</v>
      </c>
      <c r="B177" s="109"/>
      <c r="C177" s="109"/>
      <c r="D177" s="109"/>
      <c r="E177" s="109"/>
      <c r="F177" s="109">
        <v>0.13541666666666666</v>
      </c>
      <c r="G177" s="109"/>
      <c r="H177" s="109"/>
      <c r="I177" s="109"/>
      <c r="K177" s="109"/>
      <c r="L177" s="109">
        <f>F177</f>
        <v>0.13541666666666666</v>
      </c>
      <c r="M177" s="109">
        <v>7.8125E-2</v>
      </c>
      <c r="N177" s="109"/>
      <c r="O177" s="41">
        <f>M177*L177*104.6*2.2046</f>
        <v>2.4396281575520833</v>
      </c>
      <c r="P177" s="109">
        <v>2.4396281575520833</v>
      </c>
    </row>
    <row r="178" spans="1:16" x14ac:dyDescent="0.15">
      <c r="A178" s="38">
        <f t="shared" si="21"/>
        <v>1824</v>
      </c>
      <c r="B178" s="109"/>
      <c r="C178" s="109"/>
      <c r="D178" s="109"/>
      <c r="E178" s="109"/>
      <c r="F178" s="109"/>
      <c r="G178" s="109"/>
      <c r="H178" s="109"/>
      <c r="I178" s="109"/>
      <c r="K178" s="109"/>
      <c r="L178" s="109"/>
      <c r="M178" s="109">
        <v>7.2916666666666699E-2</v>
      </c>
      <c r="N178" s="109"/>
      <c r="O178" s="41"/>
      <c r="P178" s="55">
        <f t="shared" ref="P178:P186" si="25">P177+($P$187-$P$177)/10</f>
        <v>2.3980801411736059</v>
      </c>
    </row>
    <row r="179" spans="1:16" x14ac:dyDescent="0.15">
      <c r="A179" s="38">
        <f t="shared" si="21"/>
        <v>1825</v>
      </c>
      <c r="B179" s="109"/>
      <c r="C179" s="109"/>
      <c r="D179" s="109"/>
      <c r="E179" s="109"/>
      <c r="F179" s="109"/>
      <c r="G179" s="109"/>
      <c r="H179" s="109"/>
      <c r="I179" s="109"/>
      <c r="K179" s="109"/>
      <c r="L179" s="109"/>
      <c r="M179" s="109">
        <v>7.4999999999999997E-2</v>
      </c>
      <c r="N179" s="109"/>
      <c r="O179" s="41"/>
      <c r="P179" s="55">
        <f t="shared" si="25"/>
        <v>2.3565321247951285</v>
      </c>
    </row>
    <row r="180" spans="1:16" x14ac:dyDescent="0.15">
      <c r="A180" s="38">
        <f t="shared" si="21"/>
        <v>1826</v>
      </c>
      <c r="B180" s="109"/>
      <c r="C180" s="109"/>
      <c r="D180" s="109"/>
      <c r="E180" s="109"/>
      <c r="F180" s="109"/>
      <c r="G180" s="109"/>
      <c r="H180" s="109"/>
      <c r="I180" s="109"/>
      <c r="K180" s="109"/>
      <c r="L180" s="109"/>
      <c r="M180" s="109">
        <v>7.5000000000000011E-2</v>
      </c>
      <c r="N180" s="109"/>
      <c r="O180" s="41"/>
      <c r="P180" s="55">
        <f t="shared" si="25"/>
        <v>2.3149841084166511</v>
      </c>
    </row>
    <row r="181" spans="1:16" x14ac:dyDescent="0.15">
      <c r="A181" s="38">
        <f t="shared" si="21"/>
        <v>1827</v>
      </c>
      <c r="B181" s="109"/>
      <c r="C181" s="109"/>
      <c r="D181" s="109"/>
      <c r="E181" s="109"/>
      <c r="F181" s="109"/>
      <c r="G181" s="109"/>
      <c r="H181" s="109"/>
      <c r="I181" s="109"/>
      <c r="K181" s="109"/>
      <c r="L181" s="109"/>
      <c r="M181" s="109">
        <v>7.5000000000000011E-2</v>
      </c>
      <c r="N181" s="109"/>
      <c r="O181" s="41"/>
      <c r="P181" s="55">
        <f t="shared" si="25"/>
        <v>2.2734360920381738</v>
      </c>
    </row>
    <row r="182" spans="1:16" x14ac:dyDescent="0.15">
      <c r="A182" s="38">
        <f t="shared" si="21"/>
        <v>1828</v>
      </c>
      <c r="B182" s="109"/>
      <c r="C182" s="109"/>
      <c r="D182" s="109"/>
      <c r="E182" s="109"/>
      <c r="F182" s="109"/>
      <c r="G182" s="109"/>
      <c r="H182" s="109"/>
      <c r="I182" s="109"/>
      <c r="K182" s="109"/>
      <c r="L182" s="109"/>
      <c r="M182" s="109"/>
      <c r="N182" s="109"/>
      <c r="O182" s="41"/>
      <c r="P182" s="55">
        <f t="shared" si="25"/>
        <v>2.2318880756596964</v>
      </c>
    </row>
    <row r="183" spans="1:16" x14ac:dyDescent="0.15">
      <c r="A183" s="38">
        <f t="shared" si="21"/>
        <v>1829</v>
      </c>
      <c r="B183" s="109"/>
      <c r="C183" s="109"/>
      <c r="D183" s="109"/>
      <c r="E183" s="109"/>
      <c r="F183" s="109"/>
      <c r="G183" s="109"/>
      <c r="H183" s="109"/>
      <c r="I183" s="109"/>
      <c r="K183" s="109"/>
      <c r="L183" s="109"/>
      <c r="M183" s="109"/>
      <c r="N183" s="109"/>
      <c r="O183" s="41"/>
      <c r="P183" s="55">
        <f t="shared" si="25"/>
        <v>2.190340059281219</v>
      </c>
    </row>
    <row r="184" spans="1:16" x14ac:dyDescent="0.15">
      <c r="A184" s="38">
        <f t="shared" si="21"/>
        <v>1830</v>
      </c>
      <c r="B184" s="109"/>
      <c r="C184" s="109"/>
      <c r="D184" s="109"/>
      <c r="E184" s="109"/>
      <c r="F184" s="109"/>
      <c r="G184" s="109"/>
      <c r="H184" s="109"/>
      <c r="I184" s="109"/>
      <c r="K184" s="109"/>
      <c r="L184" s="109"/>
      <c r="M184" s="109"/>
      <c r="N184" s="109"/>
      <c r="O184" s="41"/>
      <c r="P184" s="55">
        <f t="shared" si="25"/>
        <v>2.1487920429027416</v>
      </c>
    </row>
    <row r="185" spans="1:16" x14ac:dyDescent="0.15">
      <c r="A185" s="38">
        <f t="shared" si="21"/>
        <v>1831</v>
      </c>
      <c r="B185" s="109"/>
      <c r="C185" s="109"/>
      <c r="D185" s="109"/>
      <c r="E185" s="109"/>
      <c r="F185" s="109"/>
      <c r="G185" s="109"/>
      <c r="H185" s="109"/>
      <c r="I185" s="109"/>
      <c r="K185" s="109"/>
      <c r="L185" s="109"/>
      <c r="M185" s="109"/>
      <c r="N185" s="109"/>
      <c r="O185" s="41"/>
      <c r="P185" s="55">
        <f t="shared" si="25"/>
        <v>2.1072440265242642</v>
      </c>
    </row>
    <row r="186" spans="1:16" x14ac:dyDescent="0.15">
      <c r="A186" s="38">
        <f t="shared" si="21"/>
        <v>1832</v>
      </c>
      <c r="B186" s="109"/>
      <c r="C186" s="109"/>
      <c r="D186" s="109"/>
      <c r="E186" s="109"/>
      <c r="F186" s="109"/>
      <c r="G186" s="109"/>
      <c r="H186" s="109"/>
      <c r="I186" s="109"/>
      <c r="K186" s="109"/>
      <c r="L186" s="109"/>
      <c r="M186" s="109"/>
      <c r="N186" s="109"/>
      <c r="O186" s="41"/>
      <c r="P186" s="55">
        <f t="shared" si="25"/>
        <v>2.0656960101457869</v>
      </c>
    </row>
    <row r="187" spans="1:16" x14ac:dyDescent="0.15">
      <c r="A187" s="38">
        <f t="shared" si="21"/>
        <v>1833</v>
      </c>
      <c r="B187" s="109"/>
      <c r="C187" s="109"/>
      <c r="D187" s="109"/>
      <c r="E187" s="109"/>
      <c r="F187" s="109"/>
      <c r="G187" s="109"/>
      <c r="H187" s="109"/>
      <c r="I187" s="41">
        <v>2.0241479937673099</v>
      </c>
      <c r="K187" s="109"/>
      <c r="L187" s="109"/>
      <c r="M187" s="109"/>
      <c r="N187" s="109"/>
      <c r="O187" s="41">
        <v>2.0241479937673099</v>
      </c>
      <c r="P187" s="109">
        <v>2.0241479937673099</v>
      </c>
    </row>
    <row r="188" spans="1:16" x14ac:dyDescent="0.15">
      <c r="A188" s="38">
        <f t="shared" si="21"/>
        <v>1834</v>
      </c>
      <c r="B188" s="109"/>
      <c r="C188" s="109"/>
      <c r="D188" s="109"/>
      <c r="E188" s="109"/>
      <c r="F188" s="109"/>
      <c r="G188" s="109"/>
      <c r="H188" s="109"/>
      <c r="I188" s="109"/>
      <c r="K188" s="109"/>
      <c r="L188" s="109"/>
      <c r="M188" s="109"/>
      <c r="N188" s="109"/>
      <c r="O188" s="109"/>
      <c r="P188" s="55">
        <f>P187+($P$191-$P$187)/4</f>
        <v>2.5990539328254822</v>
      </c>
    </row>
    <row r="189" spans="1:16" x14ac:dyDescent="0.15">
      <c r="A189" s="38">
        <f t="shared" si="21"/>
        <v>1835</v>
      </c>
      <c r="B189" s="109"/>
      <c r="C189" s="109"/>
      <c r="D189" s="109"/>
      <c r="E189" s="109"/>
      <c r="F189" s="109"/>
      <c r="G189" s="109"/>
      <c r="H189" s="109"/>
      <c r="I189" s="109"/>
      <c r="K189" s="109"/>
      <c r="L189" s="109"/>
      <c r="M189" s="109"/>
      <c r="N189" s="109"/>
      <c r="O189" s="109"/>
      <c r="P189" s="55">
        <f>P188+($P$191-$P$187)/4</f>
        <v>3.1739598718836546</v>
      </c>
    </row>
    <row r="190" spans="1:16" x14ac:dyDescent="0.15">
      <c r="A190" s="38">
        <f t="shared" si="21"/>
        <v>1836</v>
      </c>
      <c r="B190" s="109"/>
      <c r="C190" s="109"/>
      <c r="D190" s="109"/>
      <c r="E190" s="109"/>
      <c r="F190" s="109"/>
      <c r="G190" s="109"/>
      <c r="H190" s="109"/>
      <c r="I190" s="109"/>
      <c r="K190" s="109"/>
      <c r="L190" s="109"/>
      <c r="M190" s="109"/>
      <c r="N190" s="109"/>
      <c r="O190" s="109"/>
      <c r="P190" s="55">
        <f>P189+($P$191-$P$187)/4</f>
        <v>3.7488658109418269</v>
      </c>
    </row>
    <row r="191" spans="1:16" x14ac:dyDescent="0.15">
      <c r="A191" s="38">
        <f t="shared" si="21"/>
        <v>1837</v>
      </c>
      <c r="B191" s="109"/>
      <c r="C191" s="109"/>
      <c r="D191" s="109"/>
      <c r="E191" s="109"/>
      <c r="F191" s="109"/>
      <c r="G191" s="109"/>
      <c r="H191" s="109"/>
      <c r="I191" s="41">
        <v>4.3237717499999997</v>
      </c>
      <c r="K191" s="109"/>
      <c r="L191" s="109"/>
      <c r="M191" s="109"/>
      <c r="N191" s="109"/>
      <c r="O191" s="41">
        <v>4.3237717499999997</v>
      </c>
      <c r="P191" s="109">
        <v>4.3237717499999997</v>
      </c>
    </row>
    <row r="192" spans="1:16" x14ac:dyDescent="0.15">
      <c r="A192" s="38">
        <f t="shared" si="21"/>
        <v>1838</v>
      </c>
      <c r="B192" s="109"/>
      <c r="C192" s="109"/>
      <c r="D192" s="109"/>
      <c r="E192" s="109"/>
      <c r="F192" s="109"/>
      <c r="G192" s="109"/>
      <c r="H192" s="109"/>
      <c r="I192" s="41">
        <v>5.0444003749999995</v>
      </c>
      <c r="K192" s="109"/>
      <c r="L192" s="109"/>
      <c r="M192" s="109"/>
      <c r="N192" s="109"/>
      <c r="O192" s="41">
        <v>5.0444003749999995</v>
      </c>
      <c r="P192" s="109">
        <v>5.0444003749999995</v>
      </c>
    </row>
    <row r="193" spans="1:16" x14ac:dyDescent="0.15">
      <c r="A193" s="38">
        <f t="shared" si="21"/>
        <v>1839</v>
      </c>
      <c r="B193" s="109"/>
      <c r="C193" s="109"/>
      <c r="D193" s="109"/>
      <c r="E193" s="109"/>
      <c r="F193" s="109"/>
      <c r="G193" s="109"/>
      <c r="H193" s="109"/>
      <c r="I193" s="41">
        <v>5.7650290000000011</v>
      </c>
      <c r="K193" s="109"/>
      <c r="L193" s="109"/>
      <c r="M193" s="109"/>
      <c r="N193" s="109"/>
      <c r="O193" s="41">
        <v>5.7650290000000011</v>
      </c>
      <c r="P193" s="109">
        <v>5.7650290000000011</v>
      </c>
    </row>
    <row r="194" spans="1:16" x14ac:dyDescent="0.15">
      <c r="A194" s="38">
        <f t="shared" si="21"/>
        <v>1840</v>
      </c>
      <c r="B194" s="109"/>
      <c r="C194" s="109"/>
      <c r="D194" s="109"/>
      <c r="E194" s="109"/>
      <c r="F194" s="109"/>
      <c r="G194" s="109"/>
      <c r="H194" s="109"/>
      <c r="I194" s="41">
        <v>5.0444003749999995</v>
      </c>
      <c r="K194" s="109"/>
      <c r="L194" s="109"/>
      <c r="M194" s="109"/>
      <c r="N194" s="109"/>
      <c r="O194" s="41">
        <v>5.0444003749999995</v>
      </c>
      <c r="P194" s="109">
        <v>5.0444003749999995</v>
      </c>
    </row>
    <row r="195" spans="1:16" x14ac:dyDescent="0.15">
      <c r="A195" s="38">
        <f t="shared" si="21"/>
        <v>1841</v>
      </c>
      <c r="B195" s="109"/>
      <c r="C195" s="109"/>
      <c r="D195" s="109"/>
      <c r="E195" s="109"/>
      <c r="F195" s="109"/>
      <c r="G195" s="109"/>
      <c r="H195" s="109"/>
      <c r="I195" s="41">
        <v>3.3629335833333336</v>
      </c>
      <c r="K195" s="109"/>
      <c r="L195" s="109"/>
      <c r="M195" s="109"/>
      <c r="N195" s="109"/>
      <c r="O195" s="41">
        <v>3.3629335833333336</v>
      </c>
      <c r="P195" s="109">
        <v>3.3629335833333336</v>
      </c>
    </row>
    <row r="196" spans="1:16" x14ac:dyDescent="0.15">
      <c r="A196" s="38">
        <f t="shared" si="21"/>
        <v>1842</v>
      </c>
      <c r="B196" s="109"/>
      <c r="C196" s="109"/>
      <c r="D196" s="109"/>
      <c r="E196" s="109"/>
      <c r="F196" s="109"/>
      <c r="G196" s="109"/>
      <c r="H196" s="109"/>
      <c r="I196" s="41">
        <v>2.8825145000000005</v>
      </c>
      <c r="K196" s="109"/>
      <c r="L196" s="109"/>
      <c r="M196" s="109"/>
      <c r="N196" s="109"/>
      <c r="O196" s="41">
        <v>2.8825145000000005</v>
      </c>
      <c r="P196" s="109">
        <v>2.8825145000000005</v>
      </c>
    </row>
    <row r="197" spans="1:16" x14ac:dyDescent="0.15">
      <c r="A197" s="38">
        <f t="shared" si="21"/>
        <v>1843</v>
      </c>
      <c r="B197" s="109"/>
      <c r="C197" s="109"/>
      <c r="D197" s="109"/>
      <c r="E197" s="109"/>
      <c r="F197" s="109"/>
      <c r="G197" s="109"/>
      <c r="H197" s="109"/>
      <c r="I197" s="41">
        <v>2.8825145000000005</v>
      </c>
      <c r="K197" s="109"/>
      <c r="L197" s="109"/>
      <c r="M197" s="109"/>
      <c r="N197" s="109"/>
      <c r="O197" s="41">
        <v>2.8825145000000005</v>
      </c>
      <c r="P197" s="109">
        <v>2.8825145000000005</v>
      </c>
    </row>
    <row r="198" spans="1:16" x14ac:dyDescent="0.15">
      <c r="A198" s="38">
        <f t="shared" si="21"/>
        <v>1844</v>
      </c>
      <c r="B198" s="109"/>
      <c r="C198" s="109"/>
      <c r="D198" s="109"/>
      <c r="E198" s="109"/>
      <c r="F198" s="109"/>
      <c r="G198" s="109"/>
      <c r="H198" s="109"/>
      <c r="I198" s="41">
        <v>2.8825145000000005</v>
      </c>
      <c r="K198" s="109"/>
      <c r="L198" s="109"/>
      <c r="M198" s="109"/>
      <c r="N198" s="109"/>
      <c r="O198" s="41">
        <v>2.8825145000000005</v>
      </c>
      <c r="P198" s="109">
        <v>2.8825145000000005</v>
      </c>
    </row>
    <row r="199" spans="1:16" x14ac:dyDescent="0.15">
      <c r="A199" s="38">
        <f t="shared" si="21"/>
        <v>1845</v>
      </c>
      <c r="B199" s="109"/>
      <c r="C199" s="109"/>
      <c r="D199" s="109"/>
      <c r="E199" s="109"/>
      <c r="F199" s="109"/>
      <c r="G199" s="109"/>
      <c r="H199" s="109"/>
      <c r="I199" s="41">
        <v>3.8433526666666666</v>
      </c>
      <c r="K199" s="109"/>
      <c r="L199" s="109"/>
      <c r="M199" s="109"/>
      <c r="N199" s="109"/>
      <c r="O199" s="41">
        <v>3.8433526666666666</v>
      </c>
      <c r="P199" s="109">
        <v>3.8433526666666666</v>
      </c>
    </row>
    <row r="200" spans="1:16" x14ac:dyDescent="0.15">
      <c r="A200" s="38">
        <f t="shared" si="21"/>
        <v>1846</v>
      </c>
      <c r="B200" s="109"/>
      <c r="C200" s="109"/>
      <c r="D200" s="109"/>
      <c r="E200" s="109"/>
      <c r="F200" s="109"/>
      <c r="G200" s="109"/>
      <c r="H200" s="109"/>
      <c r="I200" s="41"/>
      <c r="K200" s="109"/>
      <c r="L200" s="109"/>
      <c r="M200" s="109"/>
      <c r="N200" s="109"/>
      <c r="O200" s="41"/>
      <c r="P200" s="55">
        <f>P199+($P$204-$P$199)/5</f>
        <v>3.4590174</v>
      </c>
    </row>
    <row r="201" spans="1:16" x14ac:dyDescent="0.15">
      <c r="A201" s="38">
        <f t="shared" si="21"/>
        <v>1847</v>
      </c>
      <c r="B201" s="109"/>
      <c r="C201" s="109"/>
      <c r="D201" s="109"/>
      <c r="E201" s="109"/>
      <c r="F201" s="109"/>
      <c r="G201" s="109"/>
      <c r="H201" s="109"/>
      <c r="I201" s="41"/>
      <c r="K201" s="109"/>
      <c r="L201" s="109"/>
      <c r="M201" s="109"/>
      <c r="N201" s="109"/>
      <c r="O201" s="41"/>
      <c r="P201" s="55">
        <f>P200+($P$204-$P$199)/5</f>
        <v>3.0746821333333334</v>
      </c>
    </row>
    <row r="202" spans="1:16" x14ac:dyDescent="0.15">
      <c r="A202" s="38">
        <f t="shared" si="21"/>
        <v>1848</v>
      </c>
      <c r="B202" s="109"/>
      <c r="C202" s="109"/>
      <c r="D202" s="109"/>
      <c r="E202" s="109"/>
      <c r="F202" s="109"/>
      <c r="G202" s="109"/>
      <c r="H202" s="109"/>
      <c r="I202" s="41"/>
      <c r="K202" s="109"/>
      <c r="L202" s="109"/>
      <c r="M202" s="109"/>
      <c r="N202" s="109"/>
      <c r="O202" s="41"/>
      <c r="P202" s="55">
        <f>P201+($P$204-$P$199)/5</f>
        <v>2.6903468666666668</v>
      </c>
    </row>
    <row r="203" spans="1:16" x14ac:dyDescent="0.15">
      <c r="A203" s="38">
        <f t="shared" si="21"/>
        <v>1849</v>
      </c>
      <c r="B203" s="109"/>
      <c r="C203" s="109"/>
      <c r="D203" s="109"/>
      <c r="E203" s="109"/>
      <c r="F203" s="109"/>
      <c r="G203" s="109"/>
      <c r="H203" s="109"/>
      <c r="I203" s="41"/>
      <c r="K203" s="109"/>
      <c r="L203" s="109"/>
      <c r="M203" s="109"/>
      <c r="N203" s="109"/>
      <c r="O203" s="41"/>
      <c r="P203" s="55">
        <f>P202+($P$204-$P$199)/5</f>
        <v>2.3060116000000002</v>
      </c>
    </row>
    <row r="204" spans="1:16" x14ac:dyDescent="0.15">
      <c r="A204" s="38">
        <f t="shared" si="21"/>
        <v>1850</v>
      </c>
      <c r="B204" s="109"/>
      <c r="C204" s="109"/>
      <c r="D204" s="109"/>
      <c r="E204" s="109"/>
      <c r="F204" s="109"/>
      <c r="G204" s="109"/>
      <c r="H204" s="109"/>
      <c r="I204" s="41">
        <v>1.9216763333333333</v>
      </c>
      <c r="K204" s="109"/>
      <c r="L204" s="109"/>
      <c r="M204" s="109"/>
      <c r="N204" s="109"/>
      <c r="O204" s="41">
        <v>1.9216763333333333</v>
      </c>
      <c r="P204" s="109">
        <v>1.9216763333333333</v>
      </c>
    </row>
    <row r="205" spans="1:16" x14ac:dyDescent="0.15">
      <c r="A205" s="38">
        <f t="shared" si="21"/>
        <v>1851</v>
      </c>
      <c r="B205" s="109"/>
      <c r="C205" s="109"/>
      <c r="D205" s="109"/>
      <c r="E205" s="109"/>
      <c r="F205" s="109"/>
      <c r="G205" s="109"/>
      <c r="H205" s="109"/>
      <c r="I205" s="41">
        <v>1.8928511883333334</v>
      </c>
      <c r="K205" s="109"/>
      <c r="L205" s="109"/>
      <c r="M205" s="109"/>
      <c r="N205" s="109"/>
      <c r="O205" s="41">
        <v>1.8928511883333334</v>
      </c>
      <c r="P205" s="109">
        <v>1.8928511883333334</v>
      </c>
    </row>
    <row r="206" spans="1:16" x14ac:dyDescent="0.15">
      <c r="A206" s="38">
        <f t="shared" si="21"/>
        <v>1852</v>
      </c>
      <c r="B206" s="109"/>
      <c r="C206" s="109"/>
      <c r="D206" s="109"/>
      <c r="E206" s="109"/>
      <c r="F206" s="109"/>
      <c r="G206" s="109"/>
      <c r="H206" s="109"/>
      <c r="I206" s="41"/>
      <c r="K206" s="109"/>
      <c r="L206" s="109"/>
      <c r="M206" s="109"/>
      <c r="N206" s="109"/>
      <c r="O206" s="41"/>
      <c r="P206" s="55">
        <f>P205+($P$208-$P$205)/3</f>
        <v>2.3028088061111114</v>
      </c>
    </row>
    <row r="207" spans="1:16" x14ac:dyDescent="0.15">
      <c r="A207" s="38">
        <f t="shared" si="21"/>
        <v>1853</v>
      </c>
      <c r="B207" s="109"/>
      <c r="C207" s="109"/>
      <c r="D207" s="109"/>
      <c r="E207" s="109"/>
      <c r="F207" s="109"/>
      <c r="G207" s="109"/>
      <c r="H207" s="109"/>
      <c r="I207" s="41"/>
      <c r="K207" s="109"/>
      <c r="L207" s="109"/>
      <c r="M207" s="109"/>
      <c r="N207" s="109"/>
      <c r="O207" s="41"/>
      <c r="P207" s="55">
        <f>P206+($P$208-$P$205)/3</f>
        <v>2.7127664238888891</v>
      </c>
    </row>
    <row r="208" spans="1:16" x14ac:dyDescent="0.15">
      <c r="A208" s="38">
        <f t="shared" si="21"/>
        <v>1854</v>
      </c>
      <c r="B208" s="109"/>
      <c r="C208" s="109"/>
      <c r="D208" s="109"/>
      <c r="E208" s="109"/>
      <c r="F208" s="109"/>
      <c r="G208" s="109"/>
      <c r="H208" s="109"/>
      <c r="I208" s="41">
        <v>3.1227240416666668</v>
      </c>
      <c r="K208" s="109"/>
      <c r="L208" s="109"/>
      <c r="M208" s="109"/>
      <c r="N208" s="109"/>
      <c r="O208" s="41">
        <v>3.1227240416666668</v>
      </c>
      <c r="P208" s="109">
        <v>3.1227240416666668</v>
      </c>
    </row>
    <row r="209" spans="1:16" x14ac:dyDescent="0.15">
      <c r="A209" s="38">
        <f t="shared" si="21"/>
        <v>1855</v>
      </c>
      <c r="B209" s="109"/>
      <c r="C209" s="109"/>
      <c r="D209" s="109"/>
      <c r="E209" s="109"/>
      <c r="F209" s="109"/>
      <c r="G209" s="109"/>
      <c r="H209" s="109"/>
      <c r="I209" s="41">
        <v>2.8825145000000005</v>
      </c>
      <c r="K209" s="109"/>
      <c r="L209" s="109"/>
      <c r="M209" s="109"/>
      <c r="N209" s="109"/>
      <c r="O209" s="41">
        <v>2.8825145000000005</v>
      </c>
      <c r="P209" s="109">
        <v>2.8825145000000005</v>
      </c>
    </row>
    <row r="210" spans="1:16" x14ac:dyDescent="0.15">
      <c r="A210" s="38">
        <f t="shared" si="21"/>
        <v>1856</v>
      </c>
      <c r="B210" s="109"/>
      <c r="C210" s="109"/>
      <c r="D210" s="109"/>
      <c r="E210" s="109"/>
      <c r="F210" s="109"/>
      <c r="G210" s="109"/>
      <c r="H210" s="109"/>
      <c r="I210" s="41">
        <v>3.1227240416666668</v>
      </c>
      <c r="K210" s="109"/>
      <c r="L210" s="109"/>
      <c r="M210" s="109"/>
      <c r="N210" s="109"/>
      <c r="O210" s="41">
        <v>3.1227240416666668</v>
      </c>
      <c r="P210" s="109">
        <v>3.1227240416666668</v>
      </c>
    </row>
    <row r="211" spans="1:16" x14ac:dyDescent="0.15">
      <c r="A211" s="38">
        <f t="shared" si="21"/>
        <v>1857</v>
      </c>
      <c r="B211" s="109"/>
      <c r="C211" s="109"/>
      <c r="D211" s="109"/>
      <c r="E211" s="109"/>
      <c r="F211" s="109"/>
      <c r="G211" s="109"/>
      <c r="H211" s="109"/>
      <c r="I211" s="41">
        <v>3.3629335833333336</v>
      </c>
      <c r="K211" s="109"/>
      <c r="L211" s="109"/>
      <c r="M211" s="109"/>
      <c r="N211" s="109"/>
      <c r="O211" s="41">
        <v>3.3629335833333336</v>
      </c>
      <c r="P211" s="109">
        <v>3.3629335833333336</v>
      </c>
    </row>
    <row r="212" spans="1:16" x14ac:dyDescent="0.15">
      <c r="A212" s="38">
        <f t="shared" si="21"/>
        <v>1858</v>
      </c>
      <c r="B212" s="109"/>
      <c r="C212" s="109"/>
      <c r="D212" s="109"/>
      <c r="E212" s="109"/>
      <c r="F212" s="109"/>
      <c r="G212" s="109"/>
      <c r="H212" s="109"/>
      <c r="I212" s="41"/>
      <c r="K212" s="109"/>
      <c r="L212" s="109"/>
      <c r="M212" s="109"/>
      <c r="N212" s="109"/>
      <c r="O212" s="41"/>
      <c r="P212" s="55">
        <f>P211+($P$213-$P$211)/2</f>
        <v>4.8041908333333332</v>
      </c>
    </row>
    <row r="213" spans="1:16" x14ac:dyDescent="0.15">
      <c r="A213" s="38">
        <f t="shared" si="21"/>
        <v>1859</v>
      </c>
      <c r="B213" s="109"/>
      <c r="C213" s="109"/>
      <c r="D213" s="109"/>
      <c r="E213" s="109"/>
      <c r="F213" s="109"/>
      <c r="G213" s="109"/>
      <c r="H213" s="109"/>
      <c r="I213" s="41">
        <v>6.2454480833333337</v>
      </c>
      <c r="K213" s="109"/>
      <c r="L213" s="109"/>
      <c r="M213" s="109"/>
      <c r="N213" s="109"/>
      <c r="O213" s="41">
        <v>6.2454480833333337</v>
      </c>
      <c r="P213" s="109">
        <v>6.2454480833333337</v>
      </c>
    </row>
    <row r="214" spans="1:16" x14ac:dyDescent="0.15">
      <c r="A214" s="38">
        <f t="shared" ref="A214:A264" si="26">A213+1</f>
        <v>1860</v>
      </c>
      <c r="B214" s="109"/>
      <c r="C214" s="109"/>
      <c r="D214" s="109"/>
      <c r="E214" s="109"/>
      <c r="F214" s="109"/>
      <c r="G214" s="109"/>
      <c r="H214" s="109"/>
      <c r="I214" s="41">
        <v>6.0052385416666674</v>
      </c>
      <c r="K214" s="109"/>
      <c r="L214" s="109"/>
      <c r="M214" s="109"/>
      <c r="N214" s="109"/>
      <c r="O214" s="41">
        <v>6.0052385416666674</v>
      </c>
      <c r="P214" s="109">
        <v>6.0052385416666674</v>
      </c>
    </row>
    <row r="215" spans="1:16" x14ac:dyDescent="0.15">
      <c r="A215" s="38">
        <f t="shared" si="26"/>
        <v>1861</v>
      </c>
      <c r="B215" s="109"/>
      <c r="C215" s="109"/>
      <c r="D215" s="109"/>
      <c r="E215" s="109"/>
      <c r="F215" s="109"/>
      <c r="G215" s="109"/>
      <c r="H215" s="109"/>
      <c r="I215" s="41">
        <v>6.0052385416666674</v>
      </c>
      <c r="K215" s="109"/>
      <c r="L215" s="109"/>
      <c r="M215" s="109"/>
      <c r="N215" s="109"/>
      <c r="O215" s="41">
        <v>6.0052385416666674</v>
      </c>
      <c r="P215" s="109">
        <v>6.0052385416666674</v>
      </c>
    </row>
    <row r="216" spans="1:16" x14ac:dyDescent="0.15">
      <c r="A216" s="38">
        <f t="shared" si="26"/>
        <v>1862</v>
      </c>
      <c r="B216" s="109"/>
      <c r="C216" s="109"/>
      <c r="D216" s="109"/>
      <c r="E216" s="109"/>
      <c r="F216" s="109"/>
      <c r="G216" s="109"/>
      <c r="H216" s="109"/>
      <c r="I216" s="41">
        <v>6.2454480833333337</v>
      </c>
      <c r="K216" s="109"/>
      <c r="L216" s="109"/>
      <c r="M216" s="109"/>
      <c r="N216" s="109"/>
      <c r="O216" s="41">
        <v>6.2454480833333337</v>
      </c>
      <c r="P216" s="109">
        <v>6.2454480833333337</v>
      </c>
    </row>
    <row r="217" spans="1:16" x14ac:dyDescent="0.15">
      <c r="A217" s="38">
        <f t="shared" si="26"/>
        <v>1863</v>
      </c>
      <c r="B217" s="109"/>
      <c r="C217" s="109"/>
      <c r="D217" s="109"/>
      <c r="E217" s="109"/>
      <c r="F217" s="109"/>
      <c r="G217" s="109"/>
      <c r="H217" s="109"/>
      <c r="I217" s="41">
        <v>5.524819458333333</v>
      </c>
      <c r="K217" s="109"/>
      <c r="L217" s="109"/>
      <c r="M217" s="109"/>
      <c r="N217" s="109"/>
      <c r="O217" s="41">
        <v>5.524819458333333</v>
      </c>
      <c r="P217" s="109">
        <v>5.524819458333333</v>
      </c>
    </row>
    <row r="218" spans="1:16" x14ac:dyDescent="0.15">
      <c r="A218" s="38">
        <f t="shared" si="26"/>
        <v>1864</v>
      </c>
      <c r="B218" s="109"/>
      <c r="C218" s="109"/>
      <c r="D218" s="109"/>
      <c r="E218" s="109"/>
      <c r="F218" s="109"/>
      <c r="G218" s="109"/>
      <c r="H218" s="109"/>
      <c r="I218" s="41">
        <v>4.3237717499999997</v>
      </c>
      <c r="K218" s="109"/>
      <c r="L218" s="109"/>
      <c r="M218" s="109"/>
      <c r="N218" s="109"/>
      <c r="O218" s="41">
        <v>4.3237717499999997</v>
      </c>
      <c r="P218" s="109">
        <v>4.3237717499999997</v>
      </c>
    </row>
    <row r="219" spans="1:16" x14ac:dyDescent="0.15">
      <c r="A219" s="38">
        <f t="shared" si="26"/>
        <v>1865</v>
      </c>
      <c r="B219" s="109"/>
      <c r="C219" s="109"/>
      <c r="D219" s="109"/>
      <c r="E219" s="109"/>
      <c r="F219" s="109"/>
      <c r="G219" s="109"/>
      <c r="H219" s="109"/>
      <c r="I219" s="41">
        <v>4.8041908333333323</v>
      </c>
      <c r="K219" s="109"/>
      <c r="L219" s="109"/>
      <c r="M219" s="109"/>
      <c r="N219" s="109"/>
      <c r="O219" s="41">
        <v>4.8041908333333323</v>
      </c>
      <c r="P219" s="109">
        <v>4.8041908333333323</v>
      </c>
    </row>
    <row r="220" spans="1:16" x14ac:dyDescent="0.15">
      <c r="A220" s="38">
        <f t="shared" si="26"/>
        <v>1866</v>
      </c>
      <c r="B220" s="109"/>
      <c r="C220" s="109"/>
      <c r="D220" s="109"/>
      <c r="E220" s="109"/>
      <c r="F220" s="109"/>
      <c r="G220" s="109"/>
      <c r="H220" s="109"/>
      <c r="I220" s="41">
        <v>4.203666979166667</v>
      </c>
      <c r="K220" s="109"/>
      <c r="L220" s="109"/>
      <c r="M220" s="109"/>
      <c r="N220" s="109"/>
      <c r="O220" s="41">
        <v>4.203666979166667</v>
      </c>
      <c r="P220" s="109">
        <v>4.203666979166667</v>
      </c>
    </row>
    <row r="221" spans="1:16" x14ac:dyDescent="0.15">
      <c r="A221" s="38">
        <f t="shared" si="26"/>
        <v>1867</v>
      </c>
      <c r="B221" s="109"/>
      <c r="C221" s="109"/>
      <c r="D221" s="109"/>
      <c r="E221" s="109"/>
      <c r="F221" s="109"/>
      <c r="G221" s="109"/>
      <c r="H221" s="109"/>
      <c r="I221" s="41">
        <v>4.0835622083333334</v>
      </c>
      <c r="K221" s="109"/>
      <c r="L221" s="109"/>
      <c r="M221" s="109"/>
      <c r="N221" s="109"/>
      <c r="O221" s="41">
        <v>4.0835622083333334</v>
      </c>
      <c r="P221" s="109">
        <v>4.0835622083333334</v>
      </c>
    </row>
    <row r="222" spans="1:16" x14ac:dyDescent="0.15">
      <c r="A222" s="38">
        <f t="shared" si="26"/>
        <v>1868</v>
      </c>
      <c r="B222" s="109"/>
      <c r="C222" s="109"/>
      <c r="D222" s="109"/>
      <c r="E222" s="109"/>
      <c r="F222" s="109"/>
      <c r="G222" s="109"/>
      <c r="H222" s="109"/>
      <c r="I222" s="41">
        <v>3.7232478958333339</v>
      </c>
      <c r="K222" s="109"/>
      <c r="L222" s="109"/>
      <c r="M222" s="109"/>
      <c r="N222" s="109"/>
      <c r="O222" s="41">
        <v>3.7232478958333339</v>
      </c>
      <c r="P222" s="109">
        <v>3.7232478958333339</v>
      </c>
    </row>
    <row r="223" spans="1:16" x14ac:dyDescent="0.15">
      <c r="A223" s="38">
        <f t="shared" si="26"/>
        <v>1869</v>
      </c>
      <c r="B223" s="109"/>
      <c r="C223" s="109"/>
      <c r="D223" s="109"/>
      <c r="E223" s="109"/>
      <c r="F223" s="109"/>
      <c r="G223" s="109"/>
      <c r="H223" s="109"/>
      <c r="I223" s="41">
        <v>3.6031431249999999</v>
      </c>
      <c r="K223" s="109"/>
      <c r="L223" s="109"/>
      <c r="M223" s="109"/>
      <c r="N223" s="109"/>
      <c r="O223" s="41">
        <v>3.6031431249999999</v>
      </c>
      <c r="P223" s="109">
        <v>3.6031431249999999</v>
      </c>
    </row>
    <row r="224" spans="1:16" x14ac:dyDescent="0.15">
      <c r="A224" s="38">
        <f t="shared" si="26"/>
        <v>1870</v>
      </c>
      <c r="B224" s="109"/>
      <c r="C224" s="109"/>
      <c r="D224" s="109"/>
      <c r="E224" s="109"/>
      <c r="F224" s="109"/>
      <c r="G224" s="109"/>
      <c r="H224" s="109"/>
      <c r="I224" s="41"/>
      <c r="K224" s="109"/>
      <c r="L224" s="109"/>
      <c r="M224" s="109"/>
      <c r="N224" s="109"/>
      <c r="O224" s="41"/>
      <c r="P224" s="55">
        <f>P223+($P$225-$P$223)/2</f>
        <v>3.9634574374999998</v>
      </c>
    </row>
    <row r="225" spans="1:16" x14ac:dyDescent="0.15">
      <c r="A225" s="38">
        <f t="shared" si="26"/>
        <v>1871</v>
      </c>
      <c r="B225" s="109"/>
      <c r="C225" s="109"/>
      <c r="D225" s="109"/>
      <c r="E225" s="109"/>
      <c r="F225" s="109"/>
      <c r="G225" s="109"/>
      <c r="H225" s="109"/>
      <c r="I225" s="41">
        <v>4.3237717499999997</v>
      </c>
      <c r="K225" s="109"/>
      <c r="L225" s="109"/>
      <c r="M225" s="109"/>
      <c r="N225" s="109"/>
      <c r="O225" s="41">
        <v>4.3237717499999997</v>
      </c>
      <c r="P225" s="109">
        <v>4.3237717499999997</v>
      </c>
    </row>
    <row r="226" spans="1:16" x14ac:dyDescent="0.15">
      <c r="A226" s="38">
        <f t="shared" si="26"/>
        <v>1872</v>
      </c>
      <c r="B226" s="109"/>
      <c r="C226" s="109"/>
      <c r="D226" s="109"/>
      <c r="E226" s="109"/>
      <c r="F226" s="109"/>
      <c r="G226" s="109"/>
      <c r="H226" s="109"/>
      <c r="I226" s="41">
        <v>4.8041908333333323</v>
      </c>
      <c r="K226" s="109"/>
      <c r="L226" s="109"/>
      <c r="M226" s="109"/>
      <c r="N226" s="109"/>
      <c r="O226" s="41">
        <v>4.8041908333333323</v>
      </c>
      <c r="P226" s="109">
        <v>4.8041908333333323</v>
      </c>
    </row>
    <row r="227" spans="1:16" x14ac:dyDescent="0.15">
      <c r="A227" s="38">
        <f t="shared" si="26"/>
        <v>1873</v>
      </c>
      <c r="B227" s="109"/>
      <c r="C227" s="109"/>
      <c r="D227" s="109"/>
      <c r="E227" s="109"/>
      <c r="F227" s="109"/>
      <c r="G227" s="109"/>
      <c r="H227" s="109"/>
      <c r="I227" s="41">
        <v>6.485657625</v>
      </c>
      <c r="K227" s="109"/>
      <c r="L227" s="109"/>
      <c r="M227" s="109"/>
      <c r="N227" s="109"/>
      <c r="O227" s="41">
        <v>6.485657625</v>
      </c>
      <c r="P227" s="109">
        <v>6.485657625</v>
      </c>
    </row>
    <row r="228" spans="1:16" x14ac:dyDescent="0.15">
      <c r="A228" s="38">
        <f t="shared" si="26"/>
        <v>1874</v>
      </c>
      <c r="B228" s="109"/>
      <c r="C228" s="109"/>
      <c r="D228" s="109"/>
      <c r="E228" s="109"/>
      <c r="F228" s="109"/>
      <c r="G228" s="109"/>
      <c r="H228" s="109"/>
      <c r="I228" s="41">
        <v>6.485657625</v>
      </c>
      <c r="K228" s="109"/>
      <c r="L228" s="109"/>
      <c r="M228" s="109"/>
      <c r="N228" s="109"/>
      <c r="O228" s="41">
        <v>6.485657625</v>
      </c>
      <c r="P228" s="109">
        <v>6.485657625</v>
      </c>
    </row>
    <row r="229" spans="1:16" x14ac:dyDescent="0.15">
      <c r="A229" s="38">
        <f t="shared" si="26"/>
        <v>1875</v>
      </c>
      <c r="B229" s="109"/>
      <c r="C229" s="109"/>
      <c r="D229" s="109"/>
      <c r="E229" s="109"/>
      <c r="F229" s="109"/>
      <c r="G229" s="109"/>
      <c r="H229" s="109"/>
      <c r="I229" s="41">
        <v>6.9660767083333335</v>
      </c>
      <c r="K229" s="109"/>
      <c r="L229" s="109"/>
      <c r="M229" s="109"/>
      <c r="N229" s="109"/>
      <c r="O229" s="41">
        <v>6.9660767083333335</v>
      </c>
      <c r="P229" s="109">
        <v>6.9660767083333335</v>
      </c>
    </row>
    <row r="230" spans="1:16" x14ac:dyDescent="0.15">
      <c r="A230" s="38">
        <f t="shared" si="26"/>
        <v>1876</v>
      </c>
      <c r="B230" s="109"/>
      <c r="C230" s="109"/>
      <c r="D230" s="109"/>
      <c r="E230" s="109"/>
      <c r="F230" s="109"/>
      <c r="G230" s="109"/>
      <c r="H230" s="109"/>
      <c r="I230" s="41">
        <v>6.2454480833333337</v>
      </c>
      <c r="K230" s="109"/>
      <c r="L230" s="109"/>
      <c r="M230" s="109"/>
      <c r="N230" s="109"/>
      <c r="O230" s="41">
        <v>6.2454480833333337</v>
      </c>
      <c r="P230" s="109">
        <v>6.2454480833333337</v>
      </c>
    </row>
    <row r="231" spans="1:16" x14ac:dyDescent="0.15">
      <c r="A231" s="38">
        <f t="shared" si="26"/>
        <v>1877</v>
      </c>
      <c r="B231" s="109"/>
      <c r="C231" s="109"/>
      <c r="D231" s="109"/>
      <c r="E231" s="109"/>
      <c r="F231" s="109"/>
      <c r="G231" s="109"/>
      <c r="H231" s="109"/>
      <c r="I231" s="41">
        <v>6.2454480833333337</v>
      </c>
      <c r="K231" s="109"/>
      <c r="L231" s="109"/>
      <c r="M231" s="109"/>
      <c r="N231" s="109"/>
      <c r="O231" s="41">
        <v>6.2454480833333337</v>
      </c>
      <c r="P231" s="109">
        <v>6.2454480833333337</v>
      </c>
    </row>
    <row r="232" spans="1:16" x14ac:dyDescent="0.15">
      <c r="A232" s="38">
        <f t="shared" si="26"/>
        <v>1878</v>
      </c>
      <c r="B232" s="109"/>
      <c r="C232" s="109"/>
      <c r="D232" s="109"/>
      <c r="E232" s="109"/>
      <c r="F232" s="109"/>
      <c r="G232" s="109"/>
      <c r="H232" s="109"/>
      <c r="I232" s="41">
        <v>6.2454480833333337</v>
      </c>
      <c r="K232" s="109"/>
      <c r="L232" s="109"/>
      <c r="M232" s="109"/>
      <c r="N232" s="109"/>
      <c r="O232" s="41">
        <v>6.2454480833333337</v>
      </c>
      <c r="P232" s="109">
        <v>6.2454480833333337</v>
      </c>
    </row>
    <row r="233" spans="1:16" x14ac:dyDescent="0.15">
      <c r="A233" s="38">
        <f t="shared" si="26"/>
        <v>1879</v>
      </c>
      <c r="B233" s="109"/>
      <c r="C233" s="109"/>
      <c r="D233" s="109"/>
      <c r="E233" s="109"/>
      <c r="F233" s="109"/>
      <c r="G233" s="109"/>
      <c r="H233" s="109"/>
      <c r="I233" s="41">
        <v>6.0052385416666674</v>
      </c>
      <c r="K233" s="109"/>
      <c r="L233" s="109"/>
      <c r="M233" s="109"/>
      <c r="N233" s="109"/>
      <c r="O233" s="41">
        <v>6.0052385416666674</v>
      </c>
      <c r="P233" s="109">
        <v>6.0052385416666674</v>
      </c>
    </row>
    <row r="234" spans="1:16" x14ac:dyDescent="0.15">
      <c r="A234" s="38">
        <f t="shared" si="26"/>
        <v>1880</v>
      </c>
      <c r="B234" s="109"/>
      <c r="C234" s="109"/>
      <c r="D234" s="109"/>
      <c r="E234" s="109"/>
      <c r="F234" s="109"/>
      <c r="G234" s="109"/>
      <c r="H234" s="109"/>
      <c r="I234" s="41">
        <v>6.2454480833333337</v>
      </c>
      <c r="K234" s="109"/>
      <c r="L234" s="109"/>
      <c r="M234" s="109"/>
      <c r="N234" s="109"/>
      <c r="O234" s="41">
        <v>6.2454480833333337</v>
      </c>
      <c r="P234" s="109">
        <v>6.2454480833333337</v>
      </c>
    </row>
    <row r="235" spans="1:16" x14ac:dyDescent="0.15">
      <c r="A235" s="38">
        <f t="shared" si="26"/>
        <v>1881</v>
      </c>
      <c r="B235" s="109"/>
      <c r="C235" s="109"/>
      <c r="D235" s="109"/>
      <c r="E235" s="109"/>
      <c r="F235" s="109"/>
      <c r="G235" s="109"/>
      <c r="H235" s="109"/>
      <c r="I235" s="41">
        <v>6.7258671666666672</v>
      </c>
      <c r="K235" s="109"/>
      <c r="L235" s="109"/>
      <c r="M235" s="109"/>
      <c r="N235" s="109"/>
      <c r="O235" s="41">
        <v>6.7258671666666672</v>
      </c>
      <c r="P235" s="109">
        <v>6.7258671666666672</v>
      </c>
    </row>
    <row r="236" spans="1:16" x14ac:dyDescent="0.15">
      <c r="A236" s="38">
        <f t="shared" si="26"/>
        <v>1882</v>
      </c>
      <c r="B236" s="109"/>
      <c r="C236" s="109"/>
      <c r="D236" s="109"/>
      <c r="E236" s="109"/>
      <c r="F236" s="109"/>
      <c r="G236" s="109"/>
      <c r="H236" s="109"/>
      <c r="I236" s="41">
        <v>6.7258671666666672</v>
      </c>
      <c r="K236" s="109"/>
      <c r="L236" s="109"/>
      <c r="M236" s="109"/>
      <c r="N236" s="109"/>
      <c r="O236" s="41">
        <v>6.7258671666666672</v>
      </c>
      <c r="P236" s="109">
        <v>6.7258671666666672</v>
      </c>
    </row>
    <row r="237" spans="1:16" x14ac:dyDescent="0.15">
      <c r="A237" s="38">
        <f t="shared" si="26"/>
        <v>1883</v>
      </c>
      <c r="B237" s="109"/>
      <c r="C237" s="109"/>
      <c r="D237" s="109"/>
      <c r="E237" s="109"/>
      <c r="F237" s="109"/>
      <c r="G237" s="109"/>
      <c r="H237" s="109"/>
      <c r="I237" s="41">
        <v>6.0052385416666674</v>
      </c>
      <c r="K237" s="109"/>
      <c r="L237" s="109"/>
      <c r="M237" s="109"/>
      <c r="N237" s="109"/>
      <c r="O237" s="41">
        <v>6.0052385416666674</v>
      </c>
      <c r="P237" s="109">
        <v>6.0052385416666674</v>
      </c>
    </row>
    <row r="238" spans="1:16" x14ac:dyDescent="0.15">
      <c r="A238" s="38">
        <f t="shared" si="26"/>
        <v>1884</v>
      </c>
      <c r="B238" s="109"/>
      <c r="C238" s="109"/>
      <c r="D238" s="109"/>
      <c r="E238" s="109"/>
      <c r="F238" s="109"/>
      <c r="G238" s="109"/>
      <c r="H238" s="109"/>
      <c r="I238" s="41">
        <v>5.524819458333333</v>
      </c>
      <c r="K238" s="109"/>
      <c r="L238" s="109"/>
      <c r="M238" s="109"/>
      <c r="N238" s="109"/>
      <c r="O238" s="41">
        <v>5.524819458333333</v>
      </c>
      <c r="P238" s="109">
        <v>5.524819458333333</v>
      </c>
    </row>
    <row r="239" spans="1:16" x14ac:dyDescent="0.15">
      <c r="A239" s="38">
        <f t="shared" si="26"/>
        <v>1885</v>
      </c>
      <c r="B239" s="109"/>
      <c r="C239" s="109"/>
      <c r="D239" s="109"/>
      <c r="E239" s="109"/>
      <c r="F239" s="109"/>
      <c r="G239" s="109"/>
      <c r="H239" s="109"/>
      <c r="I239" s="41">
        <v>5.2846099166666667</v>
      </c>
      <c r="K239" s="109"/>
      <c r="L239" s="109"/>
      <c r="M239" s="109"/>
      <c r="N239" s="109"/>
      <c r="O239" s="41">
        <v>5.2846099166666667</v>
      </c>
      <c r="P239" s="109">
        <v>5.2846099166666667</v>
      </c>
    </row>
    <row r="240" spans="1:16" x14ac:dyDescent="0.15">
      <c r="A240" s="38">
        <f t="shared" si="26"/>
        <v>1886</v>
      </c>
      <c r="B240" s="109"/>
      <c r="C240" s="109"/>
      <c r="D240" s="109"/>
      <c r="E240" s="109"/>
      <c r="F240" s="109"/>
      <c r="G240" s="109"/>
      <c r="H240" s="109"/>
      <c r="I240" s="41">
        <v>3.6031431249999999</v>
      </c>
      <c r="K240" s="109"/>
      <c r="L240" s="109"/>
      <c r="M240" s="109"/>
      <c r="N240" s="109"/>
      <c r="O240" s="41">
        <v>3.6031431249999999</v>
      </c>
      <c r="P240" s="109">
        <v>3.6031431249999999</v>
      </c>
    </row>
    <row r="241" spans="1:16" x14ac:dyDescent="0.15">
      <c r="A241" s="38">
        <f t="shared" si="26"/>
        <v>1887</v>
      </c>
      <c r="B241" s="109"/>
      <c r="C241" s="109"/>
      <c r="D241" s="109"/>
      <c r="E241" s="109"/>
      <c r="F241" s="109"/>
      <c r="G241" s="109"/>
      <c r="H241" s="109"/>
      <c r="I241" s="41">
        <v>3.3629335833333336</v>
      </c>
      <c r="K241" s="109"/>
      <c r="L241" s="109"/>
      <c r="M241" s="109"/>
      <c r="N241" s="109"/>
      <c r="O241" s="41">
        <v>3.3629335833333336</v>
      </c>
      <c r="P241" s="109">
        <v>3.3629335833333336</v>
      </c>
    </row>
    <row r="242" spans="1:16" x14ac:dyDescent="0.15">
      <c r="A242" s="38">
        <f t="shared" si="26"/>
        <v>1888</v>
      </c>
      <c r="B242" s="109"/>
      <c r="C242" s="109"/>
      <c r="D242" s="109"/>
      <c r="E242" s="109"/>
      <c r="F242" s="109"/>
      <c r="G242" s="109"/>
      <c r="H242" s="109"/>
      <c r="I242" s="41">
        <v>3.3629335833333336</v>
      </c>
      <c r="K242" s="109"/>
      <c r="L242" s="109"/>
      <c r="M242" s="109"/>
      <c r="N242" s="109"/>
      <c r="O242" s="41">
        <v>3.3629335833333336</v>
      </c>
      <c r="P242" s="109">
        <v>3.3629335833333336</v>
      </c>
    </row>
    <row r="243" spans="1:16" x14ac:dyDescent="0.15">
      <c r="A243" s="38">
        <f t="shared" si="26"/>
        <v>1889</v>
      </c>
      <c r="B243" s="109"/>
      <c r="C243" s="109"/>
      <c r="D243" s="109"/>
      <c r="E243" s="109"/>
      <c r="F243" s="109"/>
      <c r="G243" s="109"/>
      <c r="H243" s="109"/>
      <c r="I243" s="41">
        <v>4.3237717499999997</v>
      </c>
      <c r="K243" s="109"/>
      <c r="L243" s="109"/>
      <c r="M243" s="109"/>
      <c r="N243" s="109"/>
      <c r="O243" s="41">
        <v>4.3237717499999997</v>
      </c>
      <c r="P243" s="109">
        <v>4.3237717499999997</v>
      </c>
    </row>
    <row r="244" spans="1:16" x14ac:dyDescent="0.15">
      <c r="A244" s="38">
        <f t="shared" si="26"/>
        <v>1890</v>
      </c>
      <c r="B244" s="109"/>
      <c r="C244" s="109"/>
      <c r="D244" s="109"/>
      <c r="E244" s="109"/>
      <c r="F244" s="109"/>
      <c r="G244" s="109"/>
      <c r="H244" s="109"/>
      <c r="I244" s="41">
        <v>4.3237717499999997</v>
      </c>
      <c r="K244" s="109"/>
      <c r="L244" s="109"/>
      <c r="M244" s="109"/>
      <c r="N244" s="109"/>
      <c r="O244" s="41">
        <v>4.3237717499999997</v>
      </c>
      <c r="P244" s="109">
        <v>4.3237717499999997</v>
      </c>
    </row>
    <row r="245" spans="1:16" x14ac:dyDescent="0.15">
      <c r="A245" s="38">
        <f t="shared" si="26"/>
        <v>1891</v>
      </c>
      <c r="B245" s="109"/>
      <c r="C245" s="109"/>
      <c r="D245" s="109"/>
      <c r="E245" s="109"/>
      <c r="F245" s="109"/>
      <c r="G245" s="109"/>
      <c r="H245" s="109"/>
      <c r="I245" s="41">
        <v>4.3237717499999997</v>
      </c>
      <c r="K245" s="109"/>
      <c r="L245" s="109"/>
      <c r="M245" s="109"/>
      <c r="N245" s="109"/>
      <c r="O245" s="41">
        <v>4.3237717499999997</v>
      </c>
      <c r="P245" s="109">
        <v>4.3237717499999997</v>
      </c>
    </row>
    <row r="246" spans="1:16" x14ac:dyDescent="0.15">
      <c r="A246" s="38">
        <f t="shared" si="26"/>
        <v>1892</v>
      </c>
      <c r="B246" s="109"/>
      <c r="C246" s="109"/>
      <c r="D246" s="109"/>
      <c r="E246" s="109"/>
      <c r="F246" s="109"/>
      <c r="G246" s="109"/>
      <c r="H246" s="109"/>
      <c r="I246" s="41">
        <v>4.3237717499999997</v>
      </c>
      <c r="K246" s="109"/>
      <c r="L246" s="109"/>
      <c r="M246" s="109"/>
      <c r="N246" s="109"/>
      <c r="O246" s="41">
        <v>4.3237717499999997</v>
      </c>
      <c r="P246" s="109">
        <v>4.3237717499999997</v>
      </c>
    </row>
    <row r="247" spans="1:16" x14ac:dyDescent="0.15">
      <c r="A247" s="38">
        <f t="shared" si="26"/>
        <v>1893</v>
      </c>
      <c r="B247" s="109"/>
      <c r="C247" s="109"/>
      <c r="D247" s="109"/>
      <c r="E247" s="109"/>
      <c r="F247" s="109"/>
      <c r="G247" s="109"/>
      <c r="H247" s="109"/>
      <c r="I247" s="41">
        <v>4.563981291666666</v>
      </c>
      <c r="K247" s="109"/>
      <c r="L247" s="109"/>
      <c r="M247" s="109"/>
      <c r="N247" s="109"/>
      <c r="O247" s="41">
        <v>4.563981291666666</v>
      </c>
      <c r="P247" s="109">
        <v>4.563981291666666</v>
      </c>
    </row>
    <row r="248" spans="1:16" x14ac:dyDescent="0.15">
      <c r="A248" s="38">
        <f t="shared" si="26"/>
        <v>1894</v>
      </c>
      <c r="B248" s="109"/>
      <c r="C248" s="109"/>
      <c r="D248" s="109"/>
      <c r="E248" s="109"/>
      <c r="F248" s="109"/>
      <c r="G248" s="109"/>
      <c r="H248" s="109"/>
      <c r="I248" s="41">
        <v>4.3237717499999997</v>
      </c>
      <c r="K248" s="109"/>
      <c r="L248" s="109"/>
      <c r="M248" s="109"/>
      <c r="N248" s="109"/>
      <c r="O248" s="41">
        <v>4.3237717499999997</v>
      </c>
      <c r="P248" s="109">
        <v>4.3237717499999997</v>
      </c>
    </row>
    <row r="249" spans="1:16" x14ac:dyDescent="0.15">
      <c r="A249" s="38">
        <f t="shared" si="26"/>
        <v>1895</v>
      </c>
      <c r="B249" s="109"/>
      <c r="C249" s="109"/>
      <c r="D249" s="109"/>
      <c r="E249" s="109"/>
      <c r="F249" s="109"/>
      <c r="G249" s="109"/>
      <c r="H249" s="109"/>
      <c r="I249" s="41">
        <v>4.3237717499999997</v>
      </c>
      <c r="K249" s="109"/>
      <c r="L249" s="109"/>
      <c r="M249" s="109"/>
      <c r="N249" s="109"/>
      <c r="O249" s="41">
        <v>4.3237717499999997</v>
      </c>
      <c r="P249" s="109">
        <v>4.3237717499999997</v>
      </c>
    </row>
    <row r="250" spans="1:16" x14ac:dyDescent="0.15">
      <c r="A250" s="38">
        <f t="shared" si="26"/>
        <v>1896</v>
      </c>
      <c r="B250" s="109"/>
      <c r="C250" s="109"/>
      <c r="D250" s="109"/>
      <c r="E250" s="109"/>
      <c r="F250" s="109"/>
      <c r="G250" s="109"/>
      <c r="H250" s="109"/>
      <c r="I250" s="41">
        <v>5.0444003749999995</v>
      </c>
      <c r="K250" s="109"/>
      <c r="L250" s="109"/>
      <c r="M250" s="109"/>
      <c r="N250" s="109"/>
      <c r="O250" s="41">
        <v>5.0444003749999995</v>
      </c>
      <c r="P250" s="109">
        <v>5.0444003749999995</v>
      </c>
    </row>
    <row r="251" spans="1:16" x14ac:dyDescent="0.15">
      <c r="A251" s="38">
        <f t="shared" si="26"/>
        <v>1897</v>
      </c>
      <c r="B251" s="109"/>
      <c r="C251" s="109"/>
      <c r="D251" s="109"/>
      <c r="E251" s="109"/>
      <c r="F251" s="109"/>
      <c r="G251" s="109"/>
      <c r="H251" s="109"/>
      <c r="I251" s="41">
        <v>8.6475434999999994</v>
      </c>
      <c r="K251" s="109"/>
      <c r="L251" s="109"/>
      <c r="M251" s="109"/>
      <c r="N251" s="109"/>
      <c r="O251" s="41">
        <v>8.6475434999999994</v>
      </c>
      <c r="P251" s="109">
        <v>8.6475434999999994</v>
      </c>
    </row>
    <row r="252" spans="1:16" x14ac:dyDescent="0.15">
      <c r="A252" s="38">
        <f t="shared" si="26"/>
        <v>1898</v>
      </c>
      <c r="B252" s="109"/>
      <c r="C252" s="109"/>
      <c r="D252" s="109"/>
      <c r="E252" s="109"/>
      <c r="F252" s="109"/>
      <c r="G252" s="109"/>
      <c r="H252" s="109"/>
      <c r="I252" s="41">
        <v>7.6867053333333333</v>
      </c>
      <c r="K252" s="109"/>
      <c r="L252" s="109"/>
      <c r="M252" s="109"/>
      <c r="N252" s="109"/>
      <c r="O252" s="41">
        <v>7.6867053333333333</v>
      </c>
      <c r="P252" s="109">
        <v>7.6867053333333333</v>
      </c>
    </row>
    <row r="253" spans="1:16" x14ac:dyDescent="0.15">
      <c r="A253" s="38">
        <f t="shared" si="26"/>
        <v>1899</v>
      </c>
      <c r="B253" s="109"/>
      <c r="C253" s="109"/>
      <c r="D253" s="109"/>
      <c r="E253" s="109"/>
      <c r="F253" s="109"/>
      <c r="G253" s="109"/>
      <c r="H253" s="109"/>
      <c r="I253" s="41">
        <v>7.6867053333333333</v>
      </c>
      <c r="K253" s="109"/>
      <c r="L253" s="109"/>
      <c r="M253" s="109"/>
      <c r="N253" s="109"/>
      <c r="O253" s="41">
        <v>7.6867053333333333</v>
      </c>
      <c r="P253" s="109">
        <v>7.6867053333333333</v>
      </c>
    </row>
    <row r="254" spans="1:16" x14ac:dyDescent="0.15">
      <c r="A254" s="38">
        <f t="shared" si="26"/>
        <v>1900</v>
      </c>
      <c r="B254" s="109"/>
      <c r="C254" s="109"/>
      <c r="D254" s="109"/>
      <c r="E254" s="109"/>
      <c r="F254" s="109"/>
      <c r="G254" s="109"/>
      <c r="H254" s="109"/>
      <c r="I254" s="41">
        <v>7.6867053333333333</v>
      </c>
      <c r="K254" s="109"/>
      <c r="L254" s="109"/>
      <c r="M254" s="109"/>
      <c r="N254" s="109"/>
      <c r="O254" s="41">
        <v>7.6867053333333333</v>
      </c>
      <c r="P254" s="109">
        <v>7.6867053333333333</v>
      </c>
    </row>
    <row r="255" spans="1:16" x14ac:dyDescent="0.15">
      <c r="A255" s="38">
        <f t="shared" si="26"/>
        <v>1901</v>
      </c>
      <c r="B255" s="109"/>
      <c r="C255" s="109"/>
      <c r="D255" s="109"/>
      <c r="E255" s="109"/>
      <c r="F255" s="109"/>
      <c r="G255" s="109"/>
      <c r="H255" s="109"/>
      <c r="I255" s="41">
        <v>8.6475434999999994</v>
      </c>
      <c r="K255" s="109"/>
      <c r="L255" s="109"/>
      <c r="M255" s="109"/>
      <c r="N255" s="109"/>
      <c r="O255" s="41">
        <v>8.6475434999999994</v>
      </c>
      <c r="P255" s="109">
        <v>8.6475434999999994</v>
      </c>
    </row>
    <row r="256" spans="1:16" x14ac:dyDescent="0.15">
      <c r="A256" s="38">
        <f t="shared" si="26"/>
        <v>1902</v>
      </c>
      <c r="B256" s="109"/>
      <c r="C256" s="109"/>
      <c r="D256" s="109"/>
      <c r="E256" s="109"/>
      <c r="F256" s="109"/>
      <c r="G256" s="109"/>
      <c r="H256" s="109"/>
      <c r="I256" s="41">
        <v>12.490896166666667</v>
      </c>
      <c r="K256" s="109"/>
      <c r="L256" s="109"/>
      <c r="M256" s="109"/>
      <c r="N256" s="109"/>
      <c r="O256" s="41">
        <v>12.490896166666667</v>
      </c>
      <c r="P256" s="109">
        <v>12.490896166666667</v>
      </c>
    </row>
    <row r="257" spans="1:16" x14ac:dyDescent="0.15">
      <c r="A257" s="38">
        <f t="shared" si="26"/>
        <v>1903</v>
      </c>
      <c r="B257" s="109"/>
      <c r="C257" s="109"/>
      <c r="D257" s="109"/>
      <c r="E257" s="109"/>
      <c r="F257" s="109"/>
      <c r="G257" s="109"/>
      <c r="H257" s="109"/>
      <c r="I257" s="41">
        <v>9.6083816666666646</v>
      </c>
      <c r="K257" s="109"/>
      <c r="L257" s="109"/>
      <c r="M257" s="109"/>
      <c r="N257" s="109"/>
      <c r="O257" s="41">
        <v>9.6083816666666646</v>
      </c>
      <c r="P257" s="109">
        <v>9.6083816666666646</v>
      </c>
    </row>
    <row r="258" spans="1:16" x14ac:dyDescent="0.15">
      <c r="A258" s="38">
        <f t="shared" si="26"/>
        <v>1904</v>
      </c>
      <c r="B258" s="109"/>
      <c r="C258" s="109"/>
      <c r="D258" s="109"/>
      <c r="E258" s="109"/>
      <c r="F258" s="109"/>
      <c r="G258" s="109"/>
      <c r="H258" s="109"/>
      <c r="I258" s="41">
        <v>7.6867053333333333</v>
      </c>
      <c r="K258" s="109"/>
      <c r="L258" s="109"/>
      <c r="M258" s="109"/>
      <c r="N258" s="109"/>
      <c r="O258" s="41">
        <v>7.6867053333333333</v>
      </c>
      <c r="P258" s="109">
        <v>7.6867053333333333</v>
      </c>
    </row>
    <row r="259" spans="1:16" x14ac:dyDescent="0.15">
      <c r="A259" s="38">
        <f t="shared" si="26"/>
        <v>1905</v>
      </c>
      <c r="B259" s="109"/>
      <c r="C259" s="109"/>
      <c r="D259" s="109"/>
      <c r="E259" s="109"/>
      <c r="F259" s="109"/>
      <c r="G259" s="109"/>
      <c r="H259" s="109"/>
      <c r="I259" s="41"/>
      <c r="K259" s="109"/>
      <c r="L259" s="109"/>
      <c r="M259" s="109"/>
      <c r="N259" s="109"/>
      <c r="O259" s="41"/>
      <c r="P259" s="55">
        <f>P258+($P$260-$P$258)/2</f>
        <v>8.1671244166666668</v>
      </c>
    </row>
    <row r="260" spans="1:16" x14ac:dyDescent="0.15">
      <c r="A260" s="38">
        <f t="shared" si="26"/>
        <v>1906</v>
      </c>
      <c r="B260" s="109"/>
      <c r="C260" s="109"/>
      <c r="D260" s="109"/>
      <c r="E260" s="109"/>
      <c r="F260" s="109"/>
      <c r="G260" s="109"/>
      <c r="H260" s="109"/>
      <c r="I260" s="41">
        <v>8.6475434999999994</v>
      </c>
      <c r="K260" s="109"/>
      <c r="L260" s="109"/>
      <c r="M260" s="109"/>
      <c r="N260" s="109"/>
      <c r="O260" s="41">
        <v>8.6475434999999994</v>
      </c>
      <c r="P260" s="109">
        <v>8.6475434999999994</v>
      </c>
    </row>
    <row r="261" spans="1:16" x14ac:dyDescent="0.15">
      <c r="A261" s="38">
        <f t="shared" si="26"/>
        <v>1907</v>
      </c>
      <c r="B261" s="109"/>
      <c r="C261" s="109"/>
      <c r="D261" s="109"/>
      <c r="E261" s="109"/>
      <c r="F261" s="109"/>
      <c r="G261" s="109"/>
      <c r="H261" s="109"/>
      <c r="I261" s="41">
        <v>8.6475434999999994</v>
      </c>
      <c r="K261" s="109"/>
      <c r="L261" s="109"/>
      <c r="M261" s="109"/>
      <c r="N261" s="109"/>
      <c r="O261" s="41">
        <v>8.6475434999999994</v>
      </c>
      <c r="P261" s="109">
        <v>8.6475434999999994</v>
      </c>
    </row>
    <row r="262" spans="1:16" x14ac:dyDescent="0.15">
      <c r="A262" s="38">
        <f t="shared" si="26"/>
        <v>1908</v>
      </c>
      <c r="B262" s="109"/>
      <c r="C262" s="109"/>
      <c r="D262" s="109"/>
      <c r="E262" s="109"/>
      <c r="F262" s="109"/>
      <c r="G262" s="109"/>
      <c r="H262" s="109"/>
      <c r="I262" s="41">
        <v>7.6867053333333333</v>
      </c>
      <c r="K262" s="109"/>
      <c r="L262" s="109"/>
      <c r="M262" s="109"/>
      <c r="N262" s="109"/>
      <c r="O262" s="41">
        <v>7.6867053333333333</v>
      </c>
      <c r="P262" s="109">
        <v>7.6867053333333333</v>
      </c>
    </row>
    <row r="263" spans="1:16" x14ac:dyDescent="0.15">
      <c r="A263" s="38">
        <f t="shared" si="26"/>
        <v>1909</v>
      </c>
      <c r="B263" s="109"/>
      <c r="C263" s="109"/>
      <c r="D263" s="109"/>
      <c r="E263" s="109"/>
      <c r="F263" s="109"/>
      <c r="G263" s="109"/>
      <c r="H263" s="109"/>
      <c r="I263" s="41">
        <v>7.6867053333333333</v>
      </c>
      <c r="K263" s="109"/>
      <c r="L263" s="109"/>
      <c r="M263" s="109"/>
      <c r="N263" s="109"/>
      <c r="O263" s="41">
        <v>7.6867053333333333</v>
      </c>
      <c r="P263" s="109">
        <v>7.6867053333333333</v>
      </c>
    </row>
    <row r="264" spans="1:16" x14ac:dyDescent="0.15">
      <c r="A264" s="38">
        <f t="shared" si="26"/>
        <v>1910</v>
      </c>
      <c r="B264" s="109"/>
      <c r="C264" s="109"/>
      <c r="D264" s="109"/>
      <c r="E264" s="109"/>
      <c r="F264" s="109"/>
      <c r="G264" s="109"/>
      <c r="H264" s="109"/>
      <c r="I264" s="41">
        <v>5.0444003749999995</v>
      </c>
      <c r="K264" s="109"/>
      <c r="L264" s="109"/>
      <c r="M264" s="109"/>
      <c r="N264" s="109"/>
      <c r="O264" s="41">
        <v>5.0444003749999995</v>
      </c>
      <c r="P264" s="109">
        <v>5.0444003749999995</v>
      </c>
    </row>
    <row r="265" spans="1:16" x14ac:dyDescent="0.15">
      <c r="A265" s="38">
        <v>1911</v>
      </c>
      <c r="B265" s="109"/>
      <c r="C265" s="109"/>
      <c r="D265" s="109"/>
      <c r="E265" s="109"/>
      <c r="F265" s="109"/>
      <c r="G265" s="109"/>
      <c r="H265" s="109"/>
      <c r="I265" s="41">
        <v>5.0444003749999995</v>
      </c>
      <c r="K265" s="109"/>
      <c r="L265" s="109"/>
      <c r="M265" s="109"/>
      <c r="N265" s="109"/>
      <c r="O265" s="41">
        <v>5.0444003749999995</v>
      </c>
      <c r="P265" s="109">
        <v>5.0444003749999995</v>
      </c>
    </row>
    <row r="266" spans="1:16" x14ac:dyDescent="0.15">
      <c r="A266" s="38">
        <v>1912</v>
      </c>
      <c r="B266" s="109"/>
      <c r="C266" s="109"/>
      <c r="D266" s="109"/>
      <c r="E266" s="109"/>
      <c r="F266" s="109"/>
      <c r="G266" s="109"/>
      <c r="H266" s="109"/>
      <c r="I266" s="41"/>
      <c r="K266" s="109"/>
      <c r="L266" s="109"/>
      <c r="M266" s="109"/>
      <c r="N266" s="109"/>
      <c r="O266" s="41"/>
      <c r="P266" s="55">
        <f>P265+($P$267-$P$265)/2</f>
        <v>6.8459719374999999</v>
      </c>
    </row>
    <row r="267" spans="1:16" x14ac:dyDescent="0.15">
      <c r="A267" s="38">
        <v>1913</v>
      </c>
      <c r="B267" s="109"/>
      <c r="C267" s="109"/>
      <c r="D267" s="109"/>
      <c r="E267" s="109"/>
      <c r="F267" s="109"/>
      <c r="G267" s="109"/>
      <c r="H267" s="109"/>
      <c r="I267" s="41">
        <v>8.6475434999999994</v>
      </c>
      <c r="K267" s="109"/>
      <c r="L267" s="109"/>
      <c r="M267" s="109"/>
      <c r="N267" s="109"/>
      <c r="O267" s="41">
        <v>8.6475434999999994</v>
      </c>
      <c r="P267" s="109">
        <v>8.6475434999999994</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7"/>
  <sheetViews>
    <sheetView workbookViewId="0">
      <pane xSplit="1" ySplit="6" topLeftCell="E7" activePane="bottomRight" state="frozen"/>
      <selection pane="topRight" activeCell="B1" sqref="B1"/>
      <selection pane="bottomLeft" activeCell="A7" sqref="A7"/>
      <selection pane="bottomRight" activeCell="T4" sqref="T4"/>
    </sheetView>
  </sheetViews>
  <sheetFormatPr baseColWidth="10" defaultColWidth="8.83203125" defaultRowHeight="13" x14ac:dyDescent="0.15"/>
  <cols>
    <col min="1" max="1" width="8.83203125" style="38"/>
    <col min="5" max="5" width="13.5" customWidth="1"/>
    <col min="7" max="7" width="13.83203125" customWidth="1"/>
    <col min="8" max="8" width="14" customWidth="1"/>
    <col min="9" max="9" width="13.83203125" customWidth="1"/>
    <col min="10" max="10" width="13.33203125" style="29" customWidth="1"/>
    <col min="13" max="13" width="8.83203125" style="69"/>
  </cols>
  <sheetData>
    <row r="1" spans="1:20" x14ac:dyDescent="0.15">
      <c r="B1" s="53" t="s">
        <v>62</v>
      </c>
      <c r="C1" s="107"/>
      <c r="D1" s="107"/>
      <c r="E1" s="107"/>
      <c r="F1" s="107"/>
      <c r="G1" s="107"/>
      <c r="H1" s="107"/>
      <c r="I1" s="107"/>
      <c r="J1" s="109"/>
      <c r="K1" s="107"/>
      <c r="L1" s="107"/>
      <c r="N1" s="107"/>
      <c r="O1" s="107"/>
      <c r="P1" s="107"/>
      <c r="Q1" s="107"/>
      <c r="R1" s="107"/>
    </row>
    <row r="2" spans="1:20" x14ac:dyDescent="0.15">
      <c r="B2" s="107"/>
      <c r="C2" s="107"/>
      <c r="D2" s="107"/>
      <c r="E2" s="107"/>
      <c r="F2" s="107"/>
      <c r="G2" s="107"/>
      <c r="H2" s="107" t="s">
        <v>104</v>
      </c>
      <c r="I2" s="107" t="s">
        <v>105</v>
      </c>
      <c r="J2" s="109"/>
      <c r="K2" s="107"/>
      <c r="L2" s="107"/>
      <c r="N2" s="107"/>
      <c r="O2" s="107"/>
      <c r="P2" s="107" t="s">
        <v>65</v>
      </c>
      <c r="Q2" s="107"/>
      <c r="R2" s="107"/>
    </row>
    <row r="3" spans="1:20" x14ac:dyDescent="0.15">
      <c r="A3" s="38" t="s">
        <v>68</v>
      </c>
      <c r="B3" s="107" t="s">
        <v>72</v>
      </c>
      <c r="C3" s="107" t="s">
        <v>72</v>
      </c>
      <c r="D3" s="107" t="s">
        <v>72</v>
      </c>
      <c r="E3" s="107" t="s">
        <v>73</v>
      </c>
      <c r="F3" s="107" t="s">
        <v>77</v>
      </c>
      <c r="G3" s="107" t="s">
        <v>106</v>
      </c>
      <c r="H3" s="107" t="s">
        <v>107</v>
      </c>
      <c r="I3" s="107" t="s">
        <v>107</v>
      </c>
      <c r="J3" s="109" t="s">
        <v>108</v>
      </c>
      <c r="K3" s="107" t="s">
        <v>78</v>
      </c>
      <c r="L3" s="107" t="s">
        <v>109</v>
      </c>
      <c r="N3" s="107" t="s">
        <v>63</v>
      </c>
      <c r="O3" s="107"/>
      <c r="P3" s="107"/>
      <c r="Q3" s="107"/>
      <c r="R3" s="107" t="s">
        <v>110</v>
      </c>
    </row>
    <row r="4" spans="1:20" x14ac:dyDescent="0.15">
      <c r="A4" s="31" t="s">
        <v>84</v>
      </c>
      <c r="B4" s="107" t="s">
        <v>85</v>
      </c>
      <c r="C4" s="107" t="s">
        <v>85</v>
      </c>
      <c r="D4" s="107" t="s">
        <v>85</v>
      </c>
      <c r="E4" s="107" t="s">
        <v>85</v>
      </c>
      <c r="F4" s="107" t="s">
        <v>85</v>
      </c>
      <c r="G4" s="107" t="s">
        <v>87</v>
      </c>
      <c r="H4" s="107" t="s">
        <v>87</v>
      </c>
      <c r="I4" s="107" t="s">
        <v>87</v>
      </c>
      <c r="J4" s="109" t="s">
        <v>88</v>
      </c>
      <c r="K4" s="107" t="s">
        <v>87</v>
      </c>
      <c r="L4" s="107" t="s">
        <v>55</v>
      </c>
      <c r="N4" s="107" t="s">
        <v>85</v>
      </c>
      <c r="O4" s="107"/>
      <c r="P4" s="107" t="s">
        <v>89</v>
      </c>
      <c r="Q4" s="107" t="s">
        <v>55</v>
      </c>
      <c r="R4" s="107" t="s">
        <v>55</v>
      </c>
      <c r="T4" s="31" t="s">
        <v>1031</v>
      </c>
    </row>
    <row r="5" spans="1:20" x14ac:dyDescent="0.15">
      <c r="A5" s="31" t="s">
        <v>91</v>
      </c>
      <c r="B5" s="107" t="s">
        <v>111</v>
      </c>
      <c r="C5" s="107" t="s">
        <v>101</v>
      </c>
      <c r="D5" s="107" t="s">
        <v>101</v>
      </c>
      <c r="E5" s="107" t="s">
        <v>101</v>
      </c>
      <c r="F5" s="107" t="s">
        <v>101</v>
      </c>
      <c r="G5" s="107" t="s">
        <v>112</v>
      </c>
      <c r="H5" s="107" t="s">
        <v>103</v>
      </c>
      <c r="I5" s="107" t="s">
        <v>103</v>
      </c>
      <c r="J5" s="109" t="s">
        <v>103</v>
      </c>
      <c r="K5" s="107" t="s">
        <v>112</v>
      </c>
      <c r="L5" s="107" t="s">
        <v>51</v>
      </c>
      <c r="N5" s="107" t="s">
        <v>113</v>
      </c>
      <c r="O5" s="107"/>
      <c r="P5" s="107"/>
      <c r="Q5" s="107" t="s">
        <v>51</v>
      </c>
      <c r="R5" s="107" t="s">
        <v>51</v>
      </c>
    </row>
    <row r="7" spans="1:20" x14ac:dyDescent="0.15">
      <c r="A7" s="38">
        <v>1653</v>
      </c>
      <c r="B7" s="107"/>
      <c r="C7" s="107"/>
      <c r="D7" s="107"/>
      <c r="E7" s="107"/>
      <c r="F7" s="107"/>
      <c r="G7" s="107"/>
      <c r="H7" s="107"/>
      <c r="I7" s="107"/>
      <c r="J7" s="109"/>
      <c r="K7" s="107"/>
      <c r="L7" s="107"/>
      <c r="N7" s="107"/>
      <c r="O7" s="107"/>
      <c r="P7" s="107"/>
      <c r="Q7" s="107"/>
      <c r="R7" s="107"/>
    </row>
    <row r="8" spans="1:20" x14ac:dyDescent="0.15">
      <c r="A8" s="38">
        <f t="shared" ref="A8:A52" si="0">A9-1</f>
        <v>1654</v>
      </c>
      <c r="B8" s="107"/>
      <c r="C8" s="107"/>
      <c r="D8" s="107"/>
      <c r="E8" s="107"/>
      <c r="F8" s="107"/>
      <c r="G8" s="107"/>
      <c r="H8" s="107"/>
      <c r="I8" s="107"/>
      <c r="J8" s="109"/>
      <c r="K8" s="107"/>
      <c r="L8" s="107"/>
      <c r="N8" s="107"/>
      <c r="O8" s="107"/>
      <c r="P8" s="107"/>
      <c r="Q8" s="107"/>
      <c r="R8" s="107"/>
    </row>
    <row r="9" spans="1:20" x14ac:dyDescent="0.15">
      <c r="A9" s="38">
        <f t="shared" si="0"/>
        <v>1655</v>
      </c>
      <c r="B9" s="107">
        <v>120</v>
      </c>
      <c r="C9" s="107"/>
      <c r="D9" s="107"/>
      <c r="E9" s="107"/>
      <c r="F9" s="107"/>
      <c r="G9" s="107"/>
      <c r="H9" s="107"/>
      <c r="I9" s="107"/>
      <c r="J9" s="109"/>
      <c r="K9" s="107"/>
      <c r="L9" s="107"/>
      <c r="N9" s="107"/>
      <c r="O9" s="107"/>
      <c r="P9" s="107"/>
      <c r="Q9" s="107"/>
      <c r="R9" s="107"/>
    </row>
    <row r="10" spans="1:20" x14ac:dyDescent="0.15">
      <c r="A10" s="38">
        <f t="shared" si="0"/>
        <v>1656</v>
      </c>
      <c r="B10" s="107"/>
      <c r="C10" s="107">
        <v>0.5</v>
      </c>
      <c r="D10" s="107"/>
      <c r="E10" s="107"/>
      <c r="F10" s="107"/>
      <c r="G10" s="107"/>
      <c r="H10" s="107"/>
      <c r="I10" s="107"/>
      <c r="J10" s="109"/>
      <c r="K10" s="107"/>
      <c r="L10" s="107"/>
      <c r="N10" s="107">
        <f>C10/0.494</f>
        <v>1.0121457489878543</v>
      </c>
      <c r="O10" s="107"/>
      <c r="P10" s="107"/>
      <c r="Q10" s="107">
        <f t="shared" ref="Q10:Q31" si="1">N10*7.84</f>
        <v>7.9352226720647776</v>
      </c>
      <c r="R10" s="107">
        <v>7.9352226720647776</v>
      </c>
    </row>
    <row r="11" spans="1:20" x14ac:dyDescent="0.15">
      <c r="A11" s="38">
        <f t="shared" si="0"/>
        <v>1657</v>
      </c>
      <c r="B11" s="107"/>
      <c r="C11" s="107">
        <v>0.5</v>
      </c>
      <c r="D11" s="107"/>
      <c r="E11" s="107"/>
      <c r="F11" s="107"/>
      <c r="G11" s="107"/>
      <c r="H11" s="107"/>
      <c r="I11" s="107"/>
      <c r="J11" s="109"/>
      <c r="K11" s="107"/>
      <c r="L11" s="107"/>
      <c r="N11" s="107">
        <f>C11/0.494</f>
        <v>1.0121457489878543</v>
      </c>
      <c r="O11" s="107"/>
      <c r="P11" s="107"/>
      <c r="Q11" s="107">
        <f t="shared" si="1"/>
        <v>7.9352226720647776</v>
      </c>
      <c r="R11" s="107">
        <v>7.9352226720647776</v>
      </c>
    </row>
    <row r="12" spans="1:20" x14ac:dyDescent="0.15">
      <c r="A12" s="38">
        <f t="shared" si="0"/>
        <v>1658</v>
      </c>
      <c r="B12" s="107"/>
      <c r="C12" s="107"/>
      <c r="D12" s="107"/>
      <c r="E12" s="107"/>
      <c r="F12" s="107"/>
      <c r="G12" s="107"/>
      <c r="H12" s="107"/>
      <c r="I12" s="107"/>
      <c r="J12" s="109"/>
      <c r="K12" s="107"/>
      <c r="L12" s="107"/>
      <c r="N12" s="107"/>
      <c r="O12" s="107"/>
      <c r="P12" s="107"/>
      <c r="Q12" s="107"/>
      <c r="R12" s="72">
        <f>R11+($R$13-$R$11)/2</f>
        <v>8.7287449392712553</v>
      </c>
    </row>
    <row r="13" spans="1:20" x14ac:dyDescent="0.15">
      <c r="A13" s="38">
        <f t="shared" si="0"/>
        <v>1659</v>
      </c>
      <c r="B13" s="107"/>
      <c r="C13" s="107">
        <v>0.6</v>
      </c>
      <c r="D13" s="107"/>
      <c r="E13" s="107"/>
      <c r="F13" s="107"/>
      <c r="G13" s="107"/>
      <c r="H13" s="107"/>
      <c r="I13" s="107"/>
      <c r="J13" s="109"/>
      <c r="K13" s="107"/>
      <c r="L13" s="107"/>
      <c r="N13" s="107">
        <f>C13/0.494</f>
        <v>1.214574898785425</v>
      </c>
      <c r="O13" s="107"/>
      <c r="P13" s="107"/>
      <c r="Q13" s="107">
        <f t="shared" si="1"/>
        <v>9.5222672064777321</v>
      </c>
      <c r="R13" s="107">
        <v>9.5222672064777321</v>
      </c>
    </row>
    <row r="14" spans="1:20" x14ac:dyDescent="0.15">
      <c r="A14" s="38">
        <f t="shared" si="0"/>
        <v>1660</v>
      </c>
      <c r="B14" s="107"/>
      <c r="C14" s="107"/>
      <c r="D14" s="107"/>
      <c r="E14" s="107"/>
      <c r="F14" s="107"/>
      <c r="G14" s="107"/>
      <c r="H14" s="107"/>
      <c r="I14" s="107"/>
      <c r="J14" s="109"/>
      <c r="K14" s="107"/>
      <c r="L14" s="107"/>
      <c r="N14" s="107"/>
      <c r="O14" s="107"/>
      <c r="P14" s="107"/>
      <c r="Q14" s="107"/>
      <c r="R14" s="72">
        <f>R13+($R$15-$R$13)/2</f>
        <v>9.5222672064777321</v>
      </c>
    </row>
    <row r="15" spans="1:20" x14ac:dyDescent="0.15">
      <c r="A15" s="38">
        <f t="shared" si="0"/>
        <v>1661</v>
      </c>
      <c r="B15" s="107"/>
      <c r="C15" s="107">
        <v>0.6</v>
      </c>
      <c r="D15" s="107"/>
      <c r="E15" s="107"/>
      <c r="F15" s="107"/>
      <c r="G15" s="107"/>
      <c r="H15" s="107"/>
      <c r="I15" s="107"/>
      <c r="J15" s="109"/>
      <c r="K15" s="107"/>
      <c r="L15" s="107"/>
      <c r="N15" s="107">
        <f t="shared" ref="N15:N38" si="2">C15/0.494</f>
        <v>1.214574898785425</v>
      </c>
      <c r="O15" s="107"/>
      <c r="P15" s="107"/>
      <c r="Q15" s="107">
        <f t="shared" si="1"/>
        <v>9.5222672064777321</v>
      </c>
      <c r="R15" s="107">
        <v>9.5222672064777321</v>
      </c>
    </row>
    <row r="16" spans="1:20" x14ac:dyDescent="0.15">
      <c r="A16" s="38">
        <f t="shared" si="0"/>
        <v>1662</v>
      </c>
      <c r="B16" s="107"/>
      <c r="C16" s="107">
        <v>0.6</v>
      </c>
      <c r="D16" s="107"/>
      <c r="E16" s="107"/>
      <c r="F16" s="107"/>
      <c r="G16" s="107"/>
      <c r="H16" s="107"/>
      <c r="I16" s="107"/>
      <c r="J16" s="109"/>
      <c r="K16" s="107"/>
      <c r="L16" s="107"/>
      <c r="N16" s="107">
        <f t="shared" si="2"/>
        <v>1.214574898785425</v>
      </c>
      <c r="O16" s="107"/>
      <c r="P16" s="107"/>
      <c r="Q16" s="107">
        <f t="shared" si="1"/>
        <v>9.5222672064777321</v>
      </c>
      <c r="R16" s="107">
        <v>9.5222672064777321</v>
      </c>
    </row>
    <row r="17" spans="1:18" x14ac:dyDescent="0.15">
      <c r="A17" s="38">
        <f t="shared" si="0"/>
        <v>1663</v>
      </c>
      <c r="B17" s="107"/>
      <c r="C17" s="107">
        <v>0.52404233870967742</v>
      </c>
      <c r="D17" s="107"/>
      <c r="E17" s="107"/>
      <c r="F17" s="107"/>
      <c r="G17" s="107"/>
      <c r="H17" s="107"/>
      <c r="I17" s="107"/>
      <c r="J17" s="109"/>
      <c r="K17" s="107"/>
      <c r="L17" s="107"/>
      <c r="N17" s="107">
        <f t="shared" si="2"/>
        <v>1.0608144508293065</v>
      </c>
      <c r="O17" s="107"/>
      <c r="P17" s="107"/>
      <c r="Q17" s="107">
        <f t="shared" si="1"/>
        <v>8.3167852945017628</v>
      </c>
      <c r="R17" s="107">
        <v>8.3167852945017628</v>
      </c>
    </row>
    <row r="18" spans="1:18" x14ac:dyDescent="0.15">
      <c r="A18" s="38">
        <f t="shared" si="0"/>
        <v>1664</v>
      </c>
      <c r="B18" s="107"/>
      <c r="C18" s="107"/>
      <c r="D18" s="107"/>
      <c r="E18" s="107"/>
      <c r="F18" s="107"/>
      <c r="G18" s="107"/>
      <c r="H18" s="107"/>
      <c r="I18" s="107"/>
      <c r="J18" s="109"/>
      <c r="K18" s="107"/>
      <c r="L18" s="107"/>
      <c r="N18" s="107"/>
      <c r="O18" s="107"/>
      <c r="P18" s="107"/>
      <c r="Q18" s="107"/>
      <c r="R18" s="72">
        <f>R17+($R$19-$R$17)/2</f>
        <v>10.109809651299464</v>
      </c>
    </row>
    <row r="19" spans="1:18" x14ac:dyDescent="0.15">
      <c r="A19" s="38">
        <f t="shared" si="0"/>
        <v>1665</v>
      </c>
      <c r="B19" s="107"/>
      <c r="C19" s="107">
        <v>0.75</v>
      </c>
      <c r="D19" s="107"/>
      <c r="E19" s="107"/>
      <c r="F19" s="107"/>
      <c r="G19" s="107"/>
      <c r="H19" s="107"/>
      <c r="I19" s="107"/>
      <c r="J19" s="109"/>
      <c r="K19" s="107"/>
      <c r="L19" s="107"/>
      <c r="N19" s="107">
        <f t="shared" si="2"/>
        <v>1.5182186234817814</v>
      </c>
      <c r="O19" s="107"/>
      <c r="P19" s="107"/>
      <c r="Q19" s="107">
        <f t="shared" si="1"/>
        <v>11.902834008097166</v>
      </c>
      <c r="R19" s="107">
        <v>11.902834008097166</v>
      </c>
    </row>
    <row r="20" spans="1:18" x14ac:dyDescent="0.15">
      <c r="A20" s="38">
        <f t="shared" si="0"/>
        <v>1666</v>
      </c>
      <c r="B20" s="107">
        <v>90.000000000000014</v>
      </c>
      <c r="C20" s="107"/>
      <c r="D20" s="107"/>
      <c r="E20" s="107"/>
      <c r="F20" s="107"/>
      <c r="G20" s="107"/>
      <c r="H20" s="107"/>
      <c r="I20" s="107"/>
      <c r="J20" s="109"/>
      <c r="K20" s="107"/>
      <c r="L20" s="107"/>
      <c r="N20" s="107"/>
      <c r="O20" s="107"/>
      <c r="P20" s="107"/>
      <c r="Q20" s="107"/>
      <c r="R20" s="72">
        <f>R19+($R$22-$R$19)/3</f>
        <v>11.109311740890687</v>
      </c>
    </row>
    <row r="21" spans="1:18" x14ac:dyDescent="0.15">
      <c r="A21" s="38">
        <f t="shared" si="0"/>
        <v>1667</v>
      </c>
      <c r="B21" s="107">
        <v>150</v>
      </c>
      <c r="C21" s="107"/>
      <c r="D21" s="107"/>
      <c r="E21" s="107"/>
      <c r="F21" s="107"/>
      <c r="G21" s="107"/>
      <c r="H21" s="107"/>
      <c r="I21" s="107"/>
      <c r="J21" s="109"/>
      <c r="K21" s="107"/>
      <c r="L21" s="107"/>
      <c r="N21" s="107"/>
      <c r="O21" s="107"/>
      <c r="P21" s="107"/>
      <c r="Q21" s="107"/>
      <c r="R21" s="72">
        <f>R20+($R$22-$R$19)/3</f>
        <v>10.315789473684209</v>
      </c>
    </row>
    <row r="22" spans="1:18" x14ac:dyDescent="0.15">
      <c r="A22" s="38">
        <f t="shared" si="0"/>
        <v>1668</v>
      </c>
      <c r="B22" s="107"/>
      <c r="C22" s="107">
        <v>0.6</v>
      </c>
      <c r="D22" s="107"/>
      <c r="E22" s="107"/>
      <c r="F22" s="107"/>
      <c r="G22" s="107"/>
      <c r="H22" s="107"/>
      <c r="I22" s="107"/>
      <c r="J22" s="109"/>
      <c r="K22" s="107"/>
      <c r="L22" s="107"/>
      <c r="N22" s="107">
        <f t="shared" si="2"/>
        <v>1.214574898785425</v>
      </c>
      <c r="O22" s="107"/>
      <c r="P22" s="107"/>
      <c r="Q22" s="107">
        <f t="shared" si="1"/>
        <v>9.5222672064777321</v>
      </c>
      <c r="R22" s="107">
        <v>9.5222672064777321</v>
      </c>
    </row>
    <row r="23" spans="1:18" x14ac:dyDescent="0.15">
      <c r="A23" s="38">
        <f t="shared" si="0"/>
        <v>1669</v>
      </c>
      <c r="B23" s="107"/>
      <c r="C23" s="107">
        <v>0.75</v>
      </c>
      <c r="D23" s="107"/>
      <c r="E23" s="107"/>
      <c r="F23" s="107"/>
      <c r="G23" s="107"/>
      <c r="H23" s="107"/>
      <c r="I23" s="107"/>
      <c r="J23" s="109"/>
      <c r="K23" s="107"/>
      <c r="L23" s="107"/>
      <c r="N23" s="107">
        <f t="shared" si="2"/>
        <v>1.5182186234817814</v>
      </c>
      <c r="O23" s="107"/>
      <c r="P23" s="107"/>
      <c r="Q23" s="107">
        <f t="shared" si="1"/>
        <v>11.902834008097166</v>
      </c>
      <c r="R23" s="107">
        <v>11.902834008097166</v>
      </c>
    </row>
    <row r="24" spans="1:18" x14ac:dyDescent="0.15">
      <c r="A24" s="38">
        <f t="shared" si="0"/>
        <v>1670</v>
      </c>
      <c r="B24" s="107"/>
      <c r="C24" s="107">
        <v>0.15625</v>
      </c>
      <c r="D24" s="107"/>
      <c r="E24" s="107"/>
      <c r="F24" s="107"/>
      <c r="G24" s="107"/>
      <c r="H24" s="107"/>
      <c r="I24" s="107"/>
      <c r="J24" s="109"/>
      <c r="K24" s="107"/>
      <c r="L24" s="107"/>
      <c r="N24" s="107">
        <f t="shared" si="2"/>
        <v>0.31629554655870445</v>
      </c>
      <c r="O24" s="107"/>
      <c r="P24" s="107"/>
      <c r="Q24" s="107">
        <f t="shared" si="1"/>
        <v>2.4797570850202431</v>
      </c>
      <c r="R24" s="107">
        <v>2.4797570850202431</v>
      </c>
    </row>
    <row r="25" spans="1:18" x14ac:dyDescent="0.15">
      <c r="A25" s="38">
        <f t="shared" si="0"/>
        <v>1671</v>
      </c>
      <c r="B25" s="107"/>
      <c r="C25" s="107">
        <v>0.6</v>
      </c>
      <c r="D25" s="107"/>
      <c r="E25" s="107"/>
      <c r="F25" s="107"/>
      <c r="G25" s="107"/>
      <c r="H25" s="107"/>
      <c r="I25" s="107"/>
      <c r="J25" s="109"/>
      <c r="K25" s="107"/>
      <c r="L25" s="107"/>
      <c r="N25" s="107">
        <f t="shared" si="2"/>
        <v>1.214574898785425</v>
      </c>
      <c r="O25" s="107"/>
      <c r="P25" s="107"/>
      <c r="Q25" s="107">
        <f t="shared" si="1"/>
        <v>9.5222672064777321</v>
      </c>
      <c r="R25" s="107">
        <v>9.5222672064777321</v>
      </c>
    </row>
    <row r="26" spans="1:18" x14ac:dyDescent="0.15">
      <c r="A26" s="38">
        <f t="shared" si="0"/>
        <v>1672</v>
      </c>
      <c r="B26" s="107">
        <v>120</v>
      </c>
      <c r="C26" s="107">
        <v>0.6</v>
      </c>
      <c r="D26" s="107"/>
      <c r="E26" s="107"/>
      <c r="F26" s="107"/>
      <c r="G26" s="107"/>
      <c r="H26" s="107"/>
      <c r="I26" s="107"/>
      <c r="J26" s="109"/>
      <c r="K26" s="107"/>
      <c r="L26" s="107"/>
      <c r="N26" s="107">
        <f t="shared" si="2"/>
        <v>1.214574898785425</v>
      </c>
      <c r="O26" s="107"/>
      <c r="P26" s="107"/>
      <c r="Q26" s="107">
        <f t="shared" si="1"/>
        <v>9.5222672064777321</v>
      </c>
      <c r="R26" s="107">
        <v>9.5222672064777321</v>
      </c>
    </row>
    <row r="27" spans="1:18" x14ac:dyDescent="0.15">
      <c r="A27" s="38">
        <f t="shared" si="0"/>
        <v>1673</v>
      </c>
      <c r="B27" s="107"/>
      <c r="C27" s="107">
        <v>0.375</v>
      </c>
      <c r="D27" s="107"/>
      <c r="E27" s="107"/>
      <c r="F27" s="107"/>
      <c r="G27" s="107"/>
      <c r="H27" s="107"/>
      <c r="I27" s="107"/>
      <c r="J27" s="109"/>
      <c r="K27" s="107"/>
      <c r="L27" s="107"/>
      <c r="N27" s="107">
        <f t="shared" si="2"/>
        <v>0.75910931174089069</v>
      </c>
      <c r="O27" s="107"/>
      <c r="P27" s="107"/>
      <c r="Q27" s="107">
        <f t="shared" si="1"/>
        <v>5.951417004048583</v>
      </c>
      <c r="R27" s="107">
        <v>5.951417004048583</v>
      </c>
    </row>
    <row r="28" spans="1:18" x14ac:dyDescent="0.15">
      <c r="A28" s="38">
        <f t="shared" si="0"/>
        <v>1674</v>
      </c>
      <c r="B28" s="107"/>
      <c r="C28" s="107">
        <v>0.375</v>
      </c>
      <c r="D28" s="107"/>
      <c r="E28" s="107"/>
      <c r="F28" s="107"/>
      <c r="G28" s="107"/>
      <c r="H28" s="107"/>
      <c r="I28" s="107"/>
      <c r="J28" s="109"/>
      <c r="K28" s="107"/>
      <c r="L28" s="107"/>
      <c r="N28" s="107">
        <f t="shared" si="2"/>
        <v>0.75910931174089069</v>
      </c>
      <c r="O28" s="107"/>
      <c r="P28" s="107"/>
      <c r="Q28" s="107">
        <f t="shared" si="1"/>
        <v>5.951417004048583</v>
      </c>
      <c r="R28" s="107">
        <v>5.951417004048583</v>
      </c>
    </row>
    <row r="29" spans="1:18" x14ac:dyDescent="0.15">
      <c r="A29" s="38">
        <f t="shared" si="0"/>
        <v>1675</v>
      </c>
      <c r="B29" s="107"/>
      <c r="C29" s="107"/>
      <c r="D29" s="107"/>
      <c r="E29" s="107"/>
      <c r="F29" s="107"/>
      <c r="G29" s="107"/>
      <c r="H29" s="107"/>
      <c r="I29" s="107"/>
      <c r="J29" s="109"/>
      <c r="K29" s="107"/>
      <c r="L29" s="107"/>
      <c r="N29" s="107"/>
      <c r="O29" s="107"/>
      <c r="P29" s="107"/>
      <c r="Q29" s="107"/>
      <c r="R29" s="72">
        <f>R28+($R$30-$R$28)/2</f>
        <v>5.951417004048583</v>
      </c>
    </row>
    <row r="30" spans="1:18" x14ac:dyDescent="0.15">
      <c r="A30" s="38">
        <f t="shared" si="0"/>
        <v>1676</v>
      </c>
      <c r="B30" s="107"/>
      <c r="C30" s="107">
        <v>0.375</v>
      </c>
      <c r="D30" s="107"/>
      <c r="E30" s="107"/>
      <c r="F30" s="107"/>
      <c r="G30" s="107"/>
      <c r="H30" s="107"/>
      <c r="I30" s="107"/>
      <c r="J30" s="109"/>
      <c r="K30" s="107"/>
      <c r="L30" s="107"/>
      <c r="N30" s="107">
        <f t="shared" si="2"/>
        <v>0.75910931174089069</v>
      </c>
      <c r="O30" s="107"/>
      <c r="P30" s="107"/>
      <c r="Q30" s="107">
        <f t="shared" si="1"/>
        <v>5.951417004048583</v>
      </c>
      <c r="R30" s="107">
        <v>5.951417004048583</v>
      </c>
    </row>
    <row r="31" spans="1:18" x14ac:dyDescent="0.15">
      <c r="A31" s="38">
        <f t="shared" si="0"/>
        <v>1677</v>
      </c>
      <c r="B31" s="107"/>
      <c r="C31" s="107">
        <v>0.375</v>
      </c>
      <c r="D31" s="107"/>
      <c r="E31" s="107"/>
      <c r="F31" s="107"/>
      <c r="G31" s="107"/>
      <c r="H31" s="107"/>
      <c r="I31" s="107"/>
      <c r="J31" s="109"/>
      <c r="K31" s="107"/>
      <c r="L31" s="107"/>
      <c r="N31" s="107">
        <f t="shared" si="2"/>
        <v>0.75910931174089069</v>
      </c>
      <c r="O31" s="107"/>
      <c r="P31" s="107"/>
      <c r="Q31" s="107">
        <f t="shared" si="1"/>
        <v>5.951417004048583</v>
      </c>
      <c r="R31" s="107">
        <v>5.951417004048583</v>
      </c>
    </row>
    <row r="32" spans="1:18" x14ac:dyDescent="0.15">
      <c r="A32" s="38">
        <f t="shared" si="0"/>
        <v>1678</v>
      </c>
      <c r="B32" s="107"/>
      <c r="C32" s="107"/>
      <c r="D32" s="107"/>
      <c r="E32" s="107"/>
      <c r="F32" s="107"/>
      <c r="G32" s="107"/>
      <c r="H32" s="107"/>
      <c r="I32" s="107"/>
      <c r="J32" s="109"/>
      <c r="K32" s="107"/>
      <c r="L32" s="107"/>
      <c r="N32" s="107"/>
      <c r="O32" s="107"/>
      <c r="P32" s="107"/>
      <c r="Q32" s="107"/>
      <c r="R32" s="72">
        <f>R31+($R$35-$R$31)/4</f>
        <v>5.8256578947368425</v>
      </c>
    </row>
    <row r="33" spans="1:18" x14ac:dyDescent="0.15">
      <c r="A33" s="38">
        <f t="shared" si="0"/>
        <v>1679</v>
      </c>
      <c r="B33" s="107"/>
      <c r="C33" s="107"/>
      <c r="D33" s="107"/>
      <c r="E33" s="107"/>
      <c r="F33" s="107"/>
      <c r="G33" s="107"/>
      <c r="H33" s="107"/>
      <c r="I33" s="107"/>
      <c r="J33" s="109"/>
      <c r="K33" s="107"/>
      <c r="L33" s="107"/>
      <c r="N33" s="107"/>
      <c r="O33" s="107"/>
      <c r="P33" s="107"/>
      <c r="Q33" s="107"/>
      <c r="R33" s="72">
        <f>R32+($R$35-$R$31)/4</f>
        <v>5.699898785425102</v>
      </c>
    </row>
    <row r="34" spans="1:18" x14ac:dyDescent="0.15">
      <c r="A34" s="38">
        <f t="shared" si="0"/>
        <v>1680</v>
      </c>
      <c r="B34" s="107"/>
      <c r="C34" s="107"/>
      <c r="D34" s="107"/>
      <c r="E34" s="107"/>
      <c r="F34" s="107"/>
      <c r="G34" s="107"/>
      <c r="H34" s="107"/>
      <c r="I34" s="107"/>
      <c r="J34" s="109"/>
      <c r="K34" s="107"/>
      <c r="L34" s="107"/>
      <c r="N34" s="107"/>
      <c r="O34" s="107"/>
      <c r="P34" s="107"/>
      <c r="Q34" s="107"/>
      <c r="R34" s="72">
        <f>R33+($R$35-$R$31)/4</f>
        <v>5.5741396761133615</v>
      </c>
    </row>
    <row r="35" spans="1:18" x14ac:dyDescent="0.15">
      <c r="A35" s="38">
        <f t="shared" si="0"/>
        <v>1681</v>
      </c>
      <c r="B35" s="107"/>
      <c r="C35" s="107">
        <v>0.35</v>
      </c>
      <c r="D35" s="107"/>
      <c r="E35" s="107"/>
      <c r="F35" s="107"/>
      <c r="G35" s="107"/>
      <c r="H35" s="107"/>
      <c r="I35" s="107"/>
      <c r="J35" s="109"/>
      <c r="K35" s="107"/>
      <c r="L35" s="107"/>
      <c r="N35" s="107">
        <f t="shared" si="2"/>
        <v>0.70850202429149789</v>
      </c>
      <c r="O35" s="107"/>
      <c r="P35" s="107"/>
      <c r="Q35" s="107">
        <f t="shared" ref="Q35:Q39" si="3">N35*7.69</f>
        <v>5.4483805668016192</v>
      </c>
      <c r="R35" s="107">
        <v>5.4483805668016192</v>
      </c>
    </row>
    <row r="36" spans="1:18" x14ac:dyDescent="0.15">
      <c r="A36" s="38">
        <f t="shared" si="0"/>
        <v>1682</v>
      </c>
      <c r="B36" s="107"/>
      <c r="C36" s="107">
        <v>0.35</v>
      </c>
      <c r="D36" s="107"/>
      <c r="E36" s="107"/>
      <c r="F36" s="107"/>
      <c r="G36" s="107"/>
      <c r="H36" s="107"/>
      <c r="I36" s="107"/>
      <c r="J36" s="109"/>
      <c r="K36" s="107"/>
      <c r="L36" s="107"/>
      <c r="N36" s="107">
        <f t="shared" si="2"/>
        <v>0.70850202429149789</v>
      </c>
      <c r="O36" s="107"/>
      <c r="P36" s="107"/>
      <c r="Q36" s="107">
        <f t="shared" si="3"/>
        <v>5.4483805668016192</v>
      </c>
      <c r="R36" s="107">
        <v>5.4483805668016192</v>
      </c>
    </row>
    <row r="37" spans="1:18" x14ac:dyDescent="0.15">
      <c r="A37" s="38">
        <f t="shared" si="0"/>
        <v>1683</v>
      </c>
      <c r="B37" s="107"/>
      <c r="C37" s="107">
        <v>0.35</v>
      </c>
      <c r="D37" s="107"/>
      <c r="E37" s="107"/>
      <c r="F37" s="107"/>
      <c r="G37" s="107"/>
      <c r="H37" s="107"/>
      <c r="I37" s="107"/>
      <c r="J37" s="109"/>
      <c r="K37" s="107"/>
      <c r="L37" s="107"/>
      <c r="N37" s="107">
        <f t="shared" si="2"/>
        <v>0.70850202429149789</v>
      </c>
      <c r="O37" s="107"/>
      <c r="P37" s="107"/>
      <c r="Q37" s="107">
        <f t="shared" si="3"/>
        <v>5.4483805668016192</v>
      </c>
      <c r="R37" s="107">
        <v>5.4483805668016192</v>
      </c>
    </row>
    <row r="38" spans="1:18" x14ac:dyDescent="0.15">
      <c r="A38" s="38">
        <f t="shared" si="0"/>
        <v>1684</v>
      </c>
      <c r="B38" s="107"/>
      <c r="C38" s="107">
        <v>0.35</v>
      </c>
      <c r="D38" s="107"/>
      <c r="E38" s="107"/>
      <c r="F38" s="107"/>
      <c r="G38" s="107"/>
      <c r="H38" s="107"/>
      <c r="I38" s="107"/>
      <c r="J38" s="109"/>
      <c r="K38" s="107"/>
      <c r="L38" s="107"/>
      <c r="N38" s="107">
        <f t="shared" si="2"/>
        <v>0.70850202429149789</v>
      </c>
      <c r="O38" s="107"/>
      <c r="P38" s="107"/>
      <c r="Q38" s="107">
        <f t="shared" si="3"/>
        <v>5.4483805668016192</v>
      </c>
      <c r="R38" s="107">
        <v>5.4483805668016192</v>
      </c>
    </row>
    <row r="39" spans="1:18" x14ac:dyDescent="0.15">
      <c r="A39" s="38">
        <f t="shared" si="0"/>
        <v>1685</v>
      </c>
      <c r="B39" s="107">
        <v>180</v>
      </c>
      <c r="C39" s="107">
        <v>0.6</v>
      </c>
      <c r="D39" s="107">
        <v>0.45</v>
      </c>
      <c r="E39" s="107"/>
      <c r="F39" s="107"/>
      <c r="G39" s="107"/>
      <c r="H39" s="107"/>
      <c r="I39" s="107"/>
      <c r="J39" s="109"/>
      <c r="K39" s="107"/>
      <c r="L39" s="107"/>
      <c r="N39" s="107">
        <f>AVERAGE(C39:D39)/0.494</f>
        <v>1.0627530364372471</v>
      </c>
      <c r="O39" s="107"/>
      <c r="P39" s="107"/>
      <c r="Q39" s="107">
        <f t="shared" si="3"/>
        <v>8.1725708502024297</v>
      </c>
      <c r="R39" s="107">
        <v>8.1725708502024297</v>
      </c>
    </row>
    <row r="40" spans="1:18" x14ac:dyDescent="0.15">
      <c r="A40" s="38">
        <f t="shared" si="0"/>
        <v>1686</v>
      </c>
      <c r="B40" s="107"/>
      <c r="C40" s="107"/>
      <c r="D40" s="107"/>
      <c r="E40" s="107"/>
      <c r="F40" s="107"/>
      <c r="G40" s="107"/>
      <c r="H40" s="107"/>
      <c r="I40" s="107"/>
      <c r="J40" s="109"/>
      <c r="K40" s="107"/>
      <c r="L40" s="107"/>
      <c r="N40" s="107"/>
      <c r="O40" s="107"/>
      <c r="P40" s="107"/>
      <c r="Q40" s="107"/>
      <c r="R40" s="72">
        <f>R39+($R$42-$R$39)/3</f>
        <v>7.5239541160593797</v>
      </c>
    </row>
    <row r="41" spans="1:18" x14ac:dyDescent="0.15">
      <c r="A41" s="38">
        <f t="shared" si="0"/>
        <v>1687</v>
      </c>
      <c r="B41" s="107"/>
      <c r="C41" s="107"/>
      <c r="D41" s="107"/>
      <c r="E41" s="107"/>
      <c r="F41" s="107"/>
      <c r="G41" s="107"/>
      <c r="H41" s="107"/>
      <c r="I41" s="107"/>
      <c r="J41" s="109"/>
      <c r="K41" s="107"/>
      <c r="L41" s="107"/>
      <c r="N41" s="107"/>
      <c r="O41" s="107"/>
      <c r="P41" s="107"/>
      <c r="Q41" s="107"/>
      <c r="R41" s="72">
        <f>R40+($R$42-$R$39)/3</f>
        <v>6.8753373819163297</v>
      </c>
    </row>
    <row r="42" spans="1:18" x14ac:dyDescent="0.15">
      <c r="A42" s="38">
        <f t="shared" si="0"/>
        <v>1688</v>
      </c>
      <c r="B42" s="107"/>
      <c r="C42" s="107"/>
      <c r="D42" s="107">
        <v>0.4</v>
      </c>
      <c r="E42" s="107"/>
      <c r="F42" s="107"/>
      <c r="G42" s="107"/>
      <c r="H42" s="107"/>
      <c r="I42" s="107"/>
      <c r="J42" s="109"/>
      <c r="K42" s="107"/>
      <c r="L42" s="107"/>
      <c r="N42" s="107">
        <f t="shared" ref="N42:N43" si="4">AVERAGE(C42:D42)/0.494</f>
        <v>0.80971659919028349</v>
      </c>
      <c r="O42" s="107"/>
      <c r="P42" s="107"/>
      <c r="Q42" s="107">
        <f t="shared" ref="Q42:Q43" si="5">N42*7.69</f>
        <v>6.2267206477732806</v>
      </c>
      <c r="R42" s="107">
        <v>6.2267206477732806</v>
      </c>
    </row>
    <row r="43" spans="1:18" x14ac:dyDescent="0.15">
      <c r="A43" s="38">
        <f t="shared" si="0"/>
        <v>1689</v>
      </c>
      <c r="B43" s="107"/>
      <c r="C43" s="107"/>
      <c r="D43" s="107">
        <v>0.35</v>
      </c>
      <c r="E43" s="107"/>
      <c r="F43" s="107"/>
      <c r="G43" s="107"/>
      <c r="H43" s="107"/>
      <c r="I43" s="107"/>
      <c r="J43" s="109"/>
      <c r="K43" s="107"/>
      <c r="L43" s="107"/>
      <c r="N43" s="107">
        <f t="shared" si="4"/>
        <v>0.70850202429149789</v>
      </c>
      <c r="O43" s="107"/>
      <c r="P43" s="107"/>
      <c r="Q43" s="107">
        <f t="shared" si="5"/>
        <v>5.4483805668016192</v>
      </c>
      <c r="R43" s="107">
        <v>5.4483805668016192</v>
      </c>
    </row>
    <row r="44" spans="1:18" x14ac:dyDescent="0.15">
      <c r="A44" s="38">
        <f t="shared" si="0"/>
        <v>1690</v>
      </c>
      <c r="B44" s="107">
        <v>120</v>
      </c>
      <c r="C44" s="107"/>
      <c r="D44" s="107"/>
      <c r="E44" s="107"/>
      <c r="F44" s="107"/>
      <c r="G44" s="107"/>
      <c r="H44" s="107"/>
      <c r="I44" s="107"/>
      <c r="J44" s="109"/>
      <c r="K44" s="107"/>
      <c r="L44" s="107"/>
      <c r="N44" s="107"/>
      <c r="O44" s="107"/>
      <c r="P44" s="107"/>
      <c r="Q44" s="107"/>
      <c r="R44" s="72">
        <f>R43+($R$47-$R$43)/4</f>
        <v>6.0321356275303639</v>
      </c>
    </row>
    <row r="45" spans="1:18" x14ac:dyDescent="0.15">
      <c r="A45" s="38">
        <f t="shared" si="0"/>
        <v>1691</v>
      </c>
      <c r="B45" s="107">
        <v>120</v>
      </c>
      <c r="C45" s="107"/>
      <c r="D45" s="107"/>
      <c r="E45" s="107"/>
      <c r="F45" s="107"/>
      <c r="G45" s="107"/>
      <c r="H45" s="107"/>
      <c r="I45" s="107"/>
      <c r="J45" s="109"/>
      <c r="K45" s="107"/>
      <c r="L45" s="107"/>
      <c r="N45" s="107"/>
      <c r="O45" s="107"/>
      <c r="P45" s="107"/>
      <c r="Q45" s="107"/>
      <c r="R45" s="72">
        <f>R44+($R$47-$R$43)/4</f>
        <v>6.6158906882591086</v>
      </c>
    </row>
    <row r="46" spans="1:18" x14ac:dyDescent="0.15">
      <c r="A46" s="38">
        <f t="shared" si="0"/>
        <v>1692</v>
      </c>
      <c r="B46" s="107"/>
      <c r="C46" s="107"/>
      <c r="D46" s="107"/>
      <c r="E46" s="107"/>
      <c r="F46" s="107"/>
      <c r="G46" s="107"/>
      <c r="H46" s="107"/>
      <c r="I46" s="107"/>
      <c r="J46" s="109"/>
      <c r="K46" s="107"/>
      <c r="L46" s="107"/>
      <c r="N46" s="107"/>
      <c r="O46" s="107"/>
      <c r="P46" s="107"/>
      <c r="Q46" s="107"/>
      <c r="R46" s="72">
        <f>R45+($R$47-$R$43)/4</f>
        <v>7.1996457489878534</v>
      </c>
    </row>
    <row r="47" spans="1:18" x14ac:dyDescent="0.15">
      <c r="A47" s="38">
        <f t="shared" si="0"/>
        <v>1693</v>
      </c>
      <c r="B47" s="107"/>
      <c r="C47" s="107">
        <v>0.5</v>
      </c>
      <c r="D47" s="107"/>
      <c r="E47" s="107"/>
      <c r="F47" s="107"/>
      <c r="G47" s="107"/>
      <c r="H47" s="107"/>
      <c r="I47" s="107"/>
      <c r="J47" s="109"/>
      <c r="K47" s="107"/>
      <c r="L47" s="107"/>
      <c r="N47" s="107">
        <f t="shared" ref="N47:N48" si="6">AVERAGE(C47:D47)/0.494</f>
        <v>1.0121457489878543</v>
      </c>
      <c r="O47" s="107"/>
      <c r="P47" s="107"/>
      <c r="Q47" s="107">
        <f t="shared" ref="Q47:Q48" si="7">N47*7.69</f>
        <v>7.7834008097165999</v>
      </c>
      <c r="R47" s="107">
        <v>7.7834008097165999</v>
      </c>
    </row>
    <row r="48" spans="1:18" x14ac:dyDescent="0.15">
      <c r="A48" s="38">
        <f t="shared" si="0"/>
        <v>1694</v>
      </c>
      <c r="B48" s="107"/>
      <c r="C48" s="107">
        <v>0.5</v>
      </c>
      <c r="D48" s="107"/>
      <c r="E48" s="107"/>
      <c r="F48" s="107"/>
      <c r="G48" s="107"/>
      <c r="H48" s="107"/>
      <c r="I48" s="107"/>
      <c r="J48" s="109"/>
      <c r="K48" s="107"/>
      <c r="L48" s="107"/>
      <c r="N48" s="107">
        <f t="shared" si="6"/>
        <v>1.0121457489878543</v>
      </c>
      <c r="O48" s="107"/>
      <c r="P48" s="107"/>
      <c r="Q48" s="107">
        <f t="shared" si="7"/>
        <v>7.7834008097165999</v>
      </c>
      <c r="R48" s="107">
        <v>7.7834008097165999</v>
      </c>
    </row>
    <row r="49" spans="1:18" x14ac:dyDescent="0.15">
      <c r="A49" s="38">
        <f t="shared" si="0"/>
        <v>1695</v>
      </c>
      <c r="B49" s="107"/>
      <c r="C49" s="107"/>
      <c r="D49" s="107"/>
      <c r="E49" s="107"/>
      <c r="F49" s="107"/>
      <c r="G49" s="107"/>
      <c r="H49" s="107"/>
      <c r="I49" s="107"/>
      <c r="J49" s="109"/>
      <c r="K49" s="107"/>
      <c r="L49" s="107"/>
      <c r="N49" s="107"/>
      <c r="O49" s="107"/>
      <c r="P49" s="107"/>
      <c r="Q49" s="107"/>
      <c r="R49" s="72">
        <f>R48+($R$51-$R$48)/3</f>
        <v>7.7834008097165999</v>
      </c>
    </row>
    <row r="50" spans="1:18" x14ac:dyDescent="0.15">
      <c r="A50" s="38">
        <f t="shared" si="0"/>
        <v>1696</v>
      </c>
      <c r="B50" s="107">
        <v>160</v>
      </c>
      <c r="C50" s="107"/>
      <c r="D50" s="107"/>
      <c r="E50" s="107"/>
      <c r="F50" s="107"/>
      <c r="G50" s="107"/>
      <c r="H50" s="107"/>
      <c r="I50" s="107"/>
      <c r="J50" s="109"/>
      <c r="K50" s="107"/>
      <c r="L50" s="107"/>
      <c r="N50" s="107"/>
      <c r="O50" s="107"/>
      <c r="P50" s="107"/>
      <c r="Q50" s="107"/>
      <c r="R50" s="72">
        <f>R49+($R$51-$R$48)/3</f>
        <v>7.7834008097165999</v>
      </c>
    </row>
    <row r="51" spans="1:18" x14ac:dyDescent="0.15">
      <c r="A51" s="38">
        <f t="shared" si="0"/>
        <v>1697</v>
      </c>
      <c r="B51" s="107"/>
      <c r="C51" s="107">
        <v>0.5</v>
      </c>
      <c r="D51" s="107"/>
      <c r="E51" s="107"/>
      <c r="F51" s="107"/>
      <c r="G51" s="107"/>
      <c r="H51" s="107"/>
      <c r="I51" s="107"/>
      <c r="J51" s="109"/>
      <c r="K51" s="107"/>
      <c r="L51" s="107"/>
      <c r="N51" s="107">
        <f t="shared" ref="N51:N57" si="8">AVERAGE(C51:D51)/0.494</f>
        <v>1.0121457489878543</v>
      </c>
      <c r="O51" s="107"/>
      <c r="P51" s="107"/>
      <c r="Q51" s="107">
        <f t="shared" ref="Q51:Q54" si="9">N51*7.69</f>
        <v>7.7834008097165999</v>
      </c>
      <c r="R51" s="107">
        <v>7.7834008097165999</v>
      </c>
    </row>
    <row r="52" spans="1:18" x14ac:dyDescent="0.15">
      <c r="A52" s="38">
        <f t="shared" si="0"/>
        <v>1698</v>
      </c>
      <c r="B52" s="107"/>
      <c r="C52" s="107">
        <v>0.55000000000000004</v>
      </c>
      <c r="D52" s="107"/>
      <c r="E52" s="107"/>
      <c r="F52" s="107"/>
      <c r="G52" s="107"/>
      <c r="H52" s="107"/>
      <c r="I52" s="107"/>
      <c r="J52" s="109"/>
      <c r="K52" s="107"/>
      <c r="L52" s="107"/>
      <c r="N52" s="107">
        <f t="shared" si="8"/>
        <v>1.1133603238866399</v>
      </c>
      <c r="O52" s="107"/>
      <c r="P52" s="107"/>
      <c r="Q52" s="107">
        <f t="shared" si="9"/>
        <v>8.5617408906882613</v>
      </c>
      <c r="R52" s="107">
        <v>8.5617408906882613</v>
      </c>
    </row>
    <row r="53" spans="1:18" x14ac:dyDescent="0.15">
      <c r="A53" s="38">
        <f>A54-1</f>
        <v>1699</v>
      </c>
      <c r="B53" s="107"/>
      <c r="C53" s="107">
        <v>0.55000000000000004</v>
      </c>
      <c r="D53" s="107"/>
      <c r="E53" s="107"/>
      <c r="F53" s="107"/>
      <c r="G53" s="107"/>
      <c r="H53" s="107"/>
      <c r="I53" s="107"/>
      <c r="J53" s="109"/>
      <c r="K53" s="107"/>
      <c r="L53" s="107"/>
      <c r="N53" s="107">
        <f t="shared" si="8"/>
        <v>1.1133603238866399</v>
      </c>
      <c r="O53" s="107"/>
      <c r="P53" s="107"/>
      <c r="Q53" s="107">
        <f t="shared" si="9"/>
        <v>8.5617408906882613</v>
      </c>
      <c r="R53" s="107">
        <v>8.5617408906882613</v>
      </c>
    </row>
    <row r="54" spans="1:18" x14ac:dyDescent="0.15">
      <c r="A54" s="38">
        <v>1700</v>
      </c>
      <c r="B54" s="107"/>
      <c r="C54" s="107">
        <v>0.5</v>
      </c>
      <c r="D54" s="107"/>
      <c r="E54" s="107"/>
      <c r="F54" s="107"/>
      <c r="G54" s="107"/>
      <c r="H54" s="107"/>
      <c r="I54" s="107"/>
      <c r="J54" s="109"/>
      <c r="K54" s="107"/>
      <c r="L54" s="107"/>
      <c r="N54" s="107">
        <f t="shared" si="8"/>
        <v>1.0121457489878543</v>
      </c>
      <c r="O54" s="107"/>
      <c r="P54" s="107"/>
      <c r="Q54" s="107">
        <f t="shared" si="9"/>
        <v>7.7834008097165999</v>
      </c>
      <c r="R54" s="107">
        <v>7.7834008097165999</v>
      </c>
    </row>
    <row r="55" spans="1:18" x14ac:dyDescent="0.15">
      <c r="A55" s="38">
        <v>1701</v>
      </c>
      <c r="B55" s="107"/>
      <c r="C55" s="107"/>
      <c r="D55" s="107"/>
      <c r="E55" s="107"/>
      <c r="F55" s="107"/>
      <c r="G55" s="107"/>
      <c r="H55" s="107"/>
      <c r="I55" s="107"/>
      <c r="J55" s="109"/>
      <c r="K55" s="107"/>
      <c r="L55" s="107"/>
      <c r="N55" s="107"/>
      <c r="O55" s="107"/>
      <c r="P55" s="107"/>
      <c r="Q55" s="107"/>
      <c r="R55" s="72">
        <f>R54+($R$56-$R$54)/2</f>
        <v>7.0050607287449402</v>
      </c>
    </row>
    <row r="56" spans="1:18" x14ac:dyDescent="0.15">
      <c r="A56" s="38">
        <v>1702</v>
      </c>
      <c r="B56" s="107"/>
      <c r="C56" s="107">
        <v>0.39999999999999997</v>
      </c>
      <c r="D56" s="107"/>
      <c r="E56" s="107"/>
      <c r="F56" s="107"/>
      <c r="G56" s="107"/>
      <c r="H56" s="107"/>
      <c r="I56" s="107"/>
      <c r="J56" s="109"/>
      <c r="K56" s="107"/>
      <c r="L56" s="107"/>
      <c r="N56" s="107">
        <f t="shared" si="8"/>
        <v>0.80971659919028338</v>
      </c>
      <c r="O56" s="107"/>
      <c r="P56" s="107"/>
      <c r="Q56" s="107">
        <f t="shared" ref="Q56:Q57" si="10">N56*7.69</f>
        <v>6.2267206477732797</v>
      </c>
      <c r="R56" s="107">
        <v>6.2267206477732797</v>
      </c>
    </row>
    <row r="57" spans="1:18" x14ac:dyDescent="0.15">
      <c r="A57" s="38">
        <v>1703</v>
      </c>
      <c r="B57" s="107"/>
      <c r="C57" s="107">
        <v>0.35</v>
      </c>
      <c r="D57" s="107"/>
      <c r="E57" s="107"/>
      <c r="F57" s="107"/>
      <c r="G57" s="107"/>
      <c r="H57" s="107"/>
      <c r="I57" s="107"/>
      <c r="J57" s="109"/>
      <c r="K57" s="107"/>
      <c r="L57" s="107"/>
      <c r="N57" s="107">
        <f t="shared" si="8"/>
        <v>0.70850202429149789</v>
      </c>
      <c r="O57" s="107"/>
      <c r="P57" s="107"/>
      <c r="Q57" s="107">
        <f t="shared" si="10"/>
        <v>5.4483805668016192</v>
      </c>
      <c r="R57" s="107">
        <v>5.4483805668016192</v>
      </c>
    </row>
    <row r="58" spans="1:18" x14ac:dyDescent="0.15">
      <c r="A58" s="38">
        <v>1704</v>
      </c>
      <c r="B58" s="107"/>
      <c r="C58" s="107"/>
      <c r="D58" s="107"/>
      <c r="E58" s="107"/>
      <c r="F58" s="107"/>
      <c r="G58" s="107"/>
      <c r="H58" s="107"/>
      <c r="I58" s="107"/>
      <c r="J58" s="109"/>
      <c r="K58" s="107"/>
      <c r="L58" s="107"/>
      <c r="N58" s="107"/>
      <c r="O58" s="107"/>
      <c r="P58" s="107"/>
      <c r="Q58" s="107"/>
      <c r="R58" s="72">
        <f>R57+($R$62-$R$57)/5</f>
        <v>5.4094082042835501</v>
      </c>
    </row>
    <row r="59" spans="1:18" x14ac:dyDescent="0.15">
      <c r="A59" s="38">
        <v>1705</v>
      </c>
      <c r="B59" s="107"/>
      <c r="C59" s="107"/>
      <c r="D59" s="107"/>
      <c r="E59" s="107"/>
      <c r="F59" s="107"/>
      <c r="G59" s="107"/>
      <c r="H59" s="107"/>
      <c r="I59" s="107"/>
      <c r="J59" s="109"/>
      <c r="K59" s="107"/>
      <c r="L59" s="107"/>
      <c r="N59" s="107"/>
      <c r="O59" s="107"/>
      <c r="P59" s="107"/>
      <c r="Q59" s="107"/>
      <c r="R59" s="72">
        <f>R58+($R$62-$R$57)/5</f>
        <v>5.3704358417654809</v>
      </c>
    </row>
    <row r="60" spans="1:18" x14ac:dyDescent="0.15">
      <c r="A60" s="38">
        <v>1706</v>
      </c>
      <c r="B60" s="107"/>
      <c r="C60" s="107"/>
      <c r="D60" s="107"/>
      <c r="E60" s="107"/>
      <c r="F60" s="107"/>
      <c r="G60" s="107"/>
      <c r="H60" s="107"/>
      <c r="I60" s="107"/>
      <c r="J60" s="109"/>
      <c r="K60" s="107"/>
      <c r="L60" s="107"/>
      <c r="N60" s="107"/>
      <c r="O60" s="107"/>
      <c r="P60" s="107"/>
      <c r="Q60" s="107"/>
      <c r="R60" s="72">
        <f>R59+($R$62-$R$57)/5</f>
        <v>5.3314634792474118</v>
      </c>
    </row>
    <row r="61" spans="1:18" x14ac:dyDescent="0.15">
      <c r="A61" s="38">
        <v>1707</v>
      </c>
      <c r="B61" s="107"/>
      <c r="C61" s="107"/>
      <c r="D61" s="107"/>
      <c r="E61" s="107"/>
      <c r="F61" s="107"/>
      <c r="G61" s="107"/>
      <c r="H61" s="107"/>
      <c r="I61" s="107"/>
      <c r="J61" s="109"/>
      <c r="K61" s="107"/>
      <c r="L61" s="107"/>
      <c r="N61" s="107"/>
      <c r="O61" s="107"/>
      <c r="P61" s="107"/>
      <c r="Q61" s="107"/>
      <c r="R61" s="72">
        <f>R60+($R$62-$R$57)/5</f>
        <v>5.2924911167293427</v>
      </c>
    </row>
    <row r="62" spans="1:18" x14ac:dyDescent="0.15">
      <c r="A62" s="38">
        <v>1708</v>
      </c>
      <c r="B62" s="107"/>
      <c r="C62" s="107"/>
      <c r="D62" s="107">
        <v>0.33748221906116643</v>
      </c>
      <c r="E62" s="107"/>
      <c r="F62" s="107"/>
      <c r="G62" s="107"/>
      <c r="H62" s="107"/>
      <c r="I62" s="107"/>
      <c r="J62" s="109"/>
      <c r="K62" s="107"/>
      <c r="L62" s="107"/>
      <c r="N62" s="107">
        <f t="shared" ref="N62" si="11">AVERAGE(C62:D62)/0.494</f>
        <v>0.68316238676349483</v>
      </c>
      <c r="O62" s="107"/>
      <c r="P62" s="107"/>
      <c r="Q62" s="107">
        <f>N62*7.69</f>
        <v>5.2535187542112753</v>
      </c>
      <c r="R62" s="107">
        <v>5.2535187542112753</v>
      </c>
    </row>
    <row r="63" spans="1:18" x14ac:dyDescent="0.15">
      <c r="A63" s="38">
        <v>1709</v>
      </c>
      <c r="B63" s="107"/>
      <c r="C63" s="107"/>
      <c r="D63" s="107"/>
      <c r="E63" s="107"/>
      <c r="F63" s="107"/>
      <c r="G63" s="107"/>
      <c r="H63" s="107"/>
      <c r="I63" s="107"/>
      <c r="J63" s="109"/>
      <c r="K63" s="107"/>
      <c r="L63" s="107"/>
      <c r="N63" s="107"/>
      <c r="O63" s="107"/>
      <c r="P63" s="107"/>
      <c r="Q63" s="107"/>
      <c r="R63" s="72">
        <f>R62+($R$68-$R$62)/6</f>
        <v>6.9723992317482626</v>
      </c>
    </row>
    <row r="64" spans="1:18" x14ac:dyDescent="0.15">
      <c r="A64" s="38">
        <v>1710</v>
      </c>
      <c r="B64" s="107"/>
      <c r="C64" s="107"/>
      <c r="D64" s="107"/>
      <c r="E64" s="107"/>
      <c r="F64" s="107"/>
      <c r="G64" s="107"/>
      <c r="H64" s="107"/>
      <c r="I64" s="107"/>
      <c r="J64" s="109"/>
      <c r="K64" s="107"/>
      <c r="L64" s="107"/>
      <c r="N64" s="107"/>
      <c r="O64" s="107"/>
      <c r="P64" s="107"/>
      <c r="Q64" s="107"/>
      <c r="R64" s="72">
        <f>R63+($R$68-$R$62)/6</f>
        <v>8.6912797092852507</v>
      </c>
    </row>
    <row r="65" spans="1:18" x14ac:dyDescent="0.15">
      <c r="A65" s="38">
        <v>1711</v>
      </c>
      <c r="B65" s="107"/>
      <c r="C65" s="107"/>
      <c r="D65" s="107"/>
      <c r="E65" s="107"/>
      <c r="F65" s="107"/>
      <c r="G65" s="107"/>
      <c r="H65" s="107"/>
      <c r="I65" s="107"/>
      <c r="J65" s="109"/>
      <c r="K65" s="107"/>
      <c r="L65" s="107"/>
      <c r="N65" s="107"/>
      <c r="O65" s="107"/>
      <c r="P65" s="107"/>
      <c r="Q65" s="107"/>
      <c r="R65" s="72">
        <f>R64+($R$68-$R$62)/6</f>
        <v>10.410160186822239</v>
      </c>
    </row>
    <row r="66" spans="1:18" x14ac:dyDescent="0.15">
      <c r="A66" s="38">
        <v>1712</v>
      </c>
      <c r="B66" s="107"/>
      <c r="C66" s="107"/>
      <c r="D66" s="107"/>
      <c r="E66" s="107"/>
      <c r="F66" s="107"/>
      <c r="G66" s="107"/>
      <c r="H66" s="107"/>
      <c r="I66" s="107"/>
      <c r="J66" s="109"/>
      <c r="K66" s="107"/>
      <c r="L66" s="107"/>
      <c r="N66" s="107"/>
      <c r="O66" s="107"/>
      <c r="P66" s="107"/>
      <c r="Q66" s="107"/>
      <c r="R66" s="72">
        <f>R65+($R$68-$R$62)/6</f>
        <v>12.129040664359227</v>
      </c>
    </row>
    <row r="67" spans="1:18" x14ac:dyDescent="0.15">
      <c r="A67" s="38">
        <v>1713</v>
      </c>
      <c r="B67" s="107"/>
      <c r="C67" s="107"/>
      <c r="D67" s="107"/>
      <c r="E67" s="107"/>
      <c r="F67" s="107"/>
      <c r="G67" s="107"/>
      <c r="H67" s="107"/>
      <c r="I67" s="107"/>
      <c r="J67" s="109"/>
      <c r="K67" s="107"/>
      <c r="L67" s="107"/>
      <c r="N67" s="107"/>
      <c r="O67" s="107"/>
      <c r="P67" s="107"/>
      <c r="Q67" s="107"/>
      <c r="R67" s="72">
        <f>R66+($R$68-$R$62)/6</f>
        <v>13.847921141896215</v>
      </c>
    </row>
    <row r="68" spans="1:18" x14ac:dyDescent="0.15">
      <c r="A68" s="38">
        <v>1714</v>
      </c>
      <c r="B68" s="107"/>
      <c r="C68" s="107"/>
      <c r="D68" s="107"/>
      <c r="E68" s="107"/>
      <c r="F68" s="107">
        <v>1</v>
      </c>
      <c r="G68" s="107"/>
      <c r="H68" s="107"/>
      <c r="I68" s="107"/>
      <c r="J68" s="109"/>
      <c r="K68" s="107"/>
      <c r="L68" s="107"/>
      <c r="N68" s="107">
        <f>AVERAGE(C68:F68)/0.494</f>
        <v>2.0242914979757085</v>
      </c>
      <c r="O68" s="107"/>
      <c r="P68" s="107"/>
      <c r="Q68" s="107">
        <f t="shared" ref="Q68:Q71" si="12">N68*7.69</f>
        <v>15.5668016194332</v>
      </c>
      <c r="R68" s="107">
        <v>15.5668016194332</v>
      </c>
    </row>
    <row r="69" spans="1:18" x14ac:dyDescent="0.15">
      <c r="A69" s="38">
        <v>1715</v>
      </c>
      <c r="B69" s="107"/>
      <c r="C69" s="107"/>
      <c r="D69" s="107"/>
      <c r="E69" s="107"/>
      <c r="F69" s="107">
        <v>0.33333333333333331</v>
      </c>
      <c r="G69" s="107"/>
      <c r="H69" s="107"/>
      <c r="I69" s="107"/>
      <c r="J69" s="109"/>
      <c r="K69" s="107"/>
      <c r="L69" s="107"/>
      <c r="N69" s="107">
        <f>AVERAGE(C69:F69)/0.494</f>
        <v>0.67476383265856943</v>
      </c>
      <c r="O69" s="107"/>
      <c r="P69" s="107"/>
      <c r="Q69" s="107">
        <f t="shared" si="12"/>
        <v>5.188933873144399</v>
      </c>
      <c r="R69" s="107">
        <v>5.188933873144399</v>
      </c>
    </row>
    <row r="70" spans="1:18" x14ac:dyDescent="0.15">
      <c r="A70" s="38">
        <v>1716</v>
      </c>
      <c r="B70" s="107"/>
      <c r="C70" s="107"/>
      <c r="D70" s="107">
        <v>0.41166666666666668</v>
      </c>
      <c r="E70" s="107"/>
      <c r="F70" s="107"/>
      <c r="G70" s="107"/>
      <c r="H70" s="107"/>
      <c r="I70" s="107"/>
      <c r="J70" s="109"/>
      <c r="K70" s="107"/>
      <c r="L70" s="107"/>
      <c r="N70" s="107">
        <f>AVERAGE(C70:F70)/0.494</f>
        <v>0.83333333333333337</v>
      </c>
      <c r="O70" s="107"/>
      <c r="P70" s="107"/>
      <c r="Q70" s="107">
        <f t="shared" si="12"/>
        <v>6.4083333333333341</v>
      </c>
      <c r="R70" s="107">
        <v>6.4083333333333341</v>
      </c>
    </row>
    <row r="71" spans="1:18" x14ac:dyDescent="0.15">
      <c r="A71" s="38">
        <v>1717</v>
      </c>
      <c r="B71" s="107"/>
      <c r="C71" s="107">
        <v>0.42812499999999998</v>
      </c>
      <c r="D71" s="107"/>
      <c r="E71" s="107"/>
      <c r="F71" s="107"/>
      <c r="G71" s="107"/>
      <c r="H71" s="107"/>
      <c r="I71" s="107"/>
      <c r="J71" s="109"/>
      <c r="K71" s="107"/>
      <c r="L71" s="107"/>
      <c r="N71" s="107">
        <f>AVERAGE(C71:F71)/0.494</f>
        <v>0.86664979757085014</v>
      </c>
      <c r="O71" s="107"/>
      <c r="P71" s="107"/>
      <c r="Q71" s="107">
        <f t="shared" si="12"/>
        <v>6.6645369433198383</v>
      </c>
      <c r="R71" s="107">
        <v>6.6645369433198383</v>
      </c>
    </row>
    <row r="72" spans="1:18" x14ac:dyDescent="0.15">
      <c r="A72" s="38">
        <v>1718</v>
      </c>
      <c r="B72" s="107"/>
      <c r="C72" s="107"/>
      <c r="D72" s="107"/>
      <c r="E72" s="107"/>
      <c r="F72" s="107"/>
      <c r="G72" s="107"/>
      <c r="H72" s="107"/>
      <c r="I72" s="107"/>
      <c r="J72" s="109"/>
      <c r="K72" s="107"/>
      <c r="L72" s="107"/>
      <c r="N72" s="107"/>
      <c r="O72" s="107"/>
      <c r="P72" s="107"/>
      <c r="Q72" s="107"/>
      <c r="R72" s="72">
        <f>R71+($R$74-$R$71)/3</f>
        <v>6.6522595551378449</v>
      </c>
    </row>
    <row r="73" spans="1:18" x14ac:dyDescent="0.15">
      <c r="A73" s="38">
        <v>1719</v>
      </c>
      <c r="B73" s="107"/>
      <c r="C73" s="107"/>
      <c r="D73" s="107"/>
      <c r="E73" s="107"/>
      <c r="F73" s="107"/>
      <c r="G73" s="107"/>
      <c r="H73" s="107"/>
      <c r="I73" s="107"/>
      <c r="J73" s="109"/>
      <c r="K73" s="107"/>
      <c r="L73" s="107"/>
      <c r="N73" s="107"/>
      <c r="O73" s="107"/>
      <c r="P73" s="107"/>
      <c r="Q73" s="107"/>
      <c r="R73" s="72">
        <f>R72+($R$74-$R$71)/3</f>
        <v>6.6399821669558516</v>
      </c>
    </row>
    <row r="74" spans="1:18" x14ac:dyDescent="0.15">
      <c r="A74" s="38">
        <v>1720</v>
      </c>
      <c r="B74" s="107"/>
      <c r="C74" s="107"/>
      <c r="D74" s="107">
        <v>0.42575892857142861</v>
      </c>
      <c r="E74" s="107"/>
      <c r="F74" s="107"/>
      <c r="G74" s="107"/>
      <c r="H74" s="107"/>
      <c r="I74" s="107"/>
      <c r="J74" s="109"/>
      <c r="K74" s="107"/>
      <c r="L74" s="107"/>
      <c r="N74" s="107">
        <f>AVERAGE(C74:F74)/0.494</f>
        <v>0.86186017929438985</v>
      </c>
      <c r="O74" s="107"/>
      <c r="P74" s="107"/>
      <c r="Q74" s="107">
        <f>N74*7.69</f>
        <v>6.6277047787738583</v>
      </c>
      <c r="R74" s="107">
        <v>6.6277047787738583</v>
      </c>
    </row>
    <row r="75" spans="1:18" x14ac:dyDescent="0.15">
      <c r="A75" s="38">
        <v>1721</v>
      </c>
      <c r="B75" s="107"/>
      <c r="C75" s="107"/>
      <c r="D75" s="107"/>
      <c r="E75" s="107"/>
      <c r="F75" s="107"/>
      <c r="G75" s="107"/>
      <c r="H75" s="107"/>
      <c r="I75" s="107"/>
      <c r="J75" s="109"/>
      <c r="K75" s="107"/>
      <c r="L75" s="107"/>
      <c r="N75" s="107"/>
      <c r="O75" s="107"/>
      <c r="P75" s="107"/>
      <c r="Q75" s="107"/>
      <c r="R75" s="72">
        <f t="shared" ref="R75:R94" si="13">R74+($R$95-$R$74)/21</f>
        <v>6.5576475529483051</v>
      </c>
    </row>
    <row r="76" spans="1:18" x14ac:dyDescent="0.15">
      <c r="A76" s="38">
        <v>1722</v>
      </c>
      <c r="B76" s="107"/>
      <c r="C76" s="107"/>
      <c r="D76" s="107"/>
      <c r="E76" s="107"/>
      <c r="F76" s="107"/>
      <c r="G76" s="107"/>
      <c r="H76" s="107"/>
      <c r="I76" s="107"/>
      <c r="J76" s="109"/>
      <c r="K76" s="107"/>
      <c r="L76" s="107"/>
      <c r="N76" s="107"/>
      <c r="O76" s="107"/>
      <c r="P76" s="107"/>
      <c r="Q76" s="107"/>
      <c r="R76" s="72">
        <f t="shared" si="13"/>
        <v>6.487590327122752</v>
      </c>
    </row>
    <row r="77" spans="1:18" x14ac:dyDescent="0.15">
      <c r="A77" s="38">
        <v>1723</v>
      </c>
      <c r="B77" s="107"/>
      <c r="C77" s="107"/>
      <c r="D77" s="107"/>
      <c r="E77" s="107"/>
      <c r="F77" s="107"/>
      <c r="G77" s="107"/>
      <c r="H77" s="107"/>
      <c r="I77" s="107"/>
      <c r="J77" s="109"/>
      <c r="K77" s="107"/>
      <c r="L77" s="107"/>
      <c r="N77" s="107"/>
      <c r="O77" s="107"/>
      <c r="P77" s="107"/>
      <c r="Q77" s="107"/>
      <c r="R77" s="72">
        <f t="shared" si="13"/>
        <v>6.4175331012971988</v>
      </c>
    </row>
    <row r="78" spans="1:18" x14ac:dyDescent="0.15">
      <c r="A78" s="38">
        <v>1724</v>
      </c>
      <c r="B78" s="107"/>
      <c r="C78" s="107"/>
      <c r="D78" s="107"/>
      <c r="E78" s="107"/>
      <c r="F78" s="107"/>
      <c r="G78" s="107"/>
      <c r="H78" s="107"/>
      <c r="I78" s="107"/>
      <c r="J78" s="109"/>
      <c r="K78" s="107"/>
      <c r="L78" s="107"/>
      <c r="N78" s="107"/>
      <c r="O78" s="107"/>
      <c r="P78" s="107"/>
      <c r="Q78" s="107"/>
      <c r="R78" s="72">
        <f t="shared" si="13"/>
        <v>6.3474758754716456</v>
      </c>
    </row>
    <row r="79" spans="1:18" x14ac:dyDescent="0.15">
      <c r="A79" s="38">
        <v>1725</v>
      </c>
      <c r="B79" s="107"/>
      <c r="C79" s="107"/>
      <c r="D79" s="107"/>
      <c r="E79" s="107"/>
      <c r="F79" s="107"/>
      <c r="G79" s="107"/>
      <c r="H79" s="107"/>
      <c r="I79" s="107"/>
      <c r="J79" s="109"/>
      <c r="K79" s="107"/>
      <c r="L79" s="107"/>
      <c r="N79" s="107"/>
      <c r="O79" s="107"/>
      <c r="P79" s="107"/>
      <c r="Q79" s="107"/>
      <c r="R79" s="72">
        <f t="shared" si="13"/>
        <v>6.2774186496460924</v>
      </c>
    </row>
    <row r="80" spans="1:18" x14ac:dyDescent="0.15">
      <c r="A80" s="38">
        <v>1726</v>
      </c>
      <c r="B80" s="107"/>
      <c r="C80" s="107"/>
      <c r="D80" s="107"/>
      <c r="E80" s="107"/>
      <c r="F80" s="107"/>
      <c r="G80" s="107"/>
      <c r="H80" s="107"/>
      <c r="I80" s="107"/>
      <c r="J80" s="109"/>
      <c r="K80" s="107"/>
      <c r="L80" s="107"/>
      <c r="N80" s="107"/>
      <c r="O80" s="107"/>
      <c r="P80" s="107"/>
      <c r="Q80" s="107"/>
      <c r="R80" s="72">
        <f t="shared" si="13"/>
        <v>6.2073614238205392</v>
      </c>
    </row>
    <row r="81" spans="1:18" x14ac:dyDescent="0.15">
      <c r="A81" s="38">
        <v>1727</v>
      </c>
      <c r="B81" s="107"/>
      <c r="C81" s="107"/>
      <c r="D81" s="107"/>
      <c r="E81" s="107"/>
      <c r="F81" s="107"/>
      <c r="G81" s="107"/>
      <c r="H81" s="107"/>
      <c r="I81" s="107"/>
      <c r="J81" s="109"/>
      <c r="K81" s="107"/>
      <c r="L81" s="107"/>
      <c r="N81" s="107"/>
      <c r="O81" s="107"/>
      <c r="P81" s="107"/>
      <c r="Q81" s="107"/>
      <c r="R81" s="72">
        <f t="shared" si="13"/>
        <v>6.1373041979949861</v>
      </c>
    </row>
    <row r="82" spans="1:18" x14ac:dyDescent="0.15">
      <c r="A82" s="38">
        <v>1728</v>
      </c>
      <c r="B82" s="107"/>
      <c r="C82" s="107"/>
      <c r="D82" s="107"/>
      <c r="E82" s="107"/>
      <c r="F82" s="107"/>
      <c r="G82" s="107"/>
      <c r="H82" s="107"/>
      <c r="I82" s="107"/>
      <c r="J82" s="109"/>
      <c r="K82" s="107"/>
      <c r="L82" s="107"/>
      <c r="N82" s="107"/>
      <c r="O82" s="107"/>
      <c r="P82" s="107"/>
      <c r="Q82" s="107"/>
      <c r="R82" s="72">
        <f t="shared" si="13"/>
        <v>6.0672469721694329</v>
      </c>
    </row>
    <row r="83" spans="1:18" x14ac:dyDescent="0.15">
      <c r="A83" s="38">
        <v>1729</v>
      </c>
      <c r="B83" s="107"/>
      <c r="C83" s="107"/>
      <c r="D83" s="107"/>
      <c r="E83" s="107"/>
      <c r="F83" s="107"/>
      <c r="G83" s="107"/>
      <c r="H83" s="107"/>
      <c r="I83" s="107"/>
      <c r="J83" s="109"/>
      <c r="K83" s="107"/>
      <c r="L83" s="107"/>
      <c r="N83" s="107"/>
      <c r="O83" s="107"/>
      <c r="P83" s="107"/>
      <c r="Q83" s="107"/>
      <c r="R83" s="72">
        <f t="shared" si="13"/>
        <v>5.9971897463438797</v>
      </c>
    </row>
    <row r="84" spans="1:18" x14ac:dyDescent="0.15">
      <c r="A84" s="38">
        <v>1730</v>
      </c>
      <c r="B84" s="107"/>
      <c r="C84" s="107"/>
      <c r="D84" s="107"/>
      <c r="E84" s="107"/>
      <c r="F84" s="107"/>
      <c r="G84" s="107"/>
      <c r="H84" s="107"/>
      <c r="I84" s="107"/>
      <c r="J84" s="109"/>
      <c r="K84" s="107"/>
      <c r="L84" s="107"/>
      <c r="N84" s="107"/>
      <c r="O84" s="107"/>
      <c r="P84" s="107"/>
      <c r="Q84" s="107"/>
      <c r="R84" s="72">
        <f t="shared" si="13"/>
        <v>5.9271325205183265</v>
      </c>
    </row>
    <row r="85" spans="1:18" x14ac:dyDescent="0.15">
      <c r="A85" s="38">
        <v>1731</v>
      </c>
      <c r="B85" s="107"/>
      <c r="C85" s="107"/>
      <c r="D85" s="107"/>
      <c r="E85" s="107"/>
      <c r="F85" s="107"/>
      <c r="G85" s="107"/>
      <c r="H85" s="107"/>
      <c r="I85" s="107"/>
      <c r="J85" s="109"/>
      <c r="K85" s="107"/>
      <c r="L85" s="107"/>
      <c r="N85" s="107"/>
      <c r="O85" s="107"/>
      <c r="P85" s="107"/>
      <c r="Q85" s="107"/>
      <c r="R85" s="72">
        <f t="shared" si="13"/>
        <v>5.8570752946927733</v>
      </c>
    </row>
    <row r="86" spans="1:18" x14ac:dyDescent="0.15">
      <c r="A86" s="38">
        <v>1732</v>
      </c>
      <c r="B86" s="107"/>
      <c r="C86" s="107"/>
      <c r="D86" s="107"/>
      <c r="E86" s="107"/>
      <c r="F86" s="107"/>
      <c r="G86" s="107"/>
      <c r="H86" s="107"/>
      <c r="I86" s="107"/>
      <c r="J86" s="109"/>
      <c r="K86" s="107"/>
      <c r="L86" s="107"/>
      <c r="N86" s="107"/>
      <c r="O86" s="107"/>
      <c r="P86" s="107"/>
      <c r="Q86" s="107"/>
      <c r="R86" s="72">
        <f t="shared" si="13"/>
        <v>5.7870180688672201</v>
      </c>
    </row>
    <row r="87" spans="1:18" x14ac:dyDescent="0.15">
      <c r="A87" s="38">
        <v>1733</v>
      </c>
      <c r="B87" s="107"/>
      <c r="C87" s="107"/>
      <c r="D87" s="107"/>
      <c r="E87" s="107"/>
      <c r="F87" s="107"/>
      <c r="G87" s="107"/>
      <c r="H87" s="107"/>
      <c r="I87" s="107"/>
      <c r="J87" s="109"/>
      <c r="K87" s="107"/>
      <c r="L87" s="107"/>
      <c r="N87" s="107"/>
      <c r="O87" s="107"/>
      <c r="P87" s="107"/>
      <c r="Q87" s="107"/>
      <c r="R87" s="72">
        <f t="shared" si="13"/>
        <v>5.716960843041667</v>
      </c>
    </row>
    <row r="88" spans="1:18" x14ac:dyDescent="0.15">
      <c r="A88" s="38">
        <v>1734</v>
      </c>
      <c r="B88" s="107"/>
      <c r="C88" s="107"/>
      <c r="D88" s="107"/>
      <c r="E88" s="107"/>
      <c r="F88" s="107"/>
      <c r="G88" s="107"/>
      <c r="H88" s="107"/>
      <c r="I88" s="107"/>
      <c r="J88" s="109"/>
      <c r="K88" s="107"/>
      <c r="L88" s="107"/>
      <c r="N88" s="107"/>
      <c r="O88" s="107"/>
      <c r="P88" s="107"/>
      <c r="Q88" s="107"/>
      <c r="R88" s="72">
        <f t="shared" si="13"/>
        <v>5.6469036172161138</v>
      </c>
    </row>
    <row r="89" spans="1:18" x14ac:dyDescent="0.15">
      <c r="A89" s="38">
        <v>1735</v>
      </c>
      <c r="B89" s="107"/>
      <c r="C89" s="107"/>
      <c r="D89" s="107"/>
      <c r="E89" s="107"/>
      <c r="F89" s="107"/>
      <c r="G89" s="107"/>
      <c r="H89" s="107"/>
      <c r="I89" s="107"/>
      <c r="J89" s="109"/>
      <c r="K89" s="107"/>
      <c r="L89" s="107"/>
      <c r="N89" s="107"/>
      <c r="O89" s="107"/>
      <c r="P89" s="107"/>
      <c r="Q89" s="107"/>
      <c r="R89" s="72">
        <f t="shared" si="13"/>
        <v>5.5768463913905606</v>
      </c>
    </row>
    <row r="90" spans="1:18" x14ac:dyDescent="0.15">
      <c r="A90" s="38">
        <v>1736</v>
      </c>
      <c r="B90" s="107"/>
      <c r="C90" s="107"/>
      <c r="D90" s="107"/>
      <c r="E90" s="107"/>
      <c r="F90" s="107"/>
      <c r="G90" s="107"/>
      <c r="H90" s="107"/>
      <c r="I90" s="107"/>
      <c r="J90" s="109"/>
      <c r="K90" s="107"/>
      <c r="L90" s="107"/>
      <c r="N90" s="107"/>
      <c r="O90" s="107"/>
      <c r="P90" s="107"/>
      <c r="Q90" s="107"/>
      <c r="R90" s="72">
        <f t="shared" si="13"/>
        <v>5.5067891655650074</v>
      </c>
    </row>
    <row r="91" spans="1:18" x14ac:dyDescent="0.15">
      <c r="A91" s="38">
        <v>1737</v>
      </c>
      <c r="B91" s="107"/>
      <c r="C91" s="107"/>
      <c r="D91" s="107"/>
      <c r="E91" s="107"/>
      <c r="F91" s="107"/>
      <c r="G91" s="107"/>
      <c r="H91" s="107"/>
      <c r="I91" s="107"/>
      <c r="J91" s="109"/>
      <c r="K91" s="107"/>
      <c r="L91" s="107"/>
      <c r="N91" s="107"/>
      <c r="O91" s="107"/>
      <c r="P91" s="107"/>
      <c r="Q91" s="107"/>
      <c r="R91" s="72">
        <f t="shared" si="13"/>
        <v>5.4367319397394542</v>
      </c>
    </row>
    <row r="92" spans="1:18" x14ac:dyDescent="0.15">
      <c r="A92" s="38">
        <v>1738</v>
      </c>
      <c r="B92" s="107"/>
      <c r="C92" s="107"/>
      <c r="D92" s="107"/>
      <c r="E92" s="107"/>
      <c r="F92" s="107"/>
      <c r="G92" s="107"/>
      <c r="H92" s="107"/>
      <c r="I92" s="107"/>
      <c r="J92" s="109"/>
      <c r="K92" s="107"/>
      <c r="L92" s="107"/>
      <c r="N92" s="107"/>
      <c r="O92" s="107"/>
      <c r="P92" s="107"/>
      <c r="Q92" s="107"/>
      <c r="R92" s="72">
        <f t="shared" si="13"/>
        <v>5.3666747139139011</v>
      </c>
    </row>
    <row r="93" spans="1:18" x14ac:dyDescent="0.15">
      <c r="A93" s="38">
        <v>1739</v>
      </c>
      <c r="B93" s="107"/>
      <c r="C93" s="107"/>
      <c r="D93" s="107"/>
      <c r="E93" s="107"/>
      <c r="F93" s="107"/>
      <c r="G93" s="107"/>
      <c r="H93" s="107"/>
      <c r="I93" s="107"/>
      <c r="J93" s="109"/>
      <c r="K93" s="107"/>
      <c r="L93" s="107"/>
      <c r="N93" s="107"/>
      <c r="O93" s="107"/>
      <c r="P93" s="107"/>
      <c r="Q93" s="107"/>
      <c r="R93" s="72">
        <f t="shared" si="13"/>
        <v>5.2966174880883479</v>
      </c>
    </row>
    <row r="94" spans="1:18" x14ac:dyDescent="0.15">
      <c r="A94" s="38">
        <v>1740</v>
      </c>
      <c r="B94" s="107"/>
      <c r="C94" s="107"/>
      <c r="D94" s="107"/>
      <c r="E94" s="107"/>
      <c r="F94" s="107"/>
      <c r="G94" s="107"/>
      <c r="H94" s="107"/>
      <c r="I94" s="107"/>
      <c r="J94" s="109"/>
      <c r="K94" s="107"/>
      <c r="L94" s="107"/>
      <c r="N94" s="107"/>
      <c r="O94" s="107"/>
      <c r="P94" s="107"/>
      <c r="Q94" s="107"/>
      <c r="R94" s="72">
        <f t="shared" si="13"/>
        <v>5.2265602622627947</v>
      </c>
    </row>
    <row r="95" spans="1:18" x14ac:dyDescent="0.15">
      <c r="A95" s="38">
        <v>1741</v>
      </c>
      <c r="B95" s="107"/>
      <c r="C95" s="107">
        <v>0.33124999999999999</v>
      </c>
      <c r="D95" s="107"/>
      <c r="E95" s="107"/>
      <c r="F95" s="107"/>
      <c r="G95" s="107"/>
      <c r="H95" s="107"/>
      <c r="I95" s="107"/>
      <c r="J95" s="109"/>
      <c r="K95" s="107"/>
      <c r="L95" s="107"/>
      <c r="N95" s="107">
        <f>AVERAGE(C95:F95)/0.494</f>
        <v>0.67054655870445345</v>
      </c>
      <c r="O95" s="107"/>
      <c r="P95" s="107"/>
      <c r="Q95" s="107">
        <f>N95*7.69</f>
        <v>5.1565030364372477</v>
      </c>
      <c r="R95" s="107">
        <v>5.1565030364372477</v>
      </c>
    </row>
    <row r="96" spans="1:18" x14ac:dyDescent="0.15">
      <c r="A96" s="38">
        <v>1742</v>
      </c>
      <c r="B96" s="107"/>
      <c r="C96" s="107"/>
      <c r="D96" s="107"/>
      <c r="E96" s="107"/>
      <c r="F96" s="107"/>
      <c r="G96" s="107"/>
      <c r="H96" s="107"/>
      <c r="I96" s="107"/>
      <c r="J96" s="109"/>
      <c r="K96" s="107"/>
      <c r="L96" s="107"/>
      <c r="N96" s="107"/>
      <c r="O96" s="107"/>
      <c r="P96" s="107"/>
      <c r="Q96" s="107"/>
      <c r="R96" s="72">
        <f t="shared" ref="R96:R101" si="14">R95+($R$102-$R$95)/7</f>
        <v>5.2263591671486411</v>
      </c>
    </row>
    <row r="97" spans="1:18" x14ac:dyDescent="0.15">
      <c r="A97" s="38">
        <v>1743</v>
      </c>
      <c r="B97" s="107"/>
      <c r="C97" s="107"/>
      <c r="D97" s="107"/>
      <c r="E97" s="107"/>
      <c r="F97" s="107"/>
      <c r="G97" s="107"/>
      <c r="H97" s="107"/>
      <c r="I97" s="107"/>
      <c r="J97" s="109"/>
      <c r="K97" s="107"/>
      <c r="L97" s="107"/>
      <c r="N97" s="107"/>
      <c r="O97" s="107"/>
      <c r="P97" s="107"/>
      <c r="Q97" s="107"/>
      <c r="R97" s="72">
        <f t="shared" si="14"/>
        <v>5.2962152978600345</v>
      </c>
    </row>
    <row r="98" spans="1:18" x14ac:dyDescent="0.15">
      <c r="A98" s="38">
        <v>1744</v>
      </c>
      <c r="B98" s="107"/>
      <c r="C98" s="107"/>
      <c r="D98" s="107"/>
      <c r="E98" s="107"/>
      <c r="F98" s="107"/>
      <c r="G98" s="107"/>
      <c r="H98" s="107"/>
      <c r="I98" s="107"/>
      <c r="J98" s="109"/>
      <c r="K98" s="107"/>
      <c r="L98" s="107"/>
      <c r="N98" s="107"/>
      <c r="O98" s="107"/>
      <c r="P98" s="107"/>
      <c r="Q98" s="107"/>
      <c r="R98" s="72">
        <f t="shared" si="14"/>
        <v>5.3660714285714279</v>
      </c>
    </row>
    <row r="99" spans="1:18" x14ac:dyDescent="0.15">
      <c r="A99" s="38">
        <v>1745</v>
      </c>
      <c r="B99" s="107"/>
      <c r="C99" s="107"/>
      <c r="D99" s="107"/>
      <c r="E99" s="107"/>
      <c r="F99" s="107"/>
      <c r="G99" s="107"/>
      <c r="H99" s="107"/>
      <c r="I99" s="107"/>
      <c r="J99" s="109"/>
      <c r="K99" s="107"/>
      <c r="L99" s="107"/>
      <c r="N99" s="107"/>
      <c r="O99" s="107"/>
      <c r="P99" s="107"/>
      <c r="Q99" s="107"/>
      <c r="R99" s="72">
        <f t="shared" si="14"/>
        <v>5.4359275592828213</v>
      </c>
    </row>
    <row r="100" spans="1:18" x14ac:dyDescent="0.15">
      <c r="A100" s="38">
        <v>1746</v>
      </c>
      <c r="B100" s="107"/>
      <c r="C100" s="107"/>
      <c r="D100" s="107"/>
      <c r="E100" s="107"/>
      <c r="F100" s="107"/>
      <c r="G100" s="107"/>
      <c r="H100" s="107"/>
      <c r="I100" s="107"/>
      <c r="J100" s="109"/>
      <c r="K100" s="107"/>
      <c r="L100" s="107"/>
      <c r="N100" s="107"/>
      <c r="O100" s="107"/>
      <c r="P100" s="107"/>
      <c r="Q100" s="107"/>
      <c r="R100" s="72">
        <f t="shared" si="14"/>
        <v>5.5057836899942147</v>
      </c>
    </row>
    <row r="101" spans="1:18" x14ac:dyDescent="0.15">
      <c r="A101" s="38">
        <v>1747</v>
      </c>
      <c r="B101" s="107"/>
      <c r="C101" s="107"/>
      <c r="D101" s="107"/>
      <c r="E101" s="107"/>
      <c r="F101" s="107"/>
      <c r="G101" s="107"/>
      <c r="H101" s="107"/>
      <c r="I101" s="107"/>
      <c r="J101" s="109"/>
      <c r="K101" s="107"/>
      <c r="L101" s="107"/>
      <c r="N101" s="107"/>
      <c r="O101" s="107"/>
      <c r="P101" s="107"/>
      <c r="Q101" s="107"/>
      <c r="R101" s="72">
        <f t="shared" si="14"/>
        <v>5.5756398207056082</v>
      </c>
    </row>
    <row r="102" spans="1:18" x14ac:dyDescent="0.15">
      <c r="A102" s="38">
        <v>1748</v>
      </c>
      <c r="B102" s="107"/>
      <c r="C102" s="107">
        <v>0.34687499999999999</v>
      </c>
      <c r="D102" s="107"/>
      <c r="E102" s="107"/>
      <c r="F102" s="107"/>
      <c r="G102" s="107"/>
      <c r="H102" s="107"/>
      <c r="I102" s="107"/>
      <c r="J102" s="109"/>
      <c r="K102" s="107"/>
      <c r="L102" s="107"/>
      <c r="N102" s="107">
        <f>AVERAGE(C102:F102)/0.494</f>
        <v>0.70217611336032382</v>
      </c>
      <c r="O102" s="107"/>
      <c r="P102" s="107"/>
      <c r="Q102" s="107">
        <f>N102*8.04</f>
        <v>5.6454959514170033</v>
      </c>
      <c r="R102" s="107">
        <v>5.6454959514170033</v>
      </c>
    </row>
    <row r="103" spans="1:18" x14ac:dyDescent="0.15">
      <c r="A103" s="38">
        <v>1749</v>
      </c>
      <c r="B103" s="107"/>
      <c r="C103" s="107"/>
      <c r="D103" s="107"/>
      <c r="E103" s="107"/>
      <c r="F103" s="107"/>
      <c r="G103" s="107"/>
      <c r="H103" s="107"/>
      <c r="I103" s="107"/>
      <c r="J103" s="109"/>
      <c r="K103" s="107"/>
      <c r="L103" s="107"/>
      <c r="N103" s="107"/>
      <c r="O103" s="107"/>
      <c r="P103" s="107"/>
      <c r="Q103" s="107"/>
      <c r="R103" s="72">
        <f t="shared" ref="R103:R113" si="15">R102+($R$114-$R$102)/12</f>
        <v>5.7175480769230766</v>
      </c>
    </row>
    <row r="104" spans="1:18" x14ac:dyDescent="0.15">
      <c r="A104" s="38">
        <v>1750</v>
      </c>
      <c r="B104" s="107"/>
      <c r="C104" s="107"/>
      <c r="D104" s="107"/>
      <c r="E104" s="107"/>
      <c r="F104" s="107"/>
      <c r="G104" s="107"/>
      <c r="H104" s="107"/>
      <c r="I104" s="107"/>
      <c r="J104" s="109"/>
      <c r="K104" s="107"/>
      <c r="L104" s="107"/>
      <c r="N104" s="107"/>
      <c r="O104" s="107"/>
      <c r="P104" s="107"/>
      <c r="Q104" s="107"/>
      <c r="R104" s="72">
        <f t="shared" si="15"/>
        <v>5.7896002024291491</v>
      </c>
    </row>
    <row r="105" spans="1:18" x14ac:dyDescent="0.15">
      <c r="A105" s="38">
        <v>1751</v>
      </c>
      <c r="B105" s="107"/>
      <c r="C105" s="107"/>
      <c r="D105" s="107"/>
      <c r="E105" s="107"/>
      <c r="F105" s="107"/>
      <c r="G105" s="107"/>
      <c r="H105" s="107"/>
      <c r="I105" s="107"/>
      <c r="J105" s="109"/>
      <c r="K105" s="107"/>
      <c r="L105" s="107"/>
      <c r="N105" s="107"/>
      <c r="O105" s="107"/>
      <c r="P105" s="107"/>
      <c r="Q105" s="107"/>
      <c r="R105" s="72">
        <f t="shared" si="15"/>
        <v>5.8616523279352215</v>
      </c>
    </row>
    <row r="106" spans="1:18" x14ac:dyDescent="0.15">
      <c r="A106" s="38">
        <v>1752</v>
      </c>
      <c r="B106" s="107"/>
      <c r="C106" s="107"/>
      <c r="D106" s="107"/>
      <c r="E106" s="107"/>
      <c r="F106" s="107"/>
      <c r="G106" s="107"/>
      <c r="H106" s="107"/>
      <c r="I106" s="107"/>
      <c r="J106" s="109"/>
      <c r="K106" s="107"/>
      <c r="L106" s="107"/>
      <c r="N106" s="107"/>
      <c r="O106" s="107"/>
      <c r="P106" s="107"/>
      <c r="Q106" s="107"/>
      <c r="R106" s="72">
        <f t="shared" si="15"/>
        <v>5.9337044534412939</v>
      </c>
    </row>
    <row r="107" spans="1:18" x14ac:dyDescent="0.15">
      <c r="A107" s="38">
        <f>A106+1</f>
        <v>1753</v>
      </c>
      <c r="B107" s="107"/>
      <c r="C107" s="107"/>
      <c r="D107" s="107"/>
      <c r="E107" s="107"/>
      <c r="F107" s="107"/>
      <c r="G107" s="107"/>
      <c r="H107" s="107"/>
      <c r="I107" s="107"/>
      <c r="J107" s="109"/>
      <c r="K107" s="107"/>
      <c r="L107" s="107"/>
      <c r="N107" s="107"/>
      <c r="O107" s="107"/>
      <c r="P107" s="107"/>
      <c r="Q107" s="107"/>
      <c r="R107" s="72">
        <f t="shared" si="15"/>
        <v>6.0057565789473664</v>
      </c>
    </row>
    <row r="108" spans="1:18" x14ac:dyDescent="0.15">
      <c r="A108" s="38">
        <f t="shared" ref="A108:A147" si="16">A107+1</f>
        <v>1754</v>
      </c>
      <c r="B108" s="107"/>
      <c r="C108" s="107"/>
      <c r="D108" s="107"/>
      <c r="E108" s="107"/>
      <c r="F108" s="107"/>
      <c r="G108" s="107"/>
      <c r="H108" s="107"/>
      <c r="I108" s="107"/>
      <c r="J108" s="109"/>
      <c r="K108" s="107"/>
      <c r="L108" s="107"/>
      <c r="N108" s="107"/>
      <c r="O108" s="107"/>
      <c r="P108" s="107"/>
      <c r="Q108" s="107"/>
      <c r="R108" s="72">
        <f t="shared" si="15"/>
        <v>6.0778087044534388</v>
      </c>
    </row>
    <row r="109" spans="1:18" x14ac:dyDescent="0.15">
      <c r="A109" s="38">
        <f t="shared" si="16"/>
        <v>1755</v>
      </c>
      <c r="B109" s="107"/>
      <c r="C109" s="107"/>
      <c r="D109" s="107"/>
      <c r="E109" s="107"/>
      <c r="F109" s="107"/>
      <c r="G109" s="107"/>
      <c r="H109" s="107"/>
      <c r="I109" s="107"/>
      <c r="J109" s="109"/>
      <c r="K109" s="107"/>
      <c r="L109" s="107"/>
      <c r="N109" s="107"/>
      <c r="O109" s="107"/>
      <c r="P109" s="107"/>
      <c r="Q109" s="107"/>
      <c r="R109" s="72">
        <f t="shared" si="15"/>
        <v>6.1498608299595112</v>
      </c>
    </row>
    <row r="110" spans="1:18" x14ac:dyDescent="0.15">
      <c r="A110" s="38">
        <f t="shared" si="16"/>
        <v>1756</v>
      </c>
      <c r="B110" s="107"/>
      <c r="C110" s="107"/>
      <c r="D110" s="107"/>
      <c r="E110" s="107"/>
      <c r="F110" s="107"/>
      <c r="G110" s="107"/>
      <c r="H110" s="107"/>
      <c r="I110" s="107"/>
      <c r="J110" s="109"/>
      <c r="K110" s="107"/>
      <c r="L110" s="107"/>
      <c r="N110" s="107"/>
      <c r="O110" s="107"/>
      <c r="P110" s="107"/>
      <c r="Q110" s="107"/>
      <c r="R110" s="72">
        <f t="shared" si="15"/>
        <v>6.2219129554655837</v>
      </c>
    </row>
    <row r="111" spans="1:18" x14ac:dyDescent="0.15">
      <c r="A111" s="38">
        <f t="shared" si="16"/>
        <v>1757</v>
      </c>
      <c r="B111" s="107"/>
      <c r="C111" s="107"/>
      <c r="D111" s="107"/>
      <c r="E111" s="107"/>
      <c r="F111" s="107"/>
      <c r="G111" s="107"/>
      <c r="H111" s="107"/>
      <c r="I111" s="107"/>
      <c r="J111" s="109"/>
      <c r="K111" s="107"/>
      <c r="L111" s="107"/>
      <c r="N111" s="107"/>
      <c r="O111" s="107"/>
      <c r="P111" s="107"/>
      <c r="Q111" s="107"/>
      <c r="R111" s="72">
        <f t="shared" si="15"/>
        <v>6.2939650809716561</v>
      </c>
    </row>
    <row r="112" spans="1:18" x14ac:dyDescent="0.15">
      <c r="A112" s="38">
        <f t="shared" si="16"/>
        <v>1758</v>
      </c>
      <c r="B112" s="107"/>
      <c r="C112" s="107"/>
      <c r="D112" s="107"/>
      <c r="E112" s="107"/>
      <c r="F112" s="107"/>
      <c r="G112" s="107"/>
      <c r="H112" s="107"/>
      <c r="I112" s="107"/>
      <c r="J112" s="109"/>
      <c r="K112" s="107"/>
      <c r="L112" s="107"/>
      <c r="N112" s="107"/>
      <c r="O112" s="107"/>
      <c r="P112" s="107"/>
      <c r="Q112" s="107"/>
      <c r="R112" s="72">
        <f t="shared" si="15"/>
        <v>6.3660172064777285</v>
      </c>
    </row>
    <row r="113" spans="1:18" x14ac:dyDescent="0.15">
      <c r="A113" s="38">
        <f t="shared" si="16"/>
        <v>1759</v>
      </c>
      <c r="B113" s="107"/>
      <c r="C113" s="107"/>
      <c r="D113" s="107"/>
      <c r="E113" s="107"/>
      <c r="F113" s="107"/>
      <c r="G113" s="107"/>
      <c r="H113" s="107"/>
      <c r="I113" s="107"/>
      <c r="J113" s="109"/>
      <c r="K113" s="107"/>
      <c r="L113" s="107"/>
      <c r="N113" s="107"/>
      <c r="O113" s="107"/>
      <c r="P113" s="107"/>
      <c r="Q113" s="107"/>
      <c r="R113" s="72">
        <f t="shared" si="15"/>
        <v>6.4380693319838009</v>
      </c>
    </row>
    <row r="114" spans="1:18" x14ac:dyDescent="0.15">
      <c r="A114" s="38">
        <f t="shared" si="16"/>
        <v>1760</v>
      </c>
      <c r="B114" s="107"/>
      <c r="C114" s="107"/>
      <c r="D114" s="107">
        <v>0.39999999999999997</v>
      </c>
      <c r="E114" s="107"/>
      <c r="F114" s="107"/>
      <c r="G114" s="107"/>
      <c r="H114" s="107"/>
      <c r="I114" s="107"/>
      <c r="J114" s="109"/>
      <c r="K114" s="107"/>
      <c r="L114" s="107"/>
      <c r="N114" s="107">
        <f t="shared" ref="N114:N118" si="17">AVERAGE(C114:F114)/0.494</f>
        <v>0.80971659919028338</v>
      </c>
      <c r="O114" s="107"/>
      <c r="P114" s="107"/>
      <c r="Q114" s="107">
        <f t="shared" ref="Q114:Q117" si="18">N114*8.04</f>
        <v>6.5101214574898778</v>
      </c>
      <c r="R114" s="107">
        <v>6.5101214574898778</v>
      </c>
    </row>
    <row r="115" spans="1:18" x14ac:dyDescent="0.15">
      <c r="A115" s="38">
        <f t="shared" si="16"/>
        <v>1761</v>
      </c>
      <c r="B115" s="107"/>
      <c r="C115" s="107"/>
      <c r="D115" s="107">
        <v>0.60444444444444445</v>
      </c>
      <c r="E115" s="107"/>
      <c r="F115" s="107"/>
      <c r="G115" s="107"/>
      <c r="H115" s="107"/>
      <c r="I115" s="107"/>
      <c r="J115" s="109"/>
      <c r="K115" s="107"/>
      <c r="L115" s="107"/>
      <c r="N115" s="107">
        <f t="shared" si="17"/>
        <v>1.2235717498875394</v>
      </c>
      <c r="O115" s="107"/>
      <c r="P115" s="107"/>
      <c r="Q115" s="107">
        <f t="shared" si="18"/>
        <v>9.8375168690958148</v>
      </c>
      <c r="R115" s="107">
        <v>9.8375168690958148</v>
      </c>
    </row>
    <row r="116" spans="1:18" x14ac:dyDescent="0.15">
      <c r="A116" s="38">
        <f t="shared" si="16"/>
        <v>1762</v>
      </c>
      <c r="B116" s="107"/>
      <c r="C116" s="107"/>
      <c r="D116" s="107">
        <v>0.6</v>
      </c>
      <c r="E116" s="107"/>
      <c r="F116" s="107"/>
      <c r="G116" s="107"/>
      <c r="H116" s="107"/>
      <c r="I116" s="107"/>
      <c r="J116" s="109"/>
      <c r="K116" s="107"/>
      <c r="L116" s="107"/>
      <c r="N116" s="107">
        <f t="shared" si="17"/>
        <v>1.214574898785425</v>
      </c>
      <c r="O116" s="107"/>
      <c r="P116" s="107"/>
      <c r="Q116" s="107">
        <f t="shared" si="18"/>
        <v>9.7651821862348154</v>
      </c>
      <c r="R116" s="107">
        <v>9.7651821862348154</v>
      </c>
    </row>
    <row r="117" spans="1:18" x14ac:dyDescent="0.15">
      <c r="A117" s="38">
        <f t="shared" si="16"/>
        <v>1763</v>
      </c>
      <c r="B117" s="107"/>
      <c r="C117" s="107"/>
      <c r="D117" s="107">
        <v>0.45</v>
      </c>
      <c r="E117" s="107"/>
      <c r="F117" s="107"/>
      <c r="G117" s="107"/>
      <c r="H117" s="107"/>
      <c r="I117" s="107"/>
      <c r="J117" s="109"/>
      <c r="K117" s="107"/>
      <c r="L117" s="107"/>
      <c r="N117" s="107">
        <f t="shared" si="17"/>
        <v>0.91093117408906887</v>
      </c>
      <c r="O117" s="107"/>
      <c r="P117" s="107"/>
      <c r="Q117" s="107">
        <f t="shared" si="18"/>
        <v>7.3238866396761129</v>
      </c>
      <c r="R117" s="107">
        <v>7.3238866396761129</v>
      </c>
    </row>
    <row r="118" spans="1:18" x14ac:dyDescent="0.15">
      <c r="A118" s="38">
        <f t="shared" si="16"/>
        <v>1764</v>
      </c>
      <c r="B118" s="107"/>
      <c r="C118" s="107"/>
      <c r="D118" s="107">
        <v>0.39999999999999997</v>
      </c>
      <c r="E118" s="107"/>
      <c r="F118" s="107"/>
      <c r="G118" s="107"/>
      <c r="H118" s="107"/>
      <c r="I118" s="107"/>
      <c r="J118" s="109"/>
      <c r="K118" s="107"/>
      <c r="L118" s="107"/>
      <c r="N118" s="107">
        <f t="shared" si="17"/>
        <v>0.80971659919028338</v>
      </c>
      <c r="O118" s="107"/>
      <c r="P118" s="107"/>
      <c r="Q118" s="107">
        <f>N118*8.04</f>
        <v>6.5101214574898778</v>
      </c>
      <c r="R118" s="107">
        <v>6.5101214574898778</v>
      </c>
    </row>
    <row r="119" spans="1:18" x14ac:dyDescent="0.15">
      <c r="A119" s="38">
        <f t="shared" si="16"/>
        <v>1765</v>
      </c>
      <c r="B119" s="107"/>
      <c r="C119" s="107"/>
      <c r="D119" s="107"/>
      <c r="E119" s="107"/>
      <c r="F119" s="107"/>
      <c r="G119" s="107"/>
      <c r="H119" s="107"/>
      <c r="I119" s="107"/>
      <c r="J119" s="109"/>
      <c r="K119" s="107"/>
      <c r="L119" s="107"/>
      <c r="N119" s="107"/>
      <c r="O119" s="107"/>
      <c r="P119" s="107"/>
      <c r="Q119" s="107"/>
      <c r="R119" s="72">
        <f>R118+($R$123-$R$118)/5</f>
        <v>6.5698380566801609</v>
      </c>
    </row>
    <row r="120" spans="1:18" x14ac:dyDescent="0.15">
      <c r="A120" s="38">
        <f t="shared" si="16"/>
        <v>1766</v>
      </c>
      <c r="B120" s="107"/>
      <c r="C120" s="107"/>
      <c r="D120" s="107"/>
      <c r="E120" s="107"/>
      <c r="F120" s="107"/>
      <c r="G120" s="107"/>
      <c r="H120" s="107"/>
      <c r="I120" s="107"/>
      <c r="J120" s="109"/>
      <c r="K120" s="107"/>
      <c r="L120" s="107"/>
      <c r="N120" s="107"/>
      <c r="O120" s="107"/>
      <c r="P120" s="107"/>
      <c r="Q120" s="107"/>
      <c r="R120" s="72">
        <f>R119+($R$123-$R$118)/5</f>
        <v>6.6295546558704439</v>
      </c>
    </row>
    <row r="121" spans="1:18" x14ac:dyDescent="0.15">
      <c r="A121" s="38">
        <f t="shared" si="16"/>
        <v>1767</v>
      </c>
      <c r="B121" s="107"/>
      <c r="C121" s="107"/>
      <c r="D121" s="107"/>
      <c r="E121" s="107"/>
      <c r="F121" s="107"/>
      <c r="G121" s="107"/>
      <c r="H121" s="107"/>
      <c r="I121" s="107"/>
      <c r="J121" s="109"/>
      <c r="K121" s="107"/>
      <c r="L121" s="107"/>
      <c r="N121" s="107"/>
      <c r="O121" s="107"/>
      <c r="P121" s="107"/>
      <c r="Q121" s="107"/>
      <c r="R121" s="72">
        <f>R120+($R$123-$R$118)/5</f>
        <v>6.689271255060727</v>
      </c>
    </row>
    <row r="122" spans="1:18" x14ac:dyDescent="0.15">
      <c r="A122" s="38">
        <f t="shared" si="16"/>
        <v>1768</v>
      </c>
      <c r="B122" s="107"/>
      <c r="C122" s="107"/>
      <c r="D122" s="107"/>
      <c r="E122" s="107"/>
      <c r="F122" s="107"/>
      <c r="G122" s="107"/>
      <c r="H122" s="107"/>
      <c r="I122" s="107"/>
      <c r="J122" s="109"/>
      <c r="K122" s="107"/>
      <c r="L122" s="107"/>
      <c r="N122" s="107"/>
      <c r="O122" s="107"/>
      <c r="P122" s="107"/>
      <c r="Q122" s="107"/>
      <c r="R122" s="72">
        <f>R121+($R$123-$R$118)/5</f>
        <v>6.74898785425101</v>
      </c>
    </row>
    <row r="123" spans="1:18" x14ac:dyDescent="0.15">
      <c r="A123" s="38">
        <f t="shared" si="16"/>
        <v>1769</v>
      </c>
      <c r="B123" s="107"/>
      <c r="C123" s="107"/>
      <c r="D123" s="107">
        <v>0.35</v>
      </c>
      <c r="E123" s="107"/>
      <c r="F123" s="107"/>
      <c r="G123" s="107"/>
      <c r="H123" s="107"/>
      <c r="I123" s="107"/>
      <c r="J123" s="109"/>
      <c r="K123" s="107"/>
      <c r="L123" s="107"/>
      <c r="N123" s="107">
        <f>AVERAGE(C123:F123)/0.494</f>
        <v>0.70850202429149789</v>
      </c>
      <c r="O123" s="107"/>
      <c r="P123" s="107"/>
      <c r="Q123" s="107">
        <f>N123*9.61</f>
        <v>6.8087044534412939</v>
      </c>
      <c r="R123" s="107">
        <v>6.8087044534412939</v>
      </c>
    </row>
    <row r="124" spans="1:18" x14ac:dyDescent="0.15">
      <c r="A124" s="38">
        <f t="shared" si="16"/>
        <v>1770</v>
      </c>
      <c r="B124" s="107"/>
      <c r="C124" s="107"/>
      <c r="D124" s="107"/>
      <c r="E124" s="107"/>
      <c r="F124" s="107"/>
      <c r="G124" s="107"/>
      <c r="H124" s="107"/>
      <c r="I124" s="107"/>
      <c r="J124" s="109"/>
      <c r="K124" s="107"/>
      <c r="L124" s="107"/>
      <c r="N124" s="107"/>
      <c r="O124" s="107"/>
      <c r="P124" s="107"/>
      <c r="Q124" s="107"/>
      <c r="R124" s="72">
        <f t="shared" ref="R124:R136" si="19">R123+($R$137-$R$123)/14</f>
        <v>6.5853307119282825</v>
      </c>
    </row>
    <row r="125" spans="1:18" x14ac:dyDescent="0.15">
      <c r="A125" s="38">
        <f t="shared" si="16"/>
        <v>1771</v>
      </c>
      <c r="B125" s="107"/>
      <c r="C125" s="107"/>
      <c r="D125" s="107"/>
      <c r="E125" s="107"/>
      <c r="F125" s="107"/>
      <c r="G125" s="107"/>
      <c r="H125" s="107"/>
      <c r="I125" s="107"/>
      <c r="J125" s="109"/>
      <c r="K125" s="107"/>
      <c r="L125" s="107"/>
      <c r="N125" s="107"/>
      <c r="O125" s="107"/>
      <c r="P125" s="107"/>
      <c r="Q125" s="107"/>
      <c r="R125" s="72">
        <f t="shared" si="19"/>
        <v>6.361956970415271</v>
      </c>
    </row>
    <row r="126" spans="1:18" x14ac:dyDescent="0.15">
      <c r="A126" s="38">
        <f t="shared" si="16"/>
        <v>1772</v>
      </c>
      <c r="B126" s="107"/>
      <c r="C126" s="107"/>
      <c r="D126" s="107"/>
      <c r="E126" s="107"/>
      <c r="F126" s="107"/>
      <c r="G126" s="107"/>
      <c r="H126" s="107"/>
      <c r="I126" s="107"/>
      <c r="J126" s="109"/>
      <c r="K126" s="107"/>
      <c r="L126" s="107"/>
      <c r="N126" s="107"/>
      <c r="O126" s="107"/>
      <c r="P126" s="107"/>
      <c r="Q126" s="107"/>
      <c r="R126" s="72">
        <f t="shared" si="19"/>
        <v>6.1385832289022595</v>
      </c>
    </row>
    <row r="127" spans="1:18" x14ac:dyDescent="0.15">
      <c r="A127" s="38">
        <f t="shared" si="16"/>
        <v>1773</v>
      </c>
      <c r="B127" s="107"/>
      <c r="C127" s="107"/>
      <c r="D127" s="107"/>
      <c r="E127" s="107"/>
      <c r="F127" s="107"/>
      <c r="G127" s="107"/>
      <c r="H127" s="107"/>
      <c r="I127" s="107"/>
      <c r="J127" s="109"/>
      <c r="K127" s="107"/>
      <c r="L127" s="107"/>
      <c r="N127" s="107"/>
      <c r="O127" s="107"/>
      <c r="P127" s="107"/>
      <c r="Q127" s="107"/>
      <c r="R127" s="72">
        <f t="shared" si="19"/>
        <v>5.915209487389248</v>
      </c>
    </row>
    <row r="128" spans="1:18" x14ac:dyDescent="0.15">
      <c r="A128" s="38">
        <f t="shared" si="16"/>
        <v>1774</v>
      </c>
      <c r="B128" s="107"/>
      <c r="C128" s="107"/>
      <c r="D128" s="107"/>
      <c r="E128" s="107"/>
      <c r="F128" s="107"/>
      <c r="G128" s="107"/>
      <c r="H128" s="107"/>
      <c r="I128" s="107"/>
      <c r="J128" s="109"/>
      <c r="K128" s="107"/>
      <c r="L128" s="107"/>
      <c r="N128" s="107"/>
      <c r="O128" s="107"/>
      <c r="P128" s="107"/>
      <c r="Q128" s="107"/>
      <c r="R128" s="72">
        <f t="shared" si="19"/>
        <v>5.6918357458762365</v>
      </c>
    </row>
    <row r="129" spans="1:18" x14ac:dyDescent="0.15">
      <c r="A129" s="38">
        <f t="shared" si="16"/>
        <v>1775</v>
      </c>
      <c r="B129" s="107"/>
      <c r="C129" s="107"/>
      <c r="D129" s="107"/>
      <c r="E129" s="107"/>
      <c r="F129" s="107"/>
      <c r="G129" s="107"/>
      <c r="H129" s="107"/>
      <c r="I129" s="107"/>
      <c r="J129" s="109"/>
      <c r="K129" s="107"/>
      <c r="L129" s="107"/>
      <c r="N129" s="107"/>
      <c r="O129" s="107"/>
      <c r="P129" s="107"/>
      <c r="Q129" s="107"/>
      <c r="R129" s="72">
        <f t="shared" si="19"/>
        <v>5.468462004363225</v>
      </c>
    </row>
    <row r="130" spans="1:18" x14ac:dyDescent="0.15">
      <c r="A130" s="38">
        <f t="shared" si="16"/>
        <v>1776</v>
      </c>
      <c r="B130" s="107"/>
      <c r="C130" s="107"/>
      <c r="D130" s="107"/>
      <c r="E130" s="107"/>
      <c r="F130" s="107"/>
      <c r="G130" s="107"/>
      <c r="H130" s="107"/>
      <c r="I130" s="107"/>
      <c r="J130" s="109"/>
      <c r="K130" s="107"/>
      <c r="L130" s="107"/>
      <c r="N130" s="107"/>
      <c r="O130" s="107"/>
      <c r="P130" s="107"/>
      <c r="Q130" s="107"/>
      <c r="R130" s="72">
        <f t="shared" si="19"/>
        <v>5.2450882628502136</v>
      </c>
    </row>
    <row r="131" spans="1:18" x14ac:dyDescent="0.15">
      <c r="A131" s="38">
        <f t="shared" si="16"/>
        <v>1777</v>
      </c>
      <c r="B131" s="107"/>
      <c r="C131" s="107"/>
      <c r="D131" s="107"/>
      <c r="E131" s="107"/>
      <c r="F131" s="107"/>
      <c r="G131" s="107"/>
      <c r="H131" s="107"/>
      <c r="I131" s="107"/>
      <c r="J131" s="109"/>
      <c r="K131" s="107"/>
      <c r="L131" s="107"/>
      <c r="N131" s="107"/>
      <c r="O131" s="107"/>
      <c r="P131" s="107"/>
      <c r="Q131" s="107"/>
      <c r="R131" s="72">
        <f t="shared" si="19"/>
        <v>5.0217145213372021</v>
      </c>
    </row>
    <row r="132" spans="1:18" x14ac:dyDescent="0.15">
      <c r="A132" s="38">
        <f t="shared" si="16"/>
        <v>1778</v>
      </c>
      <c r="B132" s="107"/>
      <c r="C132" s="107"/>
      <c r="D132" s="107"/>
      <c r="E132" s="107"/>
      <c r="F132" s="107"/>
      <c r="G132" s="107"/>
      <c r="H132" s="107"/>
      <c r="I132" s="107"/>
      <c r="J132" s="109"/>
      <c r="K132" s="107"/>
      <c r="L132" s="107"/>
      <c r="N132" s="107"/>
      <c r="O132" s="107"/>
      <c r="P132" s="107"/>
      <c r="Q132" s="107"/>
      <c r="R132" s="72">
        <f t="shared" si="19"/>
        <v>4.7983407798241906</v>
      </c>
    </row>
    <row r="133" spans="1:18" x14ac:dyDescent="0.15">
      <c r="A133" s="38">
        <f t="shared" si="16"/>
        <v>1779</v>
      </c>
      <c r="B133" s="107"/>
      <c r="C133" s="107"/>
      <c r="D133" s="107"/>
      <c r="E133" s="107"/>
      <c r="F133" s="107"/>
      <c r="G133" s="107"/>
      <c r="H133" s="107"/>
      <c r="I133" s="107"/>
      <c r="J133" s="109"/>
      <c r="K133" s="107"/>
      <c r="L133" s="107"/>
      <c r="N133" s="107"/>
      <c r="O133" s="107"/>
      <c r="P133" s="107"/>
      <c r="Q133" s="107"/>
      <c r="R133" s="72">
        <f t="shared" si="19"/>
        <v>4.5749670383111791</v>
      </c>
    </row>
    <row r="134" spans="1:18" x14ac:dyDescent="0.15">
      <c r="A134" s="38">
        <f t="shared" si="16"/>
        <v>1780</v>
      </c>
      <c r="B134" s="107"/>
      <c r="C134" s="107"/>
      <c r="D134" s="107"/>
      <c r="E134" s="107"/>
      <c r="F134" s="107"/>
      <c r="G134" s="107"/>
      <c r="H134" s="107"/>
      <c r="I134" s="107"/>
      <c r="J134" s="109"/>
      <c r="K134" s="107"/>
      <c r="L134" s="107"/>
      <c r="N134" s="107"/>
      <c r="O134" s="107"/>
      <c r="P134" s="107"/>
      <c r="Q134" s="107"/>
      <c r="R134" s="72">
        <f t="shared" si="19"/>
        <v>4.3515932967981676</v>
      </c>
    </row>
    <row r="135" spans="1:18" x14ac:dyDescent="0.15">
      <c r="A135" s="38">
        <f t="shared" si="16"/>
        <v>1781</v>
      </c>
      <c r="B135" s="107"/>
      <c r="C135" s="107"/>
      <c r="D135" s="107"/>
      <c r="E135" s="107"/>
      <c r="F135" s="107"/>
      <c r="G135" s="107"/>
      <c r="H135" s="107"/>
      <c r="I135" s="107"/>
      <c r="J135" s="109"/>
      <c r="K135" s="107"/>
      <c r="L135" s="107"/>
      <c r="N135" s="107"/>
      <c r="O135" s="107"/>
      <c r="P135" s="107"/>
      <c r="Q135" s="107"/>
      <c r="R135" s="72">
        <f t="shared" si="19"/>
        <v>4.1282195552851562</v>
      </c>
    </row>
    <row r="136" spans="1:18" x14ac:dyDescent="0.15">
      <c r="A136" s="38">
        <f t="shared" si="16"/>
        <v>1782</v>
      </c>
      <c r="B136" s="107"/>
      <c r="C136" s="107"/>
      <c r="D136" s="107"/>
      <c r="E136" s="107"/>
      <c r="F136" s="107"/>
      <c r="G136" s="107"/>
      <c r="H136" s="107"/>
      <c r="I136" s="107"/>
      <c r="J136" s="109"/>
      <c r="K136" s="107"/>
      <c r="L136" s="107"/>
      <c r="N136" s="107"/>
      <c r="O136" s="107"/>
      <c r="P136" s="107"/>
      <c r="Q136" s="107"/>
      <c r="R136" s="72">
        <f t="shared" si="19"/>
        <v>3.9048458137721447</v>
      </c>
    </row>
    <row r="137" spans="1:18" x14ac:dyDescent="0.15">
      <c r="A137" s="38">
        <f t="shared" si="16"/>
        <v>1783</v>
      </c>
      <c r="B137" s="107"/>
      <c r="C137" s="107">
        <v>0.51617524916943525</v>
      </c>
      <c r="D137" s="107"/>
      <c r="E137" s="107"/>
      <c r="F137" s="107"/>
      <c r="G137" s="107">
        <v>0.10416666666666667</v>
      </c>
      <c r="H137" s="107"/>
      <c r="I137" s="107"/>
      <c r="J137" s="109"/>
      <c r="K137" s="107"/>
      <c r="L137" s="107"/>
      <c r="N137" s="107">
        <f>(G137*2.4+C137)/2</f>
        <v>0.38308762458471762</v>
      </c>
      <c r="O137" s="107"/>
      <c r="P137" s="107"/>
      <c r="Q137" s="107">
        <f t="shared" ref="Q137:Q140" si="20">N137*9.61</f>
        <v>3.6814720722591363</v>
      </c>
      <c r="R137" s="107">
        <v>3.6814720722591363</v>
      </c>
    </row>
    <row r="138" spans="1:18" x14ac:dyDescent="0.15">
      <c r="A138" s="38">
        <f t="shared" si="16"/>
        <v>1784</v>
      </c>
      <c r="B138" s="107"/>
      <c r="C138" s="107"/>
      <c r="D138" s="107">
        <v>0.41249999999999998</v>
      </c>
      <c r="E138" s="107">
        <v>0.43312883435582816</v>
      </c>
      <c r="F138" s="107"/>
      <c r="G138" s="107"/>
      <c r="H138" s="107"/>
      <c r="I138" s="107"/>
      <c r="J138" s="109"/>
      <c r="K138" s="107"/>
      <c r="L138" s="107"/>
      <c r="N138" s="107">
        <f t="shared" ref="N138:N140" si="21">AVERAGE(C138:F138)/0.494</f>
        <v>0.85589962991480584</v>
      </c>
      <c r="O138" s="107"/>
      <c r="P138" s="107"/>
      <c r="Q138" s="107">
        <f t="shared" si="20"/>
        <v>8.2251954434812831</v>
      </c>
      <c r="R138" s="107">
        <v>8.2251954434812831</v>
      </c>
    </row>
    <row r="139" spans="1:18" x14ac:dyDescent="0.15">
      <c r="A139" s="38">
        <f t="shared" si="16"/>
        <v>1785</v>
      </c>
      <c r="B139" s="107"/>
      <c r="C139" s="107"/>
      <c r="D139" s="107"/>
      <c r="E139" s="107">
        <v>0.37811032863849769</v>
      </c>
      <c r="F139" s="107"/>
      <c r="G139" s="107"/>
      <c r="H139" s="107"/>
      <c r="I139" s="107"/>
      <c r="J139" s="109"/>
      <c r="K139" s="107"/>
      <c r="L139" s="107"/>
      <c r="N139" s="107">
        <f t="shared" si="21"/>
        <v>0.76540552355971192</v>
      </c>
      <c r="O139" s="107"/>
      <c r="P139" s="107"/>
      <c r="Q139" s="107">
        <f t="shared" si="20"/>
        <v>7.3555470814088313</v>
      </c>
      <c r="R139" s="107">
        <v>7.3555470814088313</v>
      </c>
    </row>
    <row r="140" spans="1:18" x14ac:dyDescent="0.15">
      <c r="A140" s="38">
        <f t="shared" si="16"/>
        <v>1786</v>
      </c>
      <c r="B140" s="107"/>
      <c r="C140" s="107"/>
      <c r="D140" s="107">
        <v>0.125</v>
      </c>
      <c r="E140" s="107"/>
      <c r="F140" s="107"/>
      <c r="G140" s="107"/>
      <c r="H140" s="107"/>
      <c r="I140" s="107"/>
      <c r="J140" s="109"/>
      <c r="K140" s="107"/>
      <c r="L140" s="107"/>
      <c r="N140" s="107">
        <f t="shared" si="21"/>
        <v>0.25303643724696356</v>
      </c>
      <c r="O140" s="107"/>
      <c r="P140" s="107"/>
      <c r="Q140" s="107">
        <f t="shared" si="20"/>
        <v>2.4316801619433197</v>
      </c>
      <c r="R140" s="107">
        <v>2.4316801619433197</v>
      </c>
    </row>
    <row r="141" spans="1:18" x14ac:dyDescent="0.15">
      <c r="A141" s="38">
        <f t="shared" si="16"/>
        <v>1787</v>
      </c>
      <c r="B141" s="107"/>
      <c r="C141" s="107"/>
      <c r="D141" s="107"/>
      <c r="E141" s="107"/>
      <c r="F141" s="107"/>
      <c r="G141" s="107"/>
      <c r="H141" s="107"/>
      <c r="I141" s="107"/>
      <c r="J141" s="109"/>
      <c r="K141" s="107"/>
      <c r="L141" s="107"/>
      <c r="N141" s="107"/>
      <c r="O141" s="107"/>
      <c r="P141" s="107"/>
      <c r="Q141" s="107"/>
      <c r="R141" s="72">
        <f>R140+($R$143-$R$140)/3</f>
        <v>4.4295177045177043</v>
      </c>
    </row>
    <row r="142" spans="1:18" x14ac:dyDescent="0.15">
      <c r="A142" s="38">
        <f t="shared" si="16"/>
        <v>1788</v>
      </c>
      <c r="B142" s="107"/>
      <c r="C142" s="107"/>
      <c r="D142" s="107"/>
      <c r="E142" s="107"/>
      <c r="F142" s="107"/>
      <c r="G142" s="107"/>
      <c r="H142" s="107"/>
      <c r="I142" s="107"/>
      <c r="J142" s="109"/>
      <c r="K142" s="107"/>
      <c r="L142" s="107"/>
      <c r="N142" s="107"/>
      <c r="O142" s="107"/>
      <c r="P142" s="107"/>
      <c r="Q142" s="107"/>
      <c r="R142" s="72">
        <f>R141+($R$143-$R$140)/3</f>
        <v>6.4273552470920894</v>
      </c>
    </row>
    <row r="143" spans="1:18" x14ac:dyDescent="0.15">
      <c r="A143" s="38">
        <f t="shared" si="16"/>
        <v>1789</v>
      </c>
      <c r="B143" s="107"/>
      <c r="C143" s="107"/>
      <c r="D143" s="107">
        <v>0.43309523809523809</v>
      </c>
      <c r="E143" s="107"/>
      <c r="F143" s="107"/>
      <c r="G143" s="107"/>
      <c r="H143" s="107"/>
      <c r="I143" s="107"/>
      <c r="J143" s="109"/>
      <c r="K143" s="107"/>
      <c r="L143" s="107"/>
      <c r="N143" s="107">
        <f t="shared" ref="N143:N147" si="22">AVERAGE(C143:F143)/0.494</f>
        <v>0.87671100828995563</v>
      </c>
      <c r="O143" s="107"/>
      <c r="P143" s="107"/>
      <c r="Q143" s="107">
        <f t="shared" ref="Q143:Q145" si="23">N143*9.61</f>
        <v>8.4251927896664736</v>
      </c>
      <c r="R143" s="107">
        <v>8.4251927896664736</v>
      </c>
    </row>
    <row r="144" spans="1:18" x14ac:dyDescent="0.15">
      <c r="A144" s="38">
        <f t="shared" si="16"/>
        <v>1790</v>
      </c>
      <c r="B144" s="107"/>
      <c r="C144" s="107"/>
      <c r="D144" s="107">
        <v>0.41250000000000003</v>
      </c>
      <c r="E144" s="107"/>
      <c r="F144" s="107"/>
      <c r="G144" s="107"/>
      <c r="H144" s="107"/>
      <c r="I144" s="107"/>
      <c r="J144" s="109"/>
      <c r="K144" s="107"/>
      <c r="L144" s="107"/>
      <c r="N144" s="107">
        <f t="shared" si="22"/>
        <v>0.83502024291497978</v>
      </c>
      <c r="O144" s="107"/>
      <c r="P144" s="107"/>
      <c r="Q144" s="107">
        <f t="shared" si="23"/>
        <v>8.0245445344129553</v>
      </c>
      <c r="R144" s="107">
        <v>8.0245445344129553</v>
      </c>
    </row>
    <row r="145" spans="1:18" x14ac:dyDescent="0.15">
      <c r="A145" s="38">
        <f t="shared" si="16"/>
        <v>1791</v>
      </c>
      <c r="B145" s="107"/>
      <c r="C145" s="107"/>
      <c r="D145" s="107">
        <v>0.41249999999999998</v>
      </c>
      <c r="E145" s="107"/>
      <c r="F145" s="107"/>
      <c r="G145" s="107"/>
      <c r="H145" s="107"/>
      <c r="I145" s="107"/>
      <c r="J145" s="109"/>
      <c r="K145" s="107"/>
      <c r="L145" s="107"/>
      <c r="N145" s="107">
        <f t="shared" si="22"/>
        <v>0.83502024291497967</v>
      </c>
      <c r="O145" s="107"/>
      <c r="P145" s="107"/>
      <c r="Q145" s="107">
        <f t="shared" si="23"/>
        <v>8.0245445344129536</v>
      </c>
      <c r="R145" s="107">
        <v>8.0245445344129536</v>
      </c>
    </row>
    <row r="146" spans="1:18" x14ac:dyDescent="0.15">
      <c r="A146" s="38">
        <f t="shared" si="16"/>
        <v>1792</v>
      </c>
      <c r="B146" s="107"/>
      <c r="C146" s="107"/>
      <c r="D146" s="107"/>
      <c r="E146" s="107"/>
      <c r="F146" s="107"/>
      <c r="G146" s="107"/>
      <c r="H146" s="107"/>
      <c r="I146" s="107"/>
      <c r="J146" s="109"/>
      <c r="K146" s="107"/>
      <c r="L146" s="107"/>
      <c r="N146" s="107"/>
      <c r="O146" s="107"/>
      <c r="P146" s="107"/>
      <c r="Q146" s="107"/>
      <c r="R146" s="72">
        <f>R145+($R$147-$R$145)/2</f>
        <v>7.077354147979344</v>
      </c>
    </row>
    <row r="147" spans="1:18" x14ac:dyDescent="0.15">
      <c r="A147" s="38">
        <f t="shared" si="16"/>
        <v>1793</v>
      </c>
      <c r="B147" s="107"/>
      <c r="C147" s="107"/>
      <c r="D147" s="107">
        <v>0.31511976047904194</v>
      </c>
      <c r="E147" s="107"/>
      <c r="F147" s="107"/>
      <c r="G147" s="107"/>
      <c r="H147" s="107"/>
      <c r="I147" s="107"/>
      <c r="J147" s="109"/>
      <c r="K147" s="107"/>
      <c r="L147" s="107"/>
      <c r="N147" s="107">
        <f t="shared" si="22"/>
        <v>0.63789425198186633</v>
      </c>
      <c r="O147" s="107"/>
      <c r="P147" s="107"/>
      <c r="Q147" s="107">
        <f>N147*9.61</f>
        <v>6.1301637615457354</v>
      </c>
      <c r="R147" s="107">
        <v>6.1301637615457354</v>
      </c>
    </row>
    <row r="148" spans="1:18" x14ac:dyDescent="0.15">
      <c r="A148" s="38">
        <v>1794</v>
      </c>
      <c r="B148" s="107"/>
      <c r="C148" s="107"/>
      <c r="D148" s="107"/>
      <c r="E148" s="107"/>
      <c r="F148" s="107"/>
      <c r="G148" s="107"/>
      <c r="H148" s="107"/>
      <c r="I148" s="107"/>
      <c r="J148" s="109"/>
      <c r="K148" s="107"/>
      <c r="L148" s="107"/>
      <c r="N148" s="107"/>
      <c r="O148" s="107"/>
      <c r="P148" s="107"/>
      <c r="Q148" s="107"/>
      <c r="R148" s="72">
        <f>R147+($R$151-$R$147)/4</f>
        <v>6.9000519461593015</v>
      </c>
    </row>
    <row r="149" spans="1:18" x14ac:dyDescent="0.15">
      <c r="A149" s="38">
        <v>1795</v>
      </c>
      <c r="B149" s="107"/>
      <c r="C149" s="107"/>
      <c r="D149" s="107"/>
      <c r="E149" s="107"/>
      <c r="F149" s="107"/>
      <c r="G149" s="107"/>
      <c r="H149" s="107"/>
      <c r="I149" s="107"/>
      <c r="J149" s="109"/>
      <c r="K149" s="107"/>
      <c r="L149" s="107"/>
      <c r="N149" s="107"/>
      <c r="O149" s="107"/>
      <c r="P149" s="31">
        <v>0.2</v>
      </c>
      <c r="Q149" s="107"/>
      <c r="R149" s="72">
        <f>R148+($R$151-$R$147)/4</f>
        <v>7.6699401307728676</v>
      </c>
    </row>
    <row r="150" spans="1:18" x14ac:dyDescent="0.15">
      <c r="A150" s="38">
        <f t="shared" ref="A150:A213" si="24">A149+1</f>
        <v>1796</v>
      </c>
      <c r="B150" s="107"/>
      <c r="C150" s="107"/>
      <c r="D150" s="107"/>
      <c r="E150" s="107"/>
      <c r="F150" s="107"/>
      <c r="G150" s="107"/>
      <c r="H150" s="107"/>
      <c r="I150" s="107"/>
      <c r="J150" s="109"/>
      <c r="K150" s="107"/>
      <c r="L150" s="107"/>
      <c r="N150" s="107"/>
      <c r="O150" s="107"/>
      <c r="P150" s="31">
        <v>0.2</v>
      </c>
      <c r="Q150" s="107"/>
      <c r="R150" s="72">
        <f>R149+($R$151-$R$147)/4</f>
        <v>8.4398283153864337</v>
      </c>
    </row>
    <row r="151" spans="1:18" x14ac:dyDescent="0.15">
      <c r="A151" s="38">
        <f t="shared" si="24"/>
        <v>1797</v>
      </c>
      <c r="B151" s="107"/>
      <c r="C151" s="107"/>
      <c r="D151" s="107"/>
      <c r="E151" s="107"/>
      <c r="F151" s="107"/>
      <c r="G151" s="107"/>
      <c r="H151" s="107">
        <v>0.25</v>
      </c>
      <c r="I151" s="107">
        <v>0.125</v>
      </c>
      <c r="J151" s="109"/>
      <c r="K151" s="107"/>
      <c r="L151" s="107"/>
      <c r="N151" s="107"/>
      <c r="O151" s="107"/>
      <c r="P151" s="31">
        <v>0.2</v>
      </c>
      <c r="Q151" s="107">
        <f>AVERAGE(H151:I151)*P151*2.2046*111.4</f>
        <v>9.2097165000000007</v>
      </c>
      <c r="R151" s="107">
        <f>Q151</f>
        <v>9.2097165000000007</v>
      </c>
    </row>
    <row r="152" spans="1:18" x14ac:dyDescent="0.15">
      <c r="A152" s="38">
        <f t="shared" si="24"/>
        <v>1798</v>
      </c>
      <c r="B152" s="107"/>
      <c r="C152" s="107"/>
      <c r="D152" s="107"/>
      <c r="E152" s="107"/>
      <c r="F152" s="107"/>
      <c r="G152" s="107"/>
      <c r="H152" s="107">
        <v>0.75</v>
      </c>
      <c r="I152" s="107">
        <v>0.375</v>
      </c>
      <c r="J152" s="109"/>
      <c r="K152" s="107"/>
      <c r="L152" s="107"/>
      <c r="N152" s="107"/>
      <c r="O152" s="107"/>
      <c r="P152" s="31">
        <v>0.2</v>
      </c>
      <c r="Q152" s="107">
        <f>AVERAGE(H152:I152)*P152*2.2046*111.4</f>
        <v>27.629149500000004</v>
      </c>
      <c r="R152" s="107">
        <f>Q152</f>
        <v>27.629149500000004</v>
      </c>
    </row>
    <row r="153" spans="1:18" x14ac:dyDescent="0.15">
      <c r="A153" s="38">
        <f t="shared" si="24"/>
        <v>1799</v>
      </c>
      <c r="B153" s="107"/>
      <c r="C153" s="107"/>
      <c r="D153" s="107"/>
      <c r="E153" s="107"/>
      <c r="F153" s="107"/>
      <c r="G153" s="107"/>
      <c r="H153" s="107"/>
      <c r="I153" s="107"/>
      <c r="J153" s="109"/>
      <c r="K153" s="107"/>
      <c r="L153" s="107"/>
      <c r="N153" s="107"/>
      <c r="O153" s="107"/>
      <c r="P153" s="31">
        <v>0.2</v>
      </c>
      <c r="Q153" s="107"/>
      <c r="R153" s="72">
        <f>R152+($R$155-$R$152)/3</f>
        <v>23.535942166666672</v>
      </c>
    </row>
    <row r="154" spans="1:18" x14ac:dyDescent="0.15">
      <c r="A154" s="38">
        <f t="shared" si="24"/>
        <v>1800</v>
      </c>
      <c r="B154" s="107"/>
      <c r="C154" s="107"/>
      <c r="D154" s="107"/>
      <c r="E154" s="107"/>
      <c r="F154" s="107"/>
      <c r="G154" s="107"/>
      <c r="H154" s="107"/>
      <c r="I154" s="107"/>
      <c r="J154" s="109"/>
      <c r="K154" s="107"/>
      <c r="L154" s="107"/>
      <c r="N154" s="107"/>
      <c r="O154" s="107"/>
      <c r="P154" s="31">
        <v>0.2</v>
      </c>
      <c r="Q154" s="107"/>
      <c r="R154" s="72">
        <f>R153+($R$155-$R$152)/3</f>
        <v>19.44273483333334</v>
      </c>
    </row>
    <row r="155" spans="1:18" x14ac:dyDescent="0.15">
      <c r="A155" s="38">
        <f t="shared" si="24"/>
        <v>1801</v>
      </c>
      <c r="B155" s="107"/>
      <c r="C155" s="107"/>
      <c r="D155" s="107"/>
      <c r="E155" s="107"/>
      <c r="F155" s="107"/>
      <c r="G155" s="107">
        <v>0.3125</v>
      </c>
      <c r="H155" s="107"/>
      <c r="I155" s="107"/>
      <c r="J155" s="109"/>
      <c r="K155" s="107">
        <v>0.3125</v>
      </c>
      <c r="L155" s="107"/>
      <c r="N155" s="107"/>
      <c r="O155" s="107"/>
      <c r="P155" s="31">
        <v>0.2</v>
      </c>
      <c r="Q155" s="107">
        <f>AVERAGE(G155:K155)*P155*2.2046*111.4</f>
        <v>15.349527500000002</v>
      </c>
      <c r="R155" s="107">
        <f>Q155</f>
        <v>15.349527500000002</v>
      </c>
    </row>
    <row r="156" spans="1:18" x14ac:dyDescent="0.15">
      <c r="A156" s="38">
        <f t="shared" si="24"/>
        <v>1802</v>
      </c>
      <c r="B156" s="107"/>
      <c r="C156" s="107"/>
      <c r="D156" s="107"/>
      <c r="E156" s="107"/>
      <c r="F156" s="107"/>
      <c r="G156" s="107"/>
      <c r="H156" s="107"/>
      <c r="I156" s="107"/>
      <c r="J156" s="109"/>
      <c r="K156" s="107"/>
      <c r="L156" s="107"/>
      <c r="N156" s="107"/>
      <c r="O156" s="107"/>
      <c r="P156" s="31">
        <v>0.2</v>
      </c>
      <c r="Q156" s="107"/>
      <c r="R156" s="72">
        <f>R155+($R$157-$R$155)/2</f>
        <v>19.954385750000004</v>
      </c>
    </row>
    <row r="157" spans="1:18" x14ac:dyDescent="0.15">
      <c r="A157" s="38">
        <f t="shared" si="24"/>
        <v>1803</v>
      </c>
      <c r="B157" s="107"/>
      <c r="C157" s="107"/>
      <c r="D157" s="107"/>
      <c r="E157" s="107"/>
      <c r="F157" s="107"/>
      <c r="G157" s="107">
        <v>0.5</v>
      </c>
      <c r="H157" s="107"/>
      <c r="I157" s="107"/>
      <c r="J157" s="109"/>
      <c r="K157" s="107"/>
      <c r="L157" s="107"/>
      <c r="N157" s="107"/>
      <c r="O157" s="107"/>
      <c r="P157" s="31">
        <v>0.2</v>
      </c>
      <c r="Q157" s="107">
        <f>AVERAGE(G157:K157)*P157*2.2046*111.4</f>
        <v>24.559244000000003</v>
      </c>
      <c r="R157" s="107">
        <f>Q157</f>
        <v>24.559244000000003</v>
      </c>
    </row>
    <row r="158" spans="1:18" x14ac:dyDescent="0.15">
      <c r="A158" s="38">
        <f t="shared" si="24"/>
        <v>1804</v>
      </c>
      <c r="B158" s="107"/>
      <c r="C158" s="107"/>
      <c r="D158" s="107"/>
      <c r="E158" s="107"/>
      <c r="F158" s="107"/>
      <c r="G158" s="107"/>
      <c r="H158" s="107"/>
      <c r="I158" s="107"/>
      <c r="J158" s="109"/>
      <c r="K158" s="107"/>
      <c r="L158" s="107"/>
      <c r="N158" s="107"/>
      <c r="O158" s="107"/>
      <c r="P158" s="31">
        <v>0.2</v>
      </c>
      <c r="Q158" s="107"/>
      <c r="R158" s="72">
        <f t="shared" ref="R158:R176" si="25">R157+($R$177-$R$157)/20</f>
        <v>23.955826608333336</v>
      </c>
    </row>
    <row r="159" spans="1:18" x14ac:dyDescent="0.15">
      <c r="A159" s="38">
        <f t="shared" si="24"/>
        <v>1805</v>
      </c>
      <c r="B159" s="107"/>
      <c r="C159" s="107"/>
      <c r="D159" s="107"/>
      <c r="E159" s="107"/>
      <c r="F159" s="107"/>
      <c r="G159" s="107"/>
      <c r="H159" s="107"/>
      <c r="I159" s="107"/>
      <c r="J159" s="109"/>
      <c r="K159" s="107"/>
      <c r="L159" s="107"/>
      <c r="N159" s="107"/>
      <c r="O159" s="107"/>
      <c r="P159" s="31">
        <v>0.16666666666666666</v>
      </c>
      <c r="Q159" s="107"/>
      <c r="R159" s="72">
        <f t="shared" si="25"/>
        <v>23.352409216666668</v>
      </c>
    </row>
    <row r="160" spans="1:18" x14ac:dyDescent="0.15">
      <c r="A160" s="38">
        <f t="shared" si="24"/>
        <v>1806</v>
      </c>
      <c r="B160" s="107"/>
      <c r="C160" s="107"/>
      <c r="D160" s="107"/>
      <c r="E160" s="107"/>
      <c r="F160" s="107"/>
      <c r="G160" s="107"/>
      <c r="H160" s="107"/>
      <c r="I160" s="107"/>
      <c r="J160" s="109"/>
      <c r="K160" s="107"/>
      <c r="L160" s="107"/>
      <c r="N160" s="107"/>
      <c r="O160" s="107"/>
      <c r="P160" s="31">
        <v>0.2</v>
      </c>
      <c r="Q160" s="107"/>
      <c r="R160" s="72">
        <f t="shared" si="25"/>
        <v>22.748991825000001</v>
      </c>
    </row>
    <row r="161" spans="1:18" x14ac:dyDescent="0.15">
      <c r="A161" s="38">
        <f t="shared" si="24"/>
        <v>1807</v>
      </c>
      <c r="B161" s="107"/>
      <c r="C161" s="107"/>
      <c r="D161" s="107"/>
      <c r="E161" s="107"/>
      <c r="F161" s="107"/>
      <c r="G161" s="107"/>
      <c r="H161" s="107"/>
      <c r="I161" s="107"/>
      <c r="J161" s="109"/>
      <c r="K161" s="107"/>
      <c r="L161" s="107"/>
      <c r="N161" s="107"/>
      <c r="O161" s="107"/>
      <c r="P161" s="31">
        <v>0.1875</v>
      </c>
      <c r="Q161" s="107"/>
      <c r="R161" s="72">
        <f t="shared" si="25"/>
        <v>22.145574433333334</v>
      </c>
    </row>
    <row r="162" spans="1:18" x14ac:dyDescent="0.15">
      <c r="A162" s="38">
        <f t="shared" si="24"/>
        <v>1808</v>
      </c>
      <c r="B162" s="107"/>
      <c r="C162" s="107"/>
      <c r="D162" s="107"/>
      <c r="E162" s="107"/>
      <c r="F162" s="107"/>
      <c r="G162" s="107"/>
      <c r="H162" s="107"/>
      <c r="I162" s="107"/>
      <c r="J162" s="109"/>
      <c r="K162" s="107"/>
      <c r="L162" s="107"/>
      <c r="N162" s="107"/>
      <c r="O162" s="107"/>
      <c r="P162" s="31">
        <v>0.164583333333333</v>
      </c>
      <c r="Q162" s="107"/>
      <c r="R162" s="72">
        <f t="shared" si="25"/>
        <v>21.542157041666666</v>
      </c>
    </row>
    <row r="163" spans="1:18" x14ac:dyDescent="0.15">
      <c r="A163" s="38">
        <f t="shared" si="24"/>
        <v>1809</v>
      </c>
      <c r="B163" s="107"/>
      <c r="C163" s="107"/>
      <c r="D163" s="107"/>
      <c r="E163" s="107"/>
      <c r="F163" s="107"/>
      <c r="G163" s="107"/>
      <c r="H163" s="107"/>
      <c r="I163" s="107"/>
      <c r="J163" s="109"/>
      <c r="K163" s="107"/>
      <c r="L163" s="107"/>
      <c r="N163" s="107"/>
      <c r="O163" s="107"/>
      <c r="P163" s="31">
        <v>0.16666666666666699</v>
      </c>
      <c r="Q163" s="107"/>
      <c r="R163" s="72">
        <f t="shared" si="25"/>
        <v>20.938739649999999</v>
      </c>
    </row>
    <row r="164" spans="1:18" x14ac:dyDescent="0.15">
      <c r="A164" s="38">
        <f t="shared" si="24"/>
        <v>1810</v>
      </c>
      <c r="B164" s="107"/>
      <c r="C164" s="107"/>
      <c r="D164" s="107"/>
      <c r="E164" s="107"/>
      <c r="F164" s="107"/>
      <c r="G164" s="107"/>
      <c r="H164" s="107"/>
      <c r="I164" s="107"/>
      <c r="J164" s="109"/>
      <c r="K164" s="107"/>
      <c r="L164" s="107"/>
      <c r="N164" s="107"/>
      <c r="O164" s="107"/>
      <c r="P164" s="31">
        <v>0.15937499999999999</v>
      </c>
      <c r="Q164" s="107"/>
      <c r="R164" s="72">
        <f t="shared" si="25"/>
        <v>20.335322258333331</v>
      </c>
    </row>
    <row r="165" spans="1:18" x14ac:dyDescent="0.15">
      <c r="A165" s="38">
        <f t="shared" si="24"/>
        <v>1811</v>
      </c>
      <c r="B165" s="107"/>
      <c r="C165" s="107"/>
      <c r="D165" s="107"/>
      <c r="E165" s="107"/>
      <c r="F165" s="107"/>
      <c r="G165" s="107"/>
      <c r="H165" s="107"/>
      <c r="I165" s="107"/>
      <c r="J165" s="109"/>
      <c r="K165" s="107"/>
      <c r="L165" s="107"/>
      <c r="N165" s="107"/>
      <c r="O165" s="107"/>
      <c r="P165" s="31">
        <v>0.139583333333333</v>
      </c>
      <c r="Q165" s="107"/>
      <c r="R165" s="72">
        <f t="shared" si="25"/>
        <v>19.731904866666664</v>
      </c>
    </row>
    <row r="166" spans="1:18" x14ac:dyDescent="0.15">
      <c r="A166" s="38">
        <f t="shared" si="24"/>
        <v>1812</v>
      </c>
      <c r="B166" s="107"/>
      <c r="C166" s="107"/>
      <c r="D166" s="107"/>
      <c r="E166" s="107"/>
      <c r="F166" s="107"/>
      <c r="G166" s="107"/>
      <c r="H166" s="107"/>
      <c r="I166" s="107"/>
      <c r="J166" s="109"/>
      <c r="K166" s="107"/>
      <c r="L166" s="107"/>
      <c r="N166" s="107"/>
      <c r="O166" s="107"/>
      <c r="P166" s="31">
        <v>0.13645833333333299</v>
      </c>
      <c r="Q166" s="107"/>
      <c r="R166" s="72">
        <f t="shared" si="25"/>
        <v>19.128487474999996</v>
      </c>
    </row>
    <row r="167" spans="1:18" x14ac:dyDescent="0.15">
      <c r="A167" s="38">
        <f t="shared" si="24"/>
        <v>1813</v>
      </c>
      <c r="B167" s="107"/>
      <c r="C167" s="107"/>
      <c r="D167" s="107"/>
      <c r="E167" s="107"/>
      <c r="F167" s="107"/>
      <c r="G167" s="107"/>
      <c r="H167" s="107"/>
      <c r="I167" s="107"/>
      <c r="J167" s="109"/>
      <c r="K167" s="107"/>
      <c r="L167" s="107"/>
      <c r="N167" s="107"/>
      <c r="O167" s="107"/>
      <c r="P167" s="31">
        <v>0.126041666666667</v>
      </c>
      <c r="Q167" s="107"/>
      <c r="R167" s="72">
        <f t="shared" si="25"/>
        <v>18.525070083333329</v>
      </c>
    </row>
    <row r="168" spans="1:18" x14ac:dyDescent="0.15">
      <c r="A168" s="38">
        <f t="shared" si="24"/>
        <v>1814</v>
      </c>
      <c r="B168" s="107"/>
      <c r="C168" s="107"/>
      <c r="D168" s="107"/>
      <c r="E168" s="107"/>
      <c r="F168" s="107"/>
      <c r="G168" s="107"/>
      <c r="H168" s="107"/>
      <c r="I168" s="107"/>
      <c r="J168" s="109"/>
      <c r="K168" s="107"/>
      <c r="L168" s="107"/>
      <c r="N168" s="107"/>
      <c r="O168" s="107"/>
      <c r="P168" s="31">
        <v>0.113541666666667</v>
      </c>
      <c r="Q168" s="107"/>
      <c r="R168" s="72">
        <f t="shared" si="25"/>
        <v>17.921652691666662</v>
      </c>
    </row>
    <row r="169" spans="1:18" x14ac:dyDescent="0.15">
      <c r="A169" s="38">
        <f t="shared" si="24"/>
        <v>1815</v>
      </c>
      <c r="B169" s="107"/>
      <c r="C169" s="107"/>
      <c r="D169" s="107"/>
      <c r="E169" s="107"/>
      <c r="F169" s="107"/>
      <c r="G169" s="107"/>
      <c r="H169" s="107"/>
      <c r="I169" s="107"/>
      <c r="J169" s="109"/>
      <c r="K169" s="107"/>
      <c r="L169" s="107"/>
      <c r="N169" s="107"/>
      <c r="O169" s="107"/>
      <c r="P169" s="31">
        <v>0.1125</v>
      </c>
      <c r="Q169" s="107"/>
      <c r="R169" s="72">
        <f t="shared" si="25"/>
        <v>17.318235299999994</v>
      </c>
    </row>
    <row r="170" spans="1:18" x14ac:dyDescent="0.15">
      <c r="A170" s="38">
        <f t="shared" si="24"/>
        <v>1816</v>
      </c>
      <c r="B170" s="107"/>
      <c r="C170" s="107"/>
      <c r="D170" s="107"/>
      <c r="E170" s="107"/>
      <c r="F170" s="107"/>
      <c r="G170" s="107"/>
      <c r="H170" s="107"/>
      <c r="I170" s="107"/>
      <c r="J170" s="109"/>
      <c r="K170" s="107"/>
      <c r="L170" s="107"/>
      <c r="N170" s="107"/>
      <c r="O170" s="107"/>
      <c r="P170" s="31">
        <v>0.104166666666667</v>
      </c>
      <c r="Q170" s="107"/>
      <c r="R170" s="72">
        <f t="shared" si="25"/>
        <v>16.714817908333327</v>
      </c>
    </row>
    <row r="171" spans="1:18" x14ac:dyDescent="0.15">
      <c r="A171" s="38">
        <f t="shared" si="24"/>
        <v>1817</v>
      </c>
      <c r="B171" s="107"/>
      <c r="C171" s="107"/>
      <c r="D171" s="107"/>
      <c r="E171" s="107"/>
      <c r="F171" s="107"/>
      <c r="G171" s="107"/>
      <c r="H171" s="107"/>
      <c r="I171" s="107"/>
      <c r="J171" s="109"/>
      <c r="K171" s="107"/>
      <c r="L171" s="107"/>
      <c r="N171" s="107"/>
      <c r="O171" s="107"/>
      <c r="P171" s="31">
        <v>8.8541666666666671E-2</v>
      </c>
      <c r="Q171" s="107"/>
      <c r="R171" s="72">
        <f t="shared" si="25"/>
        <v>16.111400516666659</v>
      </c>
    </row>
    <row r="172" spans="1:18" x14ac:dyDescent="0.15">
      <c r="A172" s="38">
        <f t="shared" si="24"/>
        <v>1818</v>
      </c>
      <c r="B172" s="107"/>
      <c r="C172" s="107"/>
      <c r="D172" s="107"/>
      <c r="E172" s="107"/>
      <c r="F172" s="107"/>
      <c r="G172" s="107"/>
      <c r="H172" s="107"/>
      <c r="I172" s="107"/>
      <c r="J172" s="109"/>
      <c r="K172" s="107"/>
      <c r="L172" s="107"/>
      <c r="N172" s="107"/>
      <c r="O172" s="107"/>
      <c r="P172" s="31">
        <v>8.7499999999999994E-2</v>
      </c>
      <c r="Q172" s="107"/>
      <c r="R172" s="72">
        <f t="shared" si="25"/>
        <v>15.507983124999992</v>
      </c>
    </row>
    <row r="173" spans="1:18" x14ac:dyDescent="0.15">
      <c r="A173" s="38">
        <f t="shared" si="24"/>
        <v>1819</v>
      </c>
      <c r="B173" s="107"/>
      <c r="C173" s="107"/>
      <c r="D173" s="107"/>
      <c r="E173" s="107"/>
      <c r="F173" s="107"/>
      <c r="G173" s="107"/>
      <c r="H173" s="107"/>
      <c r="I173" s="107"/>
      <c r="J173" s="109"/>
      <c r="K173" s="107"/>
      <c r="L173" s="107"/>
      <c r="N173" s="107"/>
      <c r="O173" s="107"/>
      <c r="P173" s="31">
        <v>9.2708333333333295E-2</v>
      </c>
      <c r="Q173" s="107"/>
      <c r="R173" s="72">
        <f t="shared" si="25"/>
        <v>14.904565733333325</v>
      </c>
    </row>
    <row r="174" spans="1:18" x14ac:dyDescent="0.15">
      <c r="A174" s="38">
        <f t="shared" si="24"/>
        <v>1820</v>
      </c>
      <c r="B174" s="107"/>
      <c r="C174" s="107"/>
      <c r="D174" s="107"/>
      <c r="E174" s="107"/>
      <c r="F174" s="107"/>
      <c r="G174" s="107"/>
      <c r="H174" s="107"/>
      <c r="I174" s="107"/>
      <c r="J174" s="109"/>
      <c r="K174" s="107"/>
      <c r="L174" s="107"/>
      <c r="N174" s="107"/>
      <c r="O174" s="107"/>
      <c r="P174" s="31">
        <v>8.7499999999999994E-2</v>
      </c>
      <c r="Q174" s="107"/>
      <c r="R174" s="72">
        <f t="shared" si="25"/>
        <v>14.301148341666657</v>
      </c>
    </row>
    <row r="175" spans="1:18" x14ac:dyDescent="0.15">
      <c r="A175" s="38">
        <f t="shared" si="24"/>
        <v>1821</v>
      </c>
      <c r="B175" s="107"/>
      <c r="C175" s="107"/>
      <c r="D175" s="107"/>
      <c r="E175" s="107"/>
      <c r="F175" s="107"/>
      <c r="G175" s="107"/>
      <c r="H175" s="107"/>
      <c r="I175" s="107"/>
      <c r="J175" s="109"/>
      <c r="K175" s="107"/>
      <c r="L175" s="107"/>
      <c r="N175" s="107"/>
      <c r="O175" s="107"/>
      <c r="P175" s="31">
        <v>8.3333333333333301E-2</v>
      </c>
      <c r="Q175" s="107"/>
      <c r="R175" s="72">
        <f t="shared" si="25"/>
        <v>13.69773094999999</v>
      </c>
    </row>
    <row r="176" spans="1:18" x14ac:dyDescent="0.15">
      <c r="A176" s="38">
        <f t="shared" si="24"/>
        <v>1822</v>
      </c>
      <c r="B176" s="107"/>
      <c r="C176" s="107"/>
      <c r="D176" s="107"/>
      <c r="E176" s="107"/>
      <c r="F176" s="107"/>
      <c r="G176" s="107"/>
      <c r="H176" s="107"/>
      <c r="I176" s="107"/>
      <c r="J176" s="109"/>
      <c r="K176" s="107"/>
      <c r="L176" s="107"/>
      <c r="N176" s="107"/>
      <c r="O176" s="107"/>
      <c r="P176" s="31">
        <v>7.1874999999999994E-2</v>
      </c>
      <c r="Q176" s="107"/>
      <c r="R176" s="72">
        <f t="shared" si="25"/>
        <v>13.094313558333322</v>
      </c>
    </row>
    <row r="177" spans="1:18" x14ac:dyDescent="0.15">
      <c r="A177" s="38">
        <f t="shared" si="24"/>
        <v>1823</v>
      </c>
      <c r="B177" s="107"/>
      <c r="C177" s="107"/>
      <c r="D177" s="107"/>
      <c r="E177" s="107"/>
      <c r="F177" s="107"/>
      <c r="G177" s="107"/>
      <c r="H177" s="107"/>
      <c r="I177" s="107"/>
      <c r="J177" s="109">
        <v>5.4166666666666669E-2</v>
      </c>
      <c r="K177" s="107"/>
      <c r="L177" s="107"/>
      <c r="N177" s="107"/>
      <c r="O177" s="107"/>
      <c r="P177" s="31">
        <v>7.8125E-2</v>
      </c>
      <c r="Q177" s="107">
        <f>J177*104.6*2.2046</f>
        <v>12.490896166666667</v>
      </c>
      <c r="R177" s="107">
        <f t="shared" ref="R177:R189" si="26">AVERAGE(Q177:Q177)</f>
        <v>12.490896166666667</v>
      </c>
    </row>
    <row r="178" spans="1:18" x14ac:dyDescent="0.15">
      <c r="A178" s="38">
        <f t="shared" si="24"/>
        <v>1824</v>
      </c>
      <c r="B178" s="107"/>
      <c r="C178" s="107"/>
      <c r="D178" s="107"/>
      <c r="E178" s="107"/>
      <c r="F178" s="107"/>
      <c r="G178" s="107"/>
      <c r="H178" s="107"/>
      <c r="I178" s="107"/>
      <c r="J178" s="109">
        <v>5.0833333333333328E-2</v>
      </c>
      <c r="K178" s="107"/>
      <c r="L178" s="107"/>
      <c r="N178" s="107"/>
      <c r="O178" s="107"/>
      <c r="P178" s="31">
        <v>7.2916666666666699E-2</v>
      </c>
      <c r="Q178" s="107">
        <f t="shared" ref="Q178:Q191" si="27">J178*104.6*2.2046</f>
        <v>11.722225633333332</v>
      </c>
      <c r="R178" s="107">
        <f t="shared" si="26"/>
        <v>11.722225633333332</v>
      </c>
    </row>
    <row r="179" spans="1:18" x14ac:dyDescent="0.15">
      <c r="A179" s="38">
        <f t="shared" si="24"/>
        <v>1825</v>
      </c>
      <c r="B179" s="107"/>
      <c r="C179" s="107"/>
      <c r="D179" s="107"/>
      <c r="E179" s="107"/>
      <c r="F179" s="107"/>
      <c r="G179" s="107"/>
      <c r="H179" s="107"/>
      <c r="I179" s="107"/>
      <c r="J179" s="109">
        <v>3.4583333333333334E-2</v>
      </c>
      <c r="K179" s="107"/>
      <c r="L179" s="107"/>
      <c r="N179" s="107"/>
      <c r="O179" s="107"/>
      <c r="P179" s="31">
        <v>7.4999999999999997E-2</v>
      </c>
      <c r="Q179" s="107">
        <f t="shared" si="27"/>
        <v>7.9749567833333339</v>
      </c>
      <c r="R179" s="107">
        <f t="shared" si="26"/>
        <v>7.9749567833333339</v>
      </c>
    </row>
    <row r="180" spans="1:18" x14ac:dyDescent="0.15">
      <c r="A180" s="38">
        <f t="shared" si="24"/>
        <v>1826</v>
      </c>
      <c r="B180" s="107"/>
      <c r="C180" s="107"/>
      <c r="D180" s="107"/>
      <c r="E180" s="107"/>
      <c r="F180" s="107"/>
      <c r="G180" s="107"/>
      <c r="H180" s="107"/>
      <c r="I180" s="107"/>
      <c r="J180" s="109">
        <v>2.5416666666666664E-2</v>
      </c>
      <c r="K180" s="107"/>
      <c r="L180" s="107"/>
      <c r="N180" s="107"/>
      <c r="O180" s="107"/>
      <c r="P180" s="31">
        <v>7.5000000000000011E-2</v>
      </c>
      <c r="Q180" s="107">
        <f t="shared" si="27"/>
        <v>5.8611128166666662</v>
      </c>
      <c r="R180" s="107">
        <f t="shared" si="26"/>
        <v>5.8611128166666662</v>
      </c>
    </row>
    <row r="181" spans="1:18" x14ac:dyDescent="0.15">
      <c r="A181" s="38">
        <f t="shared" si="24"/>
        <v>1827</v>
      </c>
      <c r="B181" s="107"/>
      <c r="C181" s="107"/>
      <c r="D181" s="107"/>
      <c r="E181" s="107"/>
      <c r="F181" s="107"/>
      <c r="G181" s="107"/>
      <c r="H181" s="107"/>
      <c r="I181" s="107"/>
      <c r="J181" s="109">
        <v>2.9166666666666667E-2</v>
      </c>
      <c r="K181" s="107"/>
      <c r="L181" s="107"/>
      <c r="N181" s="107"/>
      <c r="O181" s="107"/>
      <c r="P181" s="31">
        <v>7.5000000000000011E-2</v>
      </c>
      <c r="Q181" s="107">
        <f t="shared" si="27"/>
        <v>6.7258671666666672</v>
      </c>
      <c r="R181" s="107">
        <f t="shared" si="26"/>
        <v>6.7258671666666672</v>
      </c>
    </row>
    <row r="182" spans="1:18" x14ac:dyDescent="0.15">
      <c r="A182" s="38">
        <f t="shared" si="24"/>
        <v>1828</v>
      </c>
      <c r="B182" s="107"/>
      <c r="C182" s="107"/>
      <c r="D182" s="107"/>
      <c r="E182" s="107"/>
      <c r="F182" s="107"/>
      <c r="G182" s="107"/>
      <c r="H182" s="107"/>
      <c r="I182" s="107"/>
      <c r="J182" s="109">
        <v>2.9166666666666667E-2</v>
      </c>
      <c r="K182" s="107"/>
      <c r="L182" s="107"/>
      <c r="N182" s="107"/>
      <c r="O182" s="107"/>
      <c r="P182" s="107"/>
      <c r="Q182" s="107">
        <f t="shared" si="27"/>
        <v>6.7258671666666672</v>
      </c>
      <c r="R182" s="107">
        <f t="shared" si="26"/>
        <v>6.7258671666666672</v>
      </c>
    </row>
    <row r="183" spans="1:18" x14ac:dyDescent="0.15">
      <c r="A183" s="38">
        <f t="shared" si="24"/>
        <v>1829</v>
      </c>
      <c r="B183" s="107"/>
      <c r="C183" s="107"/>
      <c r="D183" s="107"/>
      <c r="E183" s="107"/>
      <c r="F183" s="107"/>
      <c r="G183" s="107"/>
      <c r="H183" s="107"/>
      <c r="I183" s="107"/>
      <c r="J183" s="109">
        <v>3.7499999999999999E-2</v>
      </c>
      <c r="K183" s="107"/>
      <c r="L183" s="107"/>
      <c r="N183" s="107"/>
      <c r="O183" s="107"/>
      <c r="P183" s="107"/>
      <c r="Q183" s="107">
        <f t="shared" si="27"/>
        <v>8.6475434999999994</v>
      </c>
      <c r="R183" s="107">
        <f t="shared" si="26"/>
        <v>8.6475434999999994</v>
      </c>
    </row>
    <row r="184" spans="1:18" x14ac:dyDescent="0.15">
      <c r="A184" s="38">
        <f t="shared" si="24"/>
        <v>1830</v>
      </c>
      <c r="B184" s="107"/>
      <c r="C184" s="107"/>
      <c r="D184" s="107"/>
      <c r="E184" s="107"/>
      <c r="F184" s="107"/>
      <c r="G184" s="107"/>
      <c r="H184" s="107"/>
      <c r="I184" s="107"/>
      <c r="J184" s="109">
        <v>4.7083333333333338E-2</v>
      </c>
      <c r="K184" s="107"/>
      <c r="L184" s="107"/>
      <c r="N184" s="107"/>
      <c r="O184" s="107"/>
      <c r="P184" s="107"/>
      <c r="Q184" s="107">
        <f t="shared" si="27"/>
        <v>10.857471283333336</v>
      </c>
      <c r="R184" s="107">
        <f t="shared" si="26"/>
        <v>10.857471283333336</v>
      </c>
    </row>
    <row r="185" spans="1:18" x14ac:dyDescent="0.15">
      <c r="A185" s="38">
        <f t="shared" si="24"/>
        <v>1831</v>
      </c>
      <c r="B185" s="107"/>
      <c r="C185" s="107"/>
      <c r="D185" s="107"/>
      <c r="E185" s="107"/>
      <c r="F185" s="107"/>
      <c r="G185" s="107"/>
      <c r="H185" s="107"/>
      <c r="I185" s="107"/>
      <c r="J185" s="109">
        <v>5.6250000000000001E-2</v>
      </c>
      <c r="K185" s="107"/>
      <c r="L185" s="107"/>
      <c r="N185" s="107"/>
      <c r="O185" s="107"/>
      <c r="P185" s="107"/>
      <c r="Q185" s="107">
        <f t="shared" si="27"/>
        <v>12.97131525</v>
      </c>
      <c r="R185" s="107">
        <f t="shared" si="26"/>
        <v>12.97131525</v>
      </c>
    </row>
    <row r="186" spans="1:18" x14ac:dyDescent="0.15">
      <c r="A186" s="38">
        <f t="shared" si="24"/>
        <v>1832</v>
      </c>
      <c r="B186" s="107"/>
      <c r="C186" s="107"/>
      <c r="D186" s="107"/>
      <c r="E186" s="107"/>
      <c r="F186" s="107"/>
      <c r="G186" s="107"/>
      <c r="H186" s="107"/>
      <c r="I186" s="107"/>
      <c r="J186" s="109">
        <v>2.7083333333333334E-2</v>
      </c>
      <c r="K186" s="107"/>
      <c r="L186" s="107"/>
      <c r="N186" s="107"/>
      <c r="O186" s="107"/>
      <c r="P186" s="107"/>
      <c r="Q186" s="107">
        <f t="shared" si="27"/>
        <v>6.2454480833333337</v>
      </c>
      <c r="R186" s="107">
        <f t="shared" si="26"/>
        <v>6.2454480833333337</v>
      </c>
    </row>
    <row r="187" spans="1:18" x14ac:dyDescent="0.15">
      <c r="A187" s="38">
        <f t="shared" si="24"/>
        <v>1833</v>
      </c>
      <c r="B187" s="107"/>
      <c r="C187" s="107"/>
      <c r="D187" s="107"/>
      <c r="E187" s="107"/>
      <c r="F187" s="107"/>
      <c r="G187" s="107"/>
      <c r="H187" s="107"/>
      <c r="I187" s="107"/>
      <c r="J187" s="109">
        <v>1.6666666666666666E-2</v>
      </c>
      <c r="K187" s="107"/>
      <c r="L187" s="107"/>
      <c r="N187" s="107"/>
      <c r="O187" s="107"/>
      <c r="P187" s="107"/>
      <c r="Q187" s="107">
        <f t="shared" si="27"/>
        <v>3.8433526666666666</v>
      </c>
      <c r="R187" s="107">
        <f t="shared" si="26"/>
        <v>3.8433526666666666</v>
      </c>
    </row>
    <row r="188" spans="1:18" x14ac:dyDescent="0.15">
      <c r="A188" s="38">
        <f t="shared" si="24"/>
        <v>1834</v>
      </c>
      <c r="B188" s="107"/>
      <c r="C188" s="107"/>
      <c r="D188" s="107"/>
      <c r="E188" s="107"/>
      <c r="F188" s="107"/>
      <c r="G188" s="107"/>
      <c r="H188" s="107"/>
      <c r="I188" s="107"/>
      <c r="J188" s="109">
        <v>1.7500000000000002E-2</v>
      </c>
      <c r="K188" s="107"/>
      <c r="L188" s="107"/>
      <c r="N188" s="107"/>
      <c r="O188" s="107"/>
      <c r="P188" s="107"/>
      <c r="Q188" s="107">
        <f t="shared" si="27"/>
        <v>4.0355202999999999</v>
      </c>
      <c r="R188" s="107">
        <f t="shared" si="26"/>
        <v>4.0355202999999999</v>
      </c>
    </row>
    <row r="189" spans="1:18" x14ac:dyDescent="0.15">
      <c r="A189" s="38">
        <f t="shared" si="24"/>
        <v>1835</v>
      </c>
      <c r="B189" s="107"/>
      <c r="C189" s="107"/>
      <c r="D189" s="107"/>
      <c r="E189" s="107"/>
      <c r="F189" s="107"/>
      <c r="G189" s="107"/>
      <c r="H189" s="107"/>
      <c r="I189" s="107"/>
      <c r="J189" s="109">
        <v>3.2500000000000001E-2</v>
      </c>
      <c r="K189" s="107"/>
      <c r="L189" s="107"/>
      <c r="N189" s="107"/>
      <c r="O189" s="107"/>
      <c r="P189" s="107"/>
      <c r="Q189" s="107">
        <f t="shared" si="27"/>
        <v>7.4945376999999995</v>
      </c>
      <c r="R189" s="107">
        <f t="shared" si="26"/>
        <v>7.4945376999999995</v>
      </c>
    </row>
    <row r="190" spans="1:18" x14ac:dyDescent="0.15">
      <c r="A190" s="38">
        <f t="shared" si="24"/>
        <v>1836</v>
      </c>
      <c r="B190" s="107"/>
      <c r="C190" s="107"/>
      <c r="D190" s="107"/>
      <c r="E190" s="107"/>
      <c r="F190" s="107"/>
      <c r="G190" s="107"/>
      <c r="H190" s="107"/>
      <c r="I190" s="107"/>
      <c r="J190" s="109">
        <v>3.291666666666667E-2</v>
      </c>
      <c r="K190" s="107"/>
      <c r="L190" s="18">
        <v>9.4661171112341407</v>
      </c>
      <c r="N190" s="107"/>
      <c r="O190" s="107"/>
      <c r="P190" s="107"/>
      <c r="Q190" s="107">
        <f t="shared" si="27"/>
        <v>7.5906215166666673</v>
      </c>
      <c r="R190" s="107">
        <f>AVERAGE(Q190,L190)</f>
        <v>8.5283693139504031</v>
      </c>
    </row>
    <row r="191" spans="1:18" x14ac:dyDescent="0.15">
      <c r="A191" s="38">
        <f t="shared" si="24"/>
        <v>1837</v>
      </c>
      <c r="B191" s="107"/>
      <c r="C191" s="107"/>
      <c r="D191" s="107"/>
      <c r="E191" s="107"/>
      <c r="F191" s="107"/>
      <c r="G191" s="107"/>
      <c r="H191" s="107"/>
      <c r="I191" s="107"/>
      <c r="J191" s="109">
        <v>0.04</v>
      </c>
      <c r="K191" s="107"/>
      <c r="L191" s="18">
        <v>9.4529382406016289</v>
      </c>
      <c r="N191" s="107"/>
      <c r="O191" s="107"/>
      <c r="P191" s="107"/>
      <c r="Q191" s="107">
        <f t="shared" si="27"/>
        <v>9.2240464000000006</v>
      </c>
      <c r="R191" s="107">
        <f>AVERAGE(Q191,L191)</f>
        <v>9.3384923203008157</v>
      </c>
    </row>
    <row r="192" spans="1:18" x14ac:dyDescent="0.15">
      <c r="A192" s="38">
        <f t="shared" si="24"/>
        <v>1838</v>
      </c>
      <c r="B192" s="107"/>
      <c r="C192" s="107"/>
      <c r="D192" s="107"/>
      <c r="E192" s="107"/>
      <c r="F192" s="107"/>
      <c r="G192" s="107"/>
      <c r="H192" s="107"/>
      <c r="I192" s="107"/>
      <c r="J192" s="109"/>
      <c r="K192" s="107"/>
      <c r="L192" s="18">
        <v>6.9836071959875889</v>
      </c>
      <c r="N192" s="107"/>
      <c r="O192" s="107"/>
      <c r="P192" s="107"/>
      <c r="Q192" s="107"/>
      <c r="R192" s="107">
        <f>AVERAGE(Q192,L192)</f>
        <v>6.9836071959875889</v>
      </c>
    </row>
    <row r="193" spans="1:18" x14ac:dyDescent="0.15">
      <c r="A193" s="38">
        <f t="shared" si="24"/>
        <v>1839</v>
      </c>
      <c r="B193" s="107"/>
      <c r="C193" s="107"/>
      <c r="D193" s="107"/>
      <c r="E193" s="107"/>
      <c r="F193" s="107"/>
      <c r="G193" s="107"/>
      <c r="H193" s="107"/>
      <c r="I193" s="107"/>
      <c r="J193" s="109"/>
      <c r="K193" s="107"/>
      <c r="L193" s="18">
        <v>10.490914631529588</v>
      </c>
      <c r="N193" s="107"/>
      <c r="O193" s="107"/>
      <c r="P193" s="107"/>
      <c r="Q193" s="107"/>
      <c r="R193" s="107">
        <f>AVERAGE(L193)</f>
        <v>10.490914631529588</v>
      </c>
    </row>
    <row r="194" spans="1:18" x14ac:dyDescent="0.15">
      <c r="A194" s="38">
        <f t="shared" si="24"/>
        <v>1840</v>
      </c>
      <c r="B194" s="107"/>
      <c r="C194" s="107"/>
      <c r="D194" s="107"/>
      <c r="E194" s="107"/>
      <c r="F194" s="107"/>
      <c r="G194" s="107"/>
      <c r="H194" s="107"/>
      <c r="I194" s="107"/>
      <c r="J194" s="109"/>
      <c r="K194" s="107"/>
      <c r="L194" s="18">
        <v>10.022021289741035</v>
      </c>
      <c r="N194" s="107"/>
      <c r="O194" s="107"/>
      <c r="P194" s="107"/>
      <c r="Q194" s="107"/>
      <c r="R194" s="107">
        <f t="shared" ref="R194:R257" si="28">AVERAGE(L194)</f>
        <v>10.022021289741035</v>
      </c>
    </row>
    <row r="195" spans="1:18" x14ac:dyDescent="0.15">
      <c r="A195" s="38">
        <f t="shared" si="24"/>
        <v>1841</v>
      </c>
      <c r="B195" s="107"/>
      <c r="C195" s="107"/>
      <c r="D195" s="107"/>
      <c r="E195" s="107"/>
      <c r="F195" s="107"/>
      <c r="G195" s="107"/>
      <c r="H195" s="107"/>
      <c r="I195" s="107"/>
      <c r="J195" s="109"/>
      <c r="K195" s="107"/>
      <c r="L195" s="18">
        <v>9.4491075921921919</v>
      </c>
      <c r="N195" s="107"/>
      <c r="O195" s="107"/>
      <c r="P195" s="107"/>
      <c r="Q195" s="107"/>
      <c r="R195" s="107">
        <f t="shared" si="28"/>
        <v>9.4491075921921919</v>
      </c>
    </row>
    <row r="196" spans="1:18" x14ac:dyDescent="0.15">
      <c r="A196" s="38">
        <f t="shared" si="24"/>
        <v>1842</v>
      </c>
      <c r="B196" s="107"/>
      <c r="C196" s="107"/>
      <c r="D196" s="107"/>
      <c r="E196" s="107"/>
      <c r="F196" s="107"/>
      <c r="G196" s="107"/>
      <c r="H196" s="107"/>
      <c r="I196" s="107"/>
      <c r="J196" s="109"/>
      <c r="K196" s="107"/>
      <c r="L196" s="18">
        <v>10.56456811547427</v>
      </c>
      <c r="N196" s="107"/>
      <c r="O196" s="107"/>
      <c r="P196" s="107"/>
      <c r="Q196" s="107"/>
      <c r="R196" s="107">
        <f t="shared" si="28"/>
        <v>10.56456811547427</v>
      </c>
    </row>
    <row r="197" spans="1:18" x14ac:dyDescent="0.15">
      <c r="A197" s="38">
        <f t="shared" si="24"/>
        <v>1843</v>
      </c>
      <c r="B197" s="107"/>
      <c r="C197" s="107"/>
      <c r="D197" s="107"/>
      <c r="E197" s="107"/>
      <c r="F197" s="107"/>
      <c r="G197" s="107"/>
      <c r="H197" s="107"/>
      <c r="I197" s="107"/>
      <c r="J197" s="109"/>
      <c r="K197" s="107"/>
      <c r="L197" s="18">
        <v>12.627252866568144</v>
      </c>
      <c r="N197" s="107"/>
      <c r="O197" s="107"/>
      <c r="P197" s="107"/>
      <c r="Q197" s="107"/>
      <c r="R197" s="107">
        <f t="shared" si="28"/>
        <v>12.627252866568144</v>
      </c>
    </row>
    <row r="198" spans="1:18" x14ac:dyDescent="0.15">
      <c r="A198" s="38">
        <f t="shared" si="24"/>
        <v>1844</v>
      </c>
      <c r="B198" s="107"/>
      <c r="C198" s="107"/>
      <c r="D198" s="107"/>
      <c r="E198" s="107"/>
      <c r="F198" s="107"/>
      <c r="G198" s="107"/>
      <c r="H198" s="107"/>
      <c r="I198" s="107"/>
      <c r="J198" s="109"/>
      <c r="K198" s="107"/>
      <c r="L198" s="18">
        <v>9.5689876991788267</v>
      </c>
      <c r="N198" s="107"/>
      <c r="O198" s="107"/>
      <c r="P198" s="107"/>
      <c r="Q198" s="107"/>
      <c r="R198" s="107">
        <f t="shared" si="28"/>
        <v>9.5689876991788267</v>
      </c>
    </row>
    <row r="199" spans="1:18" x14ac:dyDescent="0.15">
      <c r="A199" s="38">
        <f t="shared" si="24"/>
        <v>1845</v>
      </c>
      <c r="B199" s="107"/>
      <c r="C199" s="107"/>
      <c r="D199" s="107"/>
      <c r="E199" s="107"/>
      <c r="F199" s="107"/>
      <c r="G199" s="107"/>
      <c r="H199" s="107"/>
      <c r="I199" s="107"/>
      <c r="J199" s="109"/>
      <c r="K199" s="107"/>
      <c r="L199" s="18">
        <v>8.0790924748696771</v>
      </c>
      <c r="N199" s="107"/>
      <c r="O199" s="107"/>
      <c r="P199" s="107"/>
      <c r="Q199" s="107"/>
      <c r="R199" s="107">
        <f t="shared" si="28"/>
        <v>8.0790924748696771</v>
      </c>
    </row>
    <row r="200" spans="1:18" x14ac:dyDescent="0.15">
      <c r="A200" s="38">
        <f t="shared" si="24"/>
        <v>1846</v>
      </c>
      <c r="B200" s="107"/>
      <c r="C200" s="107"/>
      <c r="D200" s="107"/>
      <c r="E200" s="107"/>
      <c r="F200" s="107"/>
      <c r="G200" s="107"/>
      <c r="H200" s="107"/>
      <c r="I200" s="107"/>
      <c r="J200" s="109"/>
      <c r="K200" s="107"/>
      <c r="L200" s="18">
        <v>17.420953803004689</v>
      </c>
      <c r="N200" s="107"/>
      <c r="O200" s="107"/>
      <c r="P200" s="107"/>
      <c r="Q200" s="107"/>
      <c r="R200" s="107">
        <f t="shared" si="28"/>
        <v>17.420953803004689</v>
      </c>
    </row>
    <row r="201" spans="1:18" x14ac:dyDescent="0.15">
      <c r="A201" s="38">
        <f t="shared" si="24"/>
        <v>1847</v>
      </c>
      <c r="B201" s="107"/>
      <c r="C201" s="107"/>
      <c r="D201" s="107"/>
      <c r="E201" s="107"/>
      <c r="F201" s="107"/>
      <c r="G201" s="107"/>
      <c r="H201" s="107"/>
      <c r="I201" s="107"/>
      <c r="J201" s="109"/>
      <c r="K201" s="107"/>
      <c r="L201" s="18">
        <v>13.605693496584154</v>
      </c>
      <c r="N201" s="107"/>
      <c r="O201" s="107"/>
      <c r="P201" s="107"/>
      <c r="Q201" s="107"/>
      <c r="R201" s="107">
        <f t="shared" si="28"/>
        <v>13.605693496584154</v>
      </c>
    </row>
    <row r="202" spans="1:18" x14ac:dyDescent="0.15">
      <c r="A202" s="38">
        <f t="shared" si="24"/>
        <v>1848</v>
      </c>
      <c r="B202" s="107"/>
      <c r="C202" s="107"/>
      <c r="D202" s="107"/>
      <c r="E202" s="107"/>
      <c r="F202" s="107"/>
      <c r="G202" s="107"/>
      <c r="H202" s="107"/>
      <c r="I202" s="107"/>
      <c r="J202" s="109"/>
      <c r="K202" s="107"/>
      <c r="L202" s="18">
        <v>9.8599129772446545</v>
      </c>
      <c r="N202" s="107"/>
      <c r="O202" s="107"/>
      <c r="P202" s="107"/>
      <c r="Q202" s="107"/>
      <c r="R202" s="107">
        <f t="shared" si="28"/>
        <v>9.8599129772446545</v>
      </c>
    </row>
    <row r="203" spans="1:18" x14ac:dyDescent="0.15">
      <c r="A203" s="38">
        <f t="shared" si="24"/>
        <v>1849</v>
      </c>
      <c r="B203" s="107"/>
      <c r="C203" s="107"/>
      <c r="D203" s="107"/>
      <c r="E203" s="107"/>
      <c r="F203" s="107"/>
      <c r="G203" s="107"/>
      <c r="H203" s="107"/>
      <c r="I203" s="107"/>
      <c r="J203" s="109"/>
      <c r="K203" s="107"/>
      <c r="L203" s="18">
        <v>11.315138852519459</v>
      </c>
      <c r="N203" s="107"/>
      <c r="O203" s="107"/>
      <c r="P203" s="107"/>
      <c r="Q203" s="107"/>
      <c r="R203" s="107">
        <f t="shared" si="28"/>
        <v>11.315138852519459</v>
      </c>
    </row>
    <row r="204" spans="1:18" x14ac:dyDescent="0.15">
      <c r="A204" s="38">
        <f t="shared" si="24"/>
        <v>1850</v>
      </c>
      <c r="B204" s="107"/>
      <c r="C204" s="107"/>
      <c r="D204" s="107"/>
      <c r="E204" s="107"/>
      <c r="F204" s="107"/>
      <c r="G204" s="107"/>
      <c r="H204" s="107"/>
      <c r="I204" s="107"/>
      <c r="J204" s="109"/>
      <c r="K204" s="107"/>
      <c r="L204" s="18">
        <v>12.436971837453944</v>
      </c>
      <c r="N204" s="107"/>
      <c r="O204" s="107"/>
      <c r="P204" s="107"/>
      <c r="Q204" s="107"/>
      <c r="R204" s="107">
        <f t="shared" si="28"/>
        <v>12.436971837453944</v>
      </c>
    </row>
    <row r="205" spans="1:18" x14ac:dyDescent="0.15">
      <c r="A205" s="38">
        <f t="shared" si="24"/>
        <v>1851</v>
      </c>
      <c r="B205" s="107"/>
      <c r="C205" s="107"/>
      <c r="D205" s="107"/>
      <c r="E205" s="107"/>
      <c r="F205" s="107"/>
      <c r="G205" s="107"/>
      <c r="H205" s="107"/>
      <c r="I205" s="107"/>
      <c r="J205" s="109"/>
      <c r="K205" s="107"/>
      <c r="L205" s="18">
        <v>14.171088459229265</v>
      </c>
      <c r="N205" s="107"/>
      <c r="O205" s="107"/>
      <c r="P205" s="107"/>
      <c r="Q205" s="107"/>
      <c r="R205" s="107">
        <f t="shared" si="28"/>
        <v>14.171088459229265</v>
      </c>
    </row>
    <row r="206" spans="1:18" x14ac:dyDescent="0.15">
      <c r="A206" s="38">
        <f t="shared" si="24"/>
        <v>1852</v>
      </c>
      <c r="B206" s="107"/>
      <c r="C206" s="107"/>
      <c r="D206" s="107"/>
      <c r="E206" s="107"/>
      <c r="F206" s="107"/>
      <c r="G206" s="107"/>
      <c r="H206" s="107"/>
      <c r="I206" s="107"/>
      <c r="J206" s="109"/>
      <c r="K206" s="107"/>
      <c r="L206" s="18">
        <v>17.295087000000002</v>
      </c>
      <c r="N206" s="107"/>
      <c r="O206" s="107"/>
      <c r="P206" s="107"/>
      <c r="Q206" s="107"/>
      <c r="R206" s="107">
        <f t="shared" si="28"/>
        <v>17.295087000000002</v>
      </c>
    </row>
    <row r="207" spans="1:18" x14ac:dyDescent="0.15">
      <c r="A207" s="38">
        <f t="shared" si="24"/>
        <v>1853</v>
      </c>
      <c r="B207" s="107"/>
      <c r="C207" s="107"/>
      <c r="D207" s="107"/>
      <c r="E207" s="107"/>
      <c r="F207" s="107"/>
      <c r="G207" s="107"/>
      <c r="H207" s="107"/>
      <c r="I207" s="107"/>
      <c r="J207" s="109"/>
      <c r="K207" s="107"/>
      <c r="L207" s="18">
        <v>19.216763333333336</v>
      </c>
      <c r="N207" s="107"/>
      <c r="O207" s="107"/>
      <c r="P207" s="107"/>
      <c r="Q207" s="107"/>
      <c r="R207" s="107">
        <f t="shared" si="28"/>
        <v>19.216763333333336</v>
      </c>
    </row>
    <row r="208" spans="1:18" x14ac:dyDescent="0.15">
      <c r="A208" s="38">
        <f t="shared" si="24"/>
        <v>1854</v>
      </c>
      <c r="B208" s="107"/>
      <c r="C208" s="107"/>
      <c r="D208" s="107"/>
      <c r="E208" s="107"/>
      <c r="F208" s="107"/>
      <c r="G208" s="107"/>
      <c r="H208" s="107"/>
      <c r="I208" s="107"/>
      <c r="J208" s="109"/>
      <c r="K208" s="107"/>
      <c r="L208" s="18">
        <v>12.250686625000002</v>
      </c>
      <c r="N208" s="107"/>
      <c r="O208" s="107"/>
      <c r="P208" s="107"/>
      <c r="Q208" s="107"/>
      <c r="R208" s="107">
        <f t="shared" si="28"/>
        <v>12.250686625000002</v>
      </c>
    </row>
    <row r="209" spans="1:18" x14ac:dyDescent="0.15">
      <c r="A209" s="38">
        <f t="shared" si="24"/>
        <v>1855</v>
      </c>
      <c r="B209" s="107"/>
      <c r="C209" s="107"/>
      <c r="D209" s="107"/>
      <c r="E209" s="107"/>
      <c r="F209" s="107"/>
      <c r="G209" s="107"/>
      <c r="H209" s="107"/>
      <c r="I209" s="107"/>
      <c r="J209" s="109"/>
      <c r="K209" s="107"/>
      <c r="L209" s="18">
        <v>13.451734333333334</v>
      </c>
      <c r="N209" s="107"/>
      <c r="O209" s="107"/>
      <c r="P209" s="107"/>
      <c r="Q209" s="107"/>
      <c r="R209" s="107">
        <f t="shared" si="28"/>
        <v>13.451734333333334</v>
      </c>
    </row>
    <row r="210" spans="1:18" x14ac:dyDescent="0.15">
      <c r="A210" s="38">
        <f t="shared" si="24"/>
        <v>1856</v>
      </c>
      <c r="B210" s="107"/>
      <c r="C210" s="107"/>
      <c r="D210" s="107"/>
      <c r="E210" s="107"/>
      <c r="F210" s="107"/>
      <c r="G210" s="107"/>
      <c r="H210" s="107"/>
      <c r="I210" s="107"/>
      <c r="J210" s="109"/>
      <c r="K210" s="107"/>
      <c r="L210" s="18">
        <v>14.892991583333336</v>
      </c>
      <c r="N210" s="107"/>
      <c r="O210" s="107"/>
      <c r="P210" s="107"/>
      <c r="Q210" s="107"/>
      <c r="R210" s="107">
        <f t="shared" si="28"/>
        <v>14.892991583333336</v>
      </c>
    </row>
    <row r="211" spans="1:18" x14ac:dyDescent="0.15">
      <c r="A211" s="38">
        <f t="shared" si="24"/>
        <v>1857</v>
      </c>
      <c r="B211" s="107"/>
      <c r="C211" s="107"/>
      <c r="D211" s="107"/>
      <c r="E211" s="107"/>
      <c r="F211" s="107"/>
      <c r="G211" s="107"/>
      <c r="H211" s="107"/>
      <c r="I211" s="107"/>
      <c r="J211" s="109"/>
      <c r="K211" s="107"/>
      <c r="L211" s="18">
        <v>15.133201125000001</v>
      </c>
      <c r="N211" s="107"/>
      <c r="O211" s="107"/>
      <c r="P211" s="107"/>
      <c r="Q211" s="107"/>
      <c r="R211" s="107">
        <f t="shared" si="28"/>
        <v>15.133201125000001</v>
      </c>
    </row>
    <row r="212" spans="1:18" x14ac:dyDescent="0.15">
      <c r="A212" s="38">
        <f t="shared" si="24"/>
        <v>1858</v>
      </c>
      <c r="B212" s="107"/>
      <c r="C212" s="107"/>
      <c r="D212" s="107"/>
      <c r="E212" s="107"/>
      <c r="F212" s="107"/>
      <c r="G212" s="107"/>
      <c r="H212" s="107"/>
      <c r="I212" s="107"/>
      <c r="J212" s="109"/>
      <c r="K212" s="107"/>
      <c r="L212" s="107"/>
      <c r="N212" s="107"/>
      <c r="O212" s="107"/>
      <c r="P212" s="107"/>
      <c r="Q212" s="107"/>
      <c r="R212" s="74">
        <f>L211+($L$213-$L$211)/2</f>
        <v>15.493515437500001</v>
      </c>
    </row>
    <row r="213" spans="1:18" x14ac:dyDescent="0.15">
      <c r="A213" s="38">
        <f t="shared" si="24"/>
        <v>1859</v>
      </c>
      <c r="B213" s="107"/>
      <c r="C213" s="107"/>
      <c r="D213" s="107"/>
      <c r="E213" s="107"/>
      <c r="F213" s="107"/>
      <c r="G213" s="107"/>
      <c r="H213" s="107"/>
      <c r="I213" s="107"/>
      <c r="J213" s="109"/>
      <c r="K213" s="107"/>
      <c r="L213" s="18">
        <v>15.853829750000001</v>
      </c>
      <c r="N213" s="107"/>
      <c r="O213" s="107"/>
      <c r="P213" s="107"/>
      <c r="Q213" s="107"/>
      <c r="R213" s="107">
        <f t="shared" si="28"/>
        <v>15.853829750000001</v>
      </c>
    </row>
    <row r="214" spans="1:18" x14ac:dyDescent="0.15">
      <c r="A214" s="38">
        <f t="shared" ref="A214:A264" si="29">A213+1</f>
        <v>1860</v>
      </c>
      <c r="B214" s="107"/>
      <c r="C214" s="107"/>
      <c r="D214" s="107"/>
      <c r="E214" s="107"/>
      <c r="F214" s="107"/>
      <c r="G214" s="107"/>
      <c r="H214" s="107"/>
      <c r="I214" s="107"/>
      <c r="J214" s="109"/>
      <c r="K214" s="107"/>
      <c r="L214" s="18">
        <v>16.574458374999999</v>
      </c>
      <c r="N214" s="107"/>
      <c r="O214" s="107"/>
      <c r="P214" s="107"/>
      <c r="Q214" s="107"/>
      <c r="R214" s="107">
        <f t="shared" si="28"/>
        <v>16.574458374999999</v>
      </c>
    </row>
    <row r="215" spans="1:18" x14ac:dyDescent="0.15">
      <c r="A215" s="38">
        <f t="shared" si="29"/>
        <v>1861</v>
      </c>
      <c r="B215" s="107"/>
      <c r="C215" s="107"/>
      <c r="D215" s="107"/>
      <c r="E215" s="107"/>
      <c r="F215" s="107"/>
      <c r="G215" s="107"/>
      <c r="H215" s="107"/>
      <c r="I215" s="107"/>
      <c r="J215" s="109"/>
      <c r="K215" s="107"/>
      <c r="L215" s="18">
        <v>19.456972875000002</v>
      </c>
      <c r="N215" s="107"/>
      <c r="O215" s="107"/>
      <c r="P215" s="107"/>
      <c r="Q215" s="107"/>
      <c r="R215" s="107">
        <f t="shared" si="28"/>
        <v>19.456972875000002</v>
      </c>
    </row>
    <row r="216" spans="1:18" x14ac:dyDescent="0.15">
      <c r="A216" s="38">
        <f t="shared" si="29"/>
        <v>1862</v>
      </c>
      <c r="B216" s="107"/>
      <c r="C216" s="107"/>
      <c r="D216" s="107"/>
      <c r="E216" s="107"/>
      <c r="F216" s="107"/>
      <c r="G216" s="107"/>
      <c r="H216" s="107"/>
      <c r="I216" s="107"/>
      <c r="J216" s="109"/>
      <c r="K216" s="107"/>
      <c r="L216" s="18">
        <v>21.859068291666667</v>
      </c>
      <c r="N216" s="107"/>
      <c r="O216" s="107"/>
      <c r="P216" s="107"/>
      <c r="Q216" s="107"/>
      <c r="R216" s="107">
        <f t="shared" si="28"/>
        <v>21.859068291666667</v>
      </c>
    </row>
    <row r="217" spans="1:18" x14ac:dyDescent="0.15">
      <c r="A217" s="38">
        <f t="shared" si="29"/>
        <v>1863</v>
      </c>
      <c r="B217" s="107"/>
      <c r="C217" s="107"/>
      <c r="D217" s="107"/>
      <c r="E217" s="107"/>
      <c r="F217" s="107"/>
      <c r="G217" s="107"/>
      <c r="H217" s="107"/>
      <c r="I217" s="107"/>
      <c r="J217" s="109"/>
      <c r="K217" s="107"/>
      <c r="L217" s="18">
        <v>17.775506083333333</v>
      </c>
      <c r="N217" s="107"/>
      <c r="O217" s="107"/>
      <c r="P217" s="107"/>
      <c r="Q217" s="107"/>
      <c r="R217" s="107">
        <f t="shared" si="28"/>
        <v>17.775506083333333</v>
      </c>
    </row>
    <row r="218" spans="1:18" x14ac:dyDescent="0.15">
      <c r="A218" s="38">
        <f t="shared" si="29"/>
        <v>1864</v>
      </c>
      <c r="B218" s="107"/>
      <c r="C218" s="107"/>
      <c r="D218" s="107"/>
      <c r="E218" s="107"/>
      <c r="F218" s="107"/>
      <c r="G218" s="107"/>
      <c r="H218" s="107"/>
      <c r="I218" s="107"/>
      <c r="J218" s="109"/>
      <c r="K218" s="107"/>
      <c r="L218" s="18">
        <v>15.253305895833334</v>
      </c>
      <c r="N218" s="107"/>
      <c r="O218" s="107"/>
      <c r="P218" s="107"/>
      <c r="Q218" s="107"/>
      <c r="R218" s="107">
        <f t="shared" si="28"/>
        <v>15.253305895833334</v>
      </c>
    </row>
    <row r="219" spans="1:18" x14ac:dyDescent="0.15">
      <c r="A219" s="38">
        <f t="shared" si="29"/>
        <v>1865</v>
      </c>
      <c r="B219" s="107"/>
      <c r="C219" s="107"/>
      <c r="D219" s="107"/>
      <c r="E219" s="107"/>
      <c r="F219" s="107"/>
      <c r="G219" s="107"/>
      <c r="H219" s="107"/>
      <c r="I219" s="107"/>
      <c r="J219" s="109"/>
      <c r="K219" s="107"/>
      <c r="L219" s="18">
        <v>17.775506083333333</v>
      </c>
      <c r="N219" s="107"/>
      <c r="O219" s="107"/>
      <c r="P219" s="107"/>
      <c r="Q219" s="107"/>
      <c r="R219" s="107">
        <f t="shared" si="28"/>
        <v>17.775506083333333</v>
      </c>
    </row>
    <row r="220" spans="1:18" x14ac:dyDescent="0.15">
      <c r="A220" s="38">
        <f t="shared" si="29"/>
        <v>1866</v>
      </c>
      <c r="B220" s="107"/>
      <c r="C220" s="107"/>
      <c r="D220" s="107"/>
      <c r="E220" s="107"/>
      <c r="F220" s="107"/>
      <c r="G220" s="107"/>
      <c r="H220" s="107"/>
      <c r="I220" s="107"/>
      <c r="J220" s="109"/>
      <c r="K220" s="107"/>
      <c r="L220" s="18">
        <v>15.133201125000001</v>
      </c>
      <c r="N220" s="107"/>
      <c r="O220" s="107"/>
      <c r="P220" s="107"/>
      <c r="Q220" s="107"/>
      <c r="R220" s="107">
        <f t="shared" si="28"/>
        <v>15.133201125000001</v>
      </c>
    </row>
    <row r="221" spans="1:18" x14ac:dyDescent="0.15">
      <c r="A221" s="38">
        <f t="shared" si="29"/>
        <v>1867</v>
      </c>
      <c r="B221" s="107"/>
      <c r="C221" s="107"/>
      <c r="D221" s="107"/>
      <c r="E221" s="107"/>
      <c r="F221" s="107"/>
      <c r="G221" s="107"/>
      <c r="H221" s="107"/>
      <c r="I221" s="107"/>
      <c r="J221" s="109"/>
      <c r="K221" s="107"/>
      <c r="L221" s="18">
        <v>13.091420020833334</v>
      </c>
      <c r="N221" s="107"/>
      <c r="O221" s="107"/>
      <c r="P221" s="107"/>
      <c r="Q221" s="107"/>
      <c r="R221" s="107">
        <f t="shared" si="28"/>
        <v>13.091420020833334</v>
      </c>
    </row>
    <row r="222" spans="1:18" x14ac:dyDescent="0.15">
      <c r="A222" s="38">
        <f t="shared" si="29"/>
        <v>1868</v>
      </c>
      <c r="B222" s="107"/>
      <c r="C222" s="107"/>
      <c r="D222" s="107"/>
      <c r="E222" s="107"/>
      <c r="F222" s="107"/>
      <c r="G222" s="107"/>
      <c r="H222" s="107"/>
      <c r="I222" s="107"/>
      <c r="J222" s="109"/>
      <c r="K222" s="107"/>
      <c r="L222" s="18">
        <v>12.010477083333335</v>
      </c>
      <c r="N222" s="107"/>
      <c r="O222" s="107"/>
      <c r="P222" s="107"/>
      <c r="Q222" s="107"/>
      <c r="R222" s="107">
        <f t="shared" si="28"/>
        <v>12.010477083333335</v>
      </c>
    </row>
    <row r="223" spans="1:18" x14ac:dyDescent="0.15">
      <c r="A223" s="38">
        <f t="shared" si="29"/>
        <v>1869</v>
      </c>
      <c r="B223" s="107"/>
      <c r="C223" s="107"/>
      <c r="D223" s="107"/>
      <c r="E223" s="107"/>
      <c r="F223" s="107"/>
      <c r="G223" s="107"/>
      <c r="H223" s="107"/>
      <c r="I223" s="107"/>
      <c r="J223" s="109"/>
      <c r="K223" s="107"/>
      <c r="L223" s="18">
        <v>11.770267541666668</v>
      </c>
      <c r="N223" s="107"/>
      <c r="O223" s="107"/>
      <c r="P223" s="107"/>
      <c r="Q223" s="107"/>
      <c r="R223" s="107">
        <f t="shared" si="28"/>
        <v>11.770267541666668</v>
      </c>
    </row>
    <row r="224" spans="1:18" x14ac:dyDescent="0.15">
      <c r="A224" s="38">
        <f t="shared" si="29"/>
        <v>1870</v>
      </c>
      <c r="B224" s="107"/>
      <c r="C224" s="107"/>
      <c r="D224" s="107"/>
      <c r="E224" s="107"/>
      <c r="F224" s="107"/>
      <c r="G224" s="107"/>
      <c r="H224" s="107"/>
      <c r="I224" s="107"/>
      <c r="J224" s="109"/>
      <c r="K224" s="107"/>
      <c r="L224" s="107"/>
      <c r="N224" s="107"/>
      <c r="O224" s="107"/>
      <c r="P224" s="107"/>
      <c r="Q224" s="107"/>
      <c r="R224" s="74">
        <f>L223+($L$225-$L$223)/2</f>
        <v>13.571839104166667</v>
      </c>
    </row>
    <row r="225" spans="1:18" x14ac:dyDescent="0.15">
      <c r="A225" s="38">
        <f t="shared" si="29"/>
        <v>1871</v>
      </c>
      <c r="B225" s="107"/>
      <c r="C225" s="107"/>
      <c r="D225" s="107"/>
      <c r="E225" s="107"/>
      <c r="F225" s="107"/>
      <c r="G225" s="107"/>
      <c r="H225" s="107"/>
      <c r="I225" s="107"/>
      <c r="J225" s="109"/>
      <c r="K225" s="107"/>
      <c r="L225" s="18">
        <v>15.373410666666667</v>
      </c>
      <c r="N225" s="107"/>
      <c r="O225" s="107"/>
      <c r="P225" s="107"/>
      <c r="Q225" s="107"/>
      <c r="R225" s="107">
        <f t="shared" si="28"/>
        <v>15.373410666666667</v>
      </c>
    </row>
    <row r="226" spans="1:18" x14ac:dyDescent="0.15">
      <c r="A226" s="38">
        <f t="shared" si="29"/>
        <v>1872</v>
      </c>
      <c r="B226" s="107"/>
      <c r="C226" s="107"/>
      <c r="D226" s="107"/>
      <c r="E226" s="107"/>
      <c r="F226" s="107"/>
      <c r="G226" s="107"/>
      <c r="H226" s="107"/>
      <c r="I226" s="107"/>
      <c r="J226" s="109"/>
      <c r="K226" s="107"/>
      <c r="L226" s="18">
        <v>14.4125725</v>
      </c>
      <c r="N226" s="107"/>
      <c r="O226" s="107"/>
      <c r="P226" s="107"/>
      <c r="Q226" s="107"/>
      <c r="R226" s="107">
        <f t="shared" si="28"/>
        <v>14.4125725</v>
      </c>
    </row>
    <row r="227" spans="1:18" x14ac:dyDescent="0.15">
      <c r="A227" s="38">
        <f t="shared" si="29"/>
        <v>1873</v>
      </c>
      <c r="B227" s="107"/>
      <c r="C227" s="107"/>
      <c r="D227" s="107"/>
      <c r="E227" s="107"/>
      <c r="F227" s="107"/>
      <c r="G227" s="107"/>
      <c r="H227" s="107"/>
      <c r="I227" s="107"/>
      <c r="J227" s="109"/>
      <c r="K227" s="107"/>
      <c r="L227" s="18">
        <v>20.658020583333332</v>
      </c>
      <c r="N227" s="107"/>
      <c r="O227" s="107"/>
      <c r="P227" s="107"/>
      <c r="Q227" s="107"/>
      <c r="R227" s="107">
        <f t="shared" si="28"/>
        <v>20.658020583333332</v>
      </c>
    </row>
    <row r="228" spans="1:18" x14ac:dyDescent="0.15">
      <c r="A228" s="38">
        <f t="shared" si="29"/>
        <v>1874</v>
      </c>
      <c r="B228" s="107"/>
      <c r="C228" s="107"/>
      <c r="D228" s="107"/>
      <c r="E228" s="107"/>
      <c r="F228" s="107"/>
      <c r="G228" s="107"/>
      <c r="H228" s="107"/>
      <c r="I228" s="107"/>
      <c r="J228" s="109"/>
      <c r="K228" s="107"/>
      <c r="L228" s="18">
        <v>21.859068291666667</v>
      </c>
      <c r="N228" s="107"/>
      <c r="O228" s="107"/>
      <c r="P228" s="107"/>
      <c r="Q228" s="107"/>
      <c r="R228" s="107">
        <f t="shared" si="28"/>
        <v>21.859068291666667</v>
      </c>
    </row>
    <row r="229" spans="1:18" x14ac:dyDescent="0.15">
      <c r="A229" s="38">
        <f t="shared" si="29"/>
        <v>1875</v>
      </c>
      <c r="B229" s="107"/>
      <c r="C229" s="107"/>
      <c r="D229" s="107"/>
      <c r="E229" s="107"/>
      <c r="F229" s="107"/>
      <c r="G229" s="107"/>
      <c r="H229" s="107"/>
      <c r="I229" s="107"/>
      <c r="J229" s="109"/>
      <c r="K229" s="107"/>
      <c r="L229" s="18">
        <v>23.060116000000004</v>
      </c>
      <c r="N229" s="107"/>
      <c r="O229" s="107"/>
      <c r="P229" s="107"/>
      <c r="Q229" s="107"/>
      <c r="R229" s="107">
        <f t="shared" si="28"/>
        <v>23.060116000000004</v>
      </c>
    </row>
    <row r="230" spans="1:18" x14ac:dyDescent="0.15">
      <c r="A230" s="38">
        <f t="shared" si="29"/>
        <v>1876</v>
      </c>
      <c r="B230" s="107"/>
      <c r="C230" s="107"/>
      <c r="D230" s="107"/>
      <c r="E230" s="107"/>
      <c r="F230" s="107"/>
      <c r="G230" s="107"/>
      <c r="H230" s="107"/>
      <c r="I230" s="107"/>
      <c r="J230" s="109"/>
      <c r="K230" s="107"/>
      <c r="L230" s="18">
        <v>17.295087000000002</v>
      </c>
      <c r="N230" s="107"/>
      <c r="O230" s="107"/>
      <c r="P230" s="107"/>
      <c r="Q230" s="107"/>
      <c r="R230" s="107">
        <f t="shared" si="28"/>
        <v>17.295087000000002</v>
      </c>
    </row>
    <row r="231" spans="1:18" x14ac:dyDescent="0.15">
      <c r="A231" s="38">
        <f t="shared" si="29"/>
        <v>1877</v>
      </c>
      <c r="B231" s="107"/>
      <c r="C231" s="107"/>
      <c r="D231" s="107"/>
      <c r="E231" s="107"/>
      <c r="F231" s="107"/>
      <c r="G231" s="107"/>
      <c r="H231" s="107"/>
      <c r="I231" s="107"/>
      <c r="J231" s="109"/>
      <c r="K231" s="107"/>
      <c r="L231" s="18">
        <v>18.255925166666664</v>
      </c>
      <c r="N231" s="107"/>
      <c r="O231" s="107"/>
      <c r="P231" s="107"/>
      <c r="Q231" s="107"/>
      <c r="R231" s="107">
        <f t="shared" si="28"/>
        <v>18.255925166666664</v>
      </c>
    </row>
    <row r="232" spans="1:18" x14ac:dyDescent="0.15">
      <c r="A232" s="38">
        <f t="shared" si="29"/>
        <v>1878</v>
      </c>
      <c r="B232" s="107"/>
      <c r="C232" s="107"/>
      <c r="D232" s="107"/>
      <c r="E232" s="107"/>
      <c r="F232" s="107"/>
      <c r="G232" s="107"/>
      <c r="H232" s="107"/>
      <c r="I232" s="107"/>
      <c r="J232" s="109"/>
      <c r="K232" s="107"/>
      <c r="L232" s="18">
        <v>20.417811041666667</v>
      </c>
      <c r="N232" s="107"/>
      <c r="O232" s="107"/>
      <c r="P232" s="107"/>
      <c r="Q232" s="107"/>
      <c r="R232" s="107">
        <f t="shared" si="28"/>
        <v>20.417811041666667</v>
      </c>
    </row>
    <row r="233" spans="1:18" x14ac:dyDescent="0.15">
      <c r="A233" s="38">
        <f t="shared" si="29"/>
        <v>1879</v>
      </c>
      <c r="B233" s="107"/>
      <c r="C233" s="107"/>
      <c r="D233" s="107"/>
      <c r="E233" s="107"/>
      <c r="F233" s="107"/>
      <c r="G233" s="107"/>
      <c r="H233" s="107"/>
      <c r="I233" s="107"/>
      <c r="J233" s="109"/>
      <c r="K233" s="107"/>
      <c r="L233" s="18">
        <v>17.295087000000002</v>
      </c>
      <c r="N233" s="107"/>
      <c r="O233" s="107"/>
      <c r="P233" s="107"/>
      <c r="Q233" s="107"/>
      <c r="R233" s="107">
        <f t="shared" si="28"/>
        <v>17.295087000000002</v>
      </c>
    </row>
    <row r="234" spans="1:18" x14ac:dyDescent="0.15">
      <c r="A234" s="38">
        <f t="shared" si="29"/>
        <v>1880</v>
      </c>
      <c r="B234" s="107"/>
      <c r="C234" s="107"/>
      <c r="D234" s="107"/>
      <c r="E234" s="107"/>
      <c r="F234" s="107"/>
      <c r="G234" s="107"/>
      <c r="H234" s="107"/>
      <c r="I234" s="107"/>
      <c r="J234" s="109"/>
      <c r="K234" s="107"/>
      <c r="L234" s="18">
        <v>19.216763333333336</v>
      </c>
      <c r="N234" s="107"/>
      <c r="O234" s="107"/>
      <c r="P234" s="107"/>
      <c r="Q234" s="107"/>
      <c r="R234" s="107">
        <f t="shared" si="28"/>
        <v>19.216763333333336</v>
      </c>
    </row>
    <row r="235" spans="1:18" x14ac:dyDescent="0.15">
      <c r="A235" s="38">
        <f t="shared" si="29"/>
        <v>1881</v>
      </c>
      <c r="B235" s="107"/>
      <c r="C235" s="107"/>
      <c r="D235" s="107"/>
      <c r="E235" s="107"/>
      <c r="F235" s="107"/>
      <c r="G235" s="107"/>
      <c r="H235" s="107"/>
      <c r="I235" s="107"/>
      <c r="J235" s="109"/>
      <c r="K235" s="107"/>
      <c r="L235" s="18">
        <v>20.177601499999998</v>
      </c>
      <c r="N235" s="107"/>
      <c r="O235" s="107"/>
      <c r="P235" s="107"/>
      <c r="Q235" s="107"/>
      <c r="R235" s="107">
        <f t="shared" si="28"/>
        <v>20.177601499999998</v>
      </c>
    </row>
    <row r="236" spans="1:18" x14ac:dyDescent="0.15">
      <c r="A236" s="38">
        <f t="shared" si="29"/>
        <v>1882</v>
      </c>
      <c r="B236" s="107"/>
      <c r="C236" s="107"/>
      <c r="D236" s="107"/>
      <c r="E236" s="107"/>
      <c r="F236" s="107"/>
      <c r="G236" s="107"/>
      <c r="H236" s="107"/>
      <c r="I236" s="107"/>
      <c r="J236" s="109"/>
      <c r="K236" s="107"/>
      <c r="L236" s="18">
        <v>21.138439666666667</v>
      </c>
      <c r="N236" s="107"/>
      <c r="O236" s="107"/>
      <c r="P236" s="107"/>
      <c r="Q236" s="107"/>
      <c r="R236" s="107">
        <f t="shared" si="28"/>
        <v>21.138439666666667</v>
      </c>
    </row>
    <row r="237" spans="1:18" x14ac:dyDescent="0.15">
      <c r="A237" s="38">
        <f t="shared" si="29"/>
        <v>1883</v>
      </c>
      <c r="B237" s="107"/>
      <c r="C237" s="107"/>
      <c r="D237" s="107"/>
      <c r="E237" s="107"/>
      <c r="F237" s="107"/>
      <c r="G237" s="107"/>
      <c r="H237" s="107"/>
      <c r="I237" s="107"/>
      <c r="J237" s="109"/>
      <c r="K237" s="107"/>
      <c r="L237" s="18">
        <v>21.138439666666667</v>
      </c>
      <c r="N237" s="107"/>
      <c r="O237" s="107"/>
      <c r="P237" s="107"/>
      <c r="Q237" s="107"/>
      <c r="R237" s="107">
        <f t="shared" si="28"/>
        <v>21.138439666666667</v>
      </c>
    </row>
    <row r="238" spans="1:18" x14ac:dyDescent="0.15">
      <c r="A238" s="38">
        <f t="shared" si="29"/>
        <v>1884</v>
      </c>
      <c r="B238" s="107"/>
      <c r="C238" s="107"/>
      <c r="D238" s="107"/>
      <c r="E238" s="107"/>
      <c r="F238" s="107"/>
      <c r="G238" s="107"/>
      <c r="H238" s="107"/>
      <c r="I238" s="107"/>
      <c r="J238" s="109"/>
      <c r="K238" s="107"/>
      <c r="L238" s="18">
        <v>17.775506083333333</v>
      </c>
      <c r="N238" s="107"/>
      <c r="O238" s="107"/>
      <c r="P238" s="107"/>
      <c r="Q238" s="107"/>
      <c r="R238" s="107">
        <f t="shared" si="28"/>
        <v>17.775506083333333</v>
      </c>
    </row>
    <row r="239" spans="1:18" x14ac:dyDescent="0.15">
      <c r="A239" s="38">
        <f t="shared" si="29"/>
        <v>1885</v>
      </c>
      <c r="B239" s="107"/>
      <c r="C239" s="107"/>
      <c r="D239" s="107"/>
      <c r="E239" s="107"/>
      <c r="F239" s="107"/>
      <c r="G239" s="107"/>
      <c r="H239" s="107"/>
      <c r="I239" s="107"/>
      <c r="J239" s="109"/>
      <c r="K239" s="107"/>
      <c r="L239" s="18">
        <v>17.295087000000002</v>
      </c>
      <c r="N239" s="107"/>
      <c r="O239" s="107"/>
      <c r="P239" s="107"/>
      <c r="Q239" s="107"/>
      <c r="R239" s="107">
        <f t="shared" si="28"/>
        <v>17.295087000000002</v>
      </c>
    </row>
    <row r="240" spans="1:18" x14ac:dyDescent="0.15">
      <c r="A240" s="38">
        <f t="shared" si="29"/>
        <v>1886</v>
      </c>
      <c r="B240" s="107"/>
      <c r="C240" s="107"/>
      <c r="D240" s="107"/>
      <c r="E240" s="107"/>
      <c r="F240" s="107"/>
      <c r="G240" s="107"/>
      <c r="H240" s="107"/>
      <c r="I240" s="107"/>
      <c r="J240" s="109"/>
      <c r="K240" s="107"/>
      <c r="L240" s="18">
        <v>12.010477083333335</v>
      </c>
      <c r="N240" s="107"/>
      <c r="O240" s="107"/>
      <c r="P240" s="107"/>
      <c r="Q240" s="107"/>
      <c r="R240" s="107">
        <f t="shared" si="28"/>
        <v>12.010477083333335</v>
      </c>
    </row>
    <row r="241" spans="1:18" x14ac:dyDescent="0.15">
      <c r="A241" s="38">
        <f t="shared" si="29"/>
        <v>1887</v>
      </c>
      <c r="B241" s="107"/>
      <c r="C241" s="107"/>
      <c r="D241" s="107"/>
      <c r="E241" s="107"/>
      <c r="F241" s="107"/>
      <c r="G241" s="107"/>
      <c r="H241" s="107"/>
      <c r="I241" s="107"/>
      <c r="J241" s="109"/>
      <c r="K241" s="107"/>
      <c r="L241" s="18">
        <v>11.770267541666668</v>
      </c>
      <c r="N241" s="107"/>
      <c r="O241" s="107"/>
      <c r="P241" s="107"/>
      <c r="Q241" s="107"/>
      <c r="R241" s="107">
        <f t="shared" si="28"/>
        <v>11.770267541666668</v>
      </c>
    </row>
    <row r="242" spans="1:18" x14ac:dyDescent="0.15">
      <c r="A242" s="38">
        <f t="shared" si="29"/>
        <v>1888</v>
      </c>
      <c r="B242" s="107"/>
      <c r="C242" s="107"/>
      <c r="D242" s="107"/>
      <c r="E242" s="107"/>
      <c r="F242" s="107"/>
      <c r="G242" s="107"/>
      <c r="H242" s="107"/>
      <c r="I242" s="107"/>
      <c r="J242" s="109"/>
      <c r="K242" s="107"/>
      <c r="L242" s="18">
        <v>10.809429374999999</v>
      </c>
      <c r="N242" s="107"/>
      <c r="O242" s="107"/>
      <c r="P242" s="107"/>
      <c r="Q242" s="107"/>
      <c r="R242" s="107">
        <f t="shared" si="28"/>
        <v>10.809429374999999</v>
      </c>
    </row>
    <row r="243" spans="1:18" x14ac:dyDescent="0.15">
      <c r="A243" s="38">
        <f t="shared" si="29"/>
        <v>1889</v>
      </c>
      <c r="B243" s="107"/>
      <c r="C243" s="107"/>
      <c r="D243" s="107"/>
      <c r="E243" s="107"/>
      <c r="F243" s="107"/>
      <c r="G243" s="107"/>
      <c r="H243" s="107"/>
      <c r="I243" s="107"/>
      <c r="J243" s="109"/>
      <c r="K243" s="107"/>
      <c r="L243" s="18">
        <v>15.373410666666667</v>
      </c>
      <c r="N243" s="107"/>
      <c r="O243" s="107"/>
      <c r="P243" s="107"/>
      <c r="Q243" s="107"/>
      <c r="R243" s="107">
        <f t="shared" si="28"/>
        <v>15.373410666666667</v>
      </c>
    </row>
    <row r="244" spans="1:18" x14ac:dyDescent="0.15">
      <c r="A244" s="38">
        <f t="shared" si="29"/>
        <v>1890</v>
      </c>
      <c r="B244" s="107"/>
      <c r="C244" s="107"/>
      <c r="D244" s="107"/>
      <c r="E244" s="107"/>
      <c r="F244" s="107"/>
      <c r="G244" s="107"/>
      <c r="H244" s="107"/>
      <c r="I244" s="107"/>
      <c r="J244" s="109"/>
      <c r="K244" s="107"/>
      <c r="L244" s="18">
        <v>15.373410666666667</v>
      </c>
      <c r="N244" s="107"/>
      <c r="O244" s="107"/>
      <c r="P244" s="107"/>
      <c r="Q244" s="107"/>
      <c r="R244" s="107">
        <f t="shared" si="28"/>
        <v>15.373410666666667</v>
      </c>
    </row>
    <row r="245" spans="1:18" x14ac:dyDescent="0.15">
      <c r="A245" s="38">
        <f t="shared" si="29"/>
        <v>1891</v>
      </c>
      <c r="B245" s="107"/>
      <c r="C245" s="107"/>
      <c r="D245" s="107"/>
      <c r="E245" s="107"/>
      <c r="F245" s="107"/>
      <c r="G245" s="107"/>
      <c r="H245" s="107"/>
      <c r="I245" s="107"/>
      <c r="J245" s="109"/>
      <c r="K245" s="107"/>
      <c r="L245" s="18">
        <v>13.932153416666667</v>
      </c>
      <c r="N245" s="107"/>
      <c r="O245" s="107"/>
      <c r="P245" s="107"/>
      <c r="Q245" s="107"/>
      <c r="R245" s="107">
        <f t="shared" si="28"/>
        <v>13.932153416666667</v>
      </c>
    </row>
    <row r="246" spans="1:18" x14ac:dyDescent="0.15">
      <c r="A246" s="38">
        <f t="shared" si="29"/>
        <v>1892</v>
      </c>
      <c r="B246" s="107"/>
      <c r="C246" s="107"/>
      <c r="D246" s="107"/>
      <c r="E246" s="107"/>
      <c r="F246" s="107"/>
      <c r="G246" s="107"/>
      <c r="H246" s="107"/>
      <c r="I246" s="107"/>
      <c r="J246" s="109"/>
      <c r="K246" s="107"/>
      <c r="L246" s="18">
        <v>13.932153416666667</v>
      </c>
      <c r="N246" s="107"/>
      <c r="O246" s="107"/>
      <c r="P246" s="107"/>
      <c r="Q246" s="107"/>
      <c r="R246" s="107">
        <f t="shared" si="28"/>
        <v>13.932153416666667</v>
      </c>
    </row>
    <row r="247" spans="1:18" x14ac:dyDescent="0.15">
      <c r="A247" s="38">
        <f t="shared" si="29"/>
        <v>1893</v>
      </c>
      <c r="B247" s="107"/>
      <c r="C247" s="107"/>
      <c r="D247" s="107"/>
      <c r="E247" s="107"/>
      <c r="F247" s="107"/>
      <c r="G247" s="107"/>
      <c r="H247" s="107"/>
      <c r="I247" s="107"/>
      <c r="J247" s="109"/>
      <c r="K247" s="107"/>
      <c r="L247" s="18">
        <v>14.4125725</v>
      </c>
      <c r="N247" s="107"/>
      <c r="O247" s="107"/>
      <c r="P247" s="107"/>
      <c r="Q247" s="107"/>
      <c r="R247" s="107">
        <f t="shared" si="28"/>
        <v>14.4125725</v>
      </c>
    </row>
    <row r="248" spans="1:18" x14ac:dyDescent="0.15">
      <c r="A248" s="38">
        <f t="shared" si="29"/>
        <v>1894</v>
      </c>
      <c r="B248" s="107"/>
      <c r="C248" s="107"/>
      <c r="D248" s="107"/>
      <c r="E248" s="107"/>
      <c r="F248" s="107"/>
      <c r="G248" s="107"/>
      <c r="H248" s="107"/>
      <c r="I248" s="107"/>
      <c r="J248" s="109"/>
      <c r="K248" s="107"/>
      <c r="L248" s="18">
        <v>14.4125725</v>
      </c>
      <c r="N248" s="107"/>
      <c r="O248" s="107"/>
      <c r="P248" s="107"/>
      <c r="Q248" s="107"/>
      <c r="R248" s="107">
        <f t="shared" si="28"/>
        <v>14.4125725</v>
      </c>
    </row>
    <row r="249" spans="1:18" x14ac:dyDescent="0.15">
      <c r="A249" s="38">
        <f t="shared" si="29"/>
        <v>1895</v>
      </c>
      <c r="B249" s="107"/>
      <c r="C249" s="107"/>
      <c r="D249" s="107"/>
      <c r="E249" s="107"/>
      <c r="F249" s="107"/>
      <c r="G249" s="107"/>
      <c r="H249" s="107"/>
      <c r="I249" s="107"/>
      <c r="J249" s="109"/>
      <c r="K249" s="107"/>
      <c r="L249" s="18">
        <v>14.4125725</v>
      </c>
      <c r="N249" s="107"/>
      <c r="O249" s="107"/>
      <c r="P249" s="107"/>
      <c r="Q249" s="107"/>
      <c r="R249" s="107">
        <f t="shared" si="28"/>
        <v>14.4125725</v>
      </c>
    </row>
    <row r="250" spans="1:18" x14ac:dyDescent="0.15">
      <c r="A250" s="38">
        <f t="shared" si="29"/>
        <v>1896</v>
      </c>
      <c r="B250" s="107"/>
      <c r="C250" s="107"/>
      <c r="D250" s="107"/>
      <c r="E250" s="107"/>
      <c r="F250" s="107"/>
      <c r="G250" s="107"/>
      <c r="H250" s="107"/>
      <c r="I250" s="107"/>
      <c r="J250" s="109"/>
      <c r="K250" s="107"/>
      <c r="L250" s="18">
        <v>15.853829750000001</v>
      </c>
      <c r="N250" s="107"/>
      <c r="O250" s="107"/>
      <c r="P250" s="107"/>
      <c r="Q250" s="107"/>
      <c r="R250" s="107">
        <f t="shared" si="28"/>
        <v>15.853829750000001</v>
      </c>
    </row>
    <row r="251" spans="1:18" x14ac:dyDescent="0.15">
      <c r="A251" s="38">
        <f t="shared" si="29"/>
        <v>1897</v>
      </c>
      <c r="B251" s="107"/>
      <c r="C251" s="107"/>
      <c r="D251" s="107"/>
      <c r="E251" s="107"/>
      <c r="F251" s="107"/>
      <c r="G251" s="107"/>
      <c r="H251" s="107"/>
      <c r="I251" s="107"/>
      <c r="J251" s="109"/>
      <c r="K251" s="107"/>
      <c r="L251" s="18">
        <v>19.216763333333336</v>
      </c>
      <c r="N251" s="107"/>
      <c r="O251" s="107"/>
      <c r="P251" s="107"/>
      <c r="Q251" s="107"/>
      <c r="R251" s="107">
        <f t="shared" si="28"/>
        <v>19.216763333333336</v>
      </c>
    </row>
    <row r="252" spans="1:18" x14ac:dyDescent="0.15">
      <c r="A252" s="38">
        <f t="shared" si="29"/>
        <v>1898</v>
      </c>
      <c r="B252" s="107"/>
      <c r="C252" s="107"/>
      <c r="D252" s="107"/>
      <c r="E252" s="107"/>
      <c r="F252" s="107"/>
      <c r="G252" s="107"/>
      <c r="H252" s="107"/>
      <c r="I252" s="107"/>
      <c r="J252" s="109"/>
      <c r="K252" s="107"/>
      <c r="L252" s="18">
        <v>17.295087000000002</v>
      </c>
      <c r="N252" s="107"/>
      <c r="O252" s="107"/>
      <c r="P252" s="107"/>
      <c r="Q252" s="107"/>
      <c r="R252" s="107">
        <f t="shared" si="28"/>
        <v>17.295087000000002</v>
      </c>
    </row>
    <row r="253" spans="1:18" x14ac:dyDescent="0.15">
      <c r="A253" s="38">
        <f t="shared" si="29"/>
        <v>1899</v>
      </c>
      <c r="B253" s="107"/>
      <c r="C253" s="107"/>
      <c r="D253" s="107"/>
      <c r="E253" s="107"/>
      <c r="F253" s="107"/>
      <c r="G253" s="107"/>
      <c r="H253" s="107"/>
      <c r="I253" s="107"/>
      <c r="J253" s="109"/>
      <c r="K253" s="107"/>
      <c r="L253" s="18">
        <v>20.177601499999998</v>
      </c>
      <c r="N253" s="107"/>
      <c r="O253" s="107"/>
      <c r="P253" s="107"/>
      <c r="Q253" s="107"/>
      <c r="R253" s="107">
        <f t="shared" si="28"/>
        <v>20.177601499999998</v>
      </c>
    </row>
    <row r="254" spans="1:18" x14ac:dyDescent="0.15">
      <c r="A254" s="38">
        <f t="shared" si="29"/>
        <v>1900</v>
      </c>
      <c r="B254" s="107"/>
      <c r="C254" s="107"/>
      <c r="D254" s="107"/>
      <c r="E254" s="107"/>
      <c r="F254" s="107"/>
      <c r="G254" s="107"/>
      <c r="H254" s="107"/>
      <c r="I254" s="107"/>
      <c r="J254" s="109"/>
      <c r="K254" s="107"/>
      <c r="L254" s="18">
        <v>17.295087000000002</v>
      </c>
      <c r="N254" s="107"/>
      <c r="O254" s="107"/>
      <c r="P254" s="107"/>
      <c r="Q254" s="107"/>
      <c r="R254" s="107">
        <f t="shared" si="28"/>
        <v>17.295087000000002</v>
      </c>
    </row>
    <row r="255" spans="1:18" x14ac:dyDescent="0.15">
      <c r="A255" s="38">
        <f t="shared" si="29"/>
        <v>1901</v>
      </c>
      <c r="B255" s="107"/>
      <c r="C255" s="107"/>
      <c r="D255" s="107"/>
      <c r="E255" s="107"/>
      <c r="F255" s="107"/>
      <c r="G255" s="107"/>
      <c r="H255" s="107"/>
      <c r="I255" s="107"/>
      <c r="J255" s="109"/>
      <c r="K255" s="107"/>
      <c r="L255" s="18">
        <v>23.060116000000004</v>
      </c>
      <c r="N255" s="107"/>
      <c r="O255" s="107"/>
      <c r="P255" s="107"/>
      <c r="Q255" s="107"/>
      <c r="R255" s="107">
        <f t="shared" si="28"/>
        <v>23.060116000000004</v>
      </c>
    </row>
    <row r="256" spans="1:18" x14ac:dyDescent="0.15">
      <c r="A256" s="38">
        <f t="shared" si="29"/>
        <v>1902</v>
      </c>
      <c r="B256" s="107"/>
      <c r="C256" s="107"/>
      <c r="D256" s="107"/>
      <c r="E256" s="107"/>
      <c r="F256" s="107"/>
      <c r="G256" s="107"/>
      <c r="H256" s="107"/>
      <c r="I256" s="107"/>
      <c r="J256" s="109"/>
      <c r="K256" s="107"/>
      <c r="L256" s="18">
        <v>19.216763333333336</v>
      </c>
      <c r="N256" s="107"/>
      <c r="O256" s="107"/>
      <c r="P256" s="107"/>
      <c r="Q256" s="107"/>
      <c r="R256" s="107">
        <f t="shared" si="28"/>
        <v>19.216763333333336</v>
      </c>
    </row>
    <row r="257" spans="1:18" x14ac:dyDescent="0.15">
      <c r="A257" s="38">
        <f t="shared" si="29"/>
        <v>1903</v>
      </c>
      <c r="B257" s="107"/>
      <c r="C257" s="107"/>
      <c r="D257" s="107"/>
      <c r="E257" s="107"/>
      <c r="F257" s="107"/>
      <c r="G257" s="107"/>
      <c r="H257" s="107"/>
      <c r="I257" s="107"/>
      <c r="J257" s="109"/>
      <c r="K257" s="107"/>
      <c r="L257" s="18">
        <v>15.373410666666667</v>
      </c>
      <c r="N257" s="107"/>
      <c r="O257" s="107"/>
      <c r="P257" s="107"/>
      <c r="Q257" s="107"/>
      <c r="R257" s="107">
        <f t="shared" si="28"/>
        <v>15.373410666666667</v>
      </c>
    </row>
    <row r="258" spans="1:18" x14ac:dyDescent="0.15">
      <c r="A258" s="38">
        <f t="shared" si="29"/>
        <v>1904</v>
      </c>
      <c r="B258" s="107"/>
      <c r="C258" s="107"/>
      <c r="D258" s="107"/>
      <c r="E258" s="107"/>
      <c r="F258" s="107"/>
      <c r="G258" s="107"/>
      <c r="H258" s="107"/>
      <c r="I258" s="107"/>
      <c r="J258" s="109"/>
      <c r="K258" s="107"/>
      <c r="L258" s="107"/>
      <c r="N258" s="107"/>
      <c r="O258" s="107"/>
      <c r="P258" s="107"/>
      <c r="Q258" s="107"/>
      <c r="R258" s="74">
        <f>L257+($L$259-$L$257)/2</f>
        <v>13.451734333333334</v>
      </c>
    </row>
    <row r="259" spans="1:18" x14ac:dyDescent="0.15">
      <c r="A259" s="38">
        <f t="shared" si="29"/>
        <v>1905</v>
      </c>
      <c r="B259" s="107"/>
      <c r="C259" s="107"/>
      <c r="D259" s="107"/>
      <c r="E259" s="107"/>
      <c r="F259" s="107"/>
      <c r="G259" s="107"/>
      <c r="H259" s="107"/>
      <c r="I259" s="107"/>
      <c r="J259" s="109"/>
      <c r="K259" s="107"/>
      <c r="L259" s="18">
        <v>11.530058000000002</v>
      </c>
      <c r="N259" s="107"/>
      <c r="O259" s="107"/>
      <c r="P259" s="107"/>
      <c r="Q259" s="107"/>
      <c r="R259" s="107">
        <f t="shared" ref="R259:R267" si="30">AVERAGE(L259)</f>
        <v>11.530058000000002</v>
      </c>
    </row>
    <row r="260" spans="1:18" x14ac:dyDescent="0.15">
      <c r="A260" s="38">
        <f t="shared" si="29"/>
        <v>1906</v>
      </c>
      <c r="B260" s="107"/>
      <c r="C260" s="107"/>
      <c r="D260" s="107"/>
      <c r="E260" s="107"/>
      <c r="F260" s="107"/>
      <c r="G260" s="107"/>
      <c r="H260" s="107"/>
      <c r="I260" s="107"/>
      <c r="J260" s="109"/>
      <c r="K260" s="107"/>
      <c r="L260" s="18">
        <v>17.295087000000002</v>
      </c>
      <c r="N260" s="107"/>
      <c r="O260" s="107"/>
      <c r="P260" s="107"/>
      <c r="Q260" s="107"/>
      <c r="R260" s="107">
        <f t="shared" si="30"/>
        <v>17.295087000000002</v>
      </c>
    </row>
    <row r="261" spans="1:18" x14ac:dyDescent="0.15">
      <c r="A261" s="38">
        <f t="shared" si="29"/>
        <v>1907</v>
      </c>
      <c r="B261" s="107"/>
      <c r="C261" s="107"/>
      <c r="D261" s="107"/>
      <c r="E261" s="107"/>
      <c r="F261" s="107"/>
      <c r="G261" s="107"/>
      <c r="H261" s="107"/>
      <c r="I261" s="107"/>
      <c r="J261" s="109"/>
      <c r="K261" s="107"/>
      <c r="L261" s="18">
        <v>17.295087000000002</v>
      </c>
      <c r="N261" s="107"/>
      <c r="O261" s="107"/>
      <c r="P261" s="107"/>
      <c r="Q261" s="107"/>
      <c r="R261" s="107">
        <f t="shared" si="30"/>
        <v>17.295087000000002</v>
      </c>
    </row>
    <row r="262" spans="1:18" x14ac:dyDescent="0.15">
      <c r="A262" s="38">
        <f t="shared" si="29"/>
        <v>1908</v>
      </c>
      <c r="B262" s="107"/>
      <c r="C262" s="107"/>
      <c r="D262" s="107"/>
      <c r="E262" s="107"/>
      <c r="F262" s="107"/>
      <c r="G262" s="107"/>
      <c r="H262" s="107"/>
      <c r="I262" s="107"/>
      <c r="J262" s="109"/>
      <c r="K262" s="107"/>
      <c r="L262" s="18">
        <v>17.775506083333333</v>
      </c>
      <c r="N262" s="107"/>
      <c r="O262" s="107"/>
      <c r="P262" s="107"/>
      <c r="Q262" s="107"/>
      <c r="R262" s="107">
        <f t="shared" si="30"/>
        <v>17.775506083333333</v>
      </c>
    </row>
    <row r="263" spans="1:18" x14ac:dyDescent="0.15">
      <c r="A263" s="38">
        <f t="shared" si="29"/>
        <v>1909</v>
      </c>
      <c r="B263" s="107"/>
      <c r="C263" s="107"/>
      <c r="D263" s="107"/>
      <c r="E263" s="107"/>
      <c r="F263" s="107"/>
      <c r="G263" s="107"/>
      <c r="H263" s="107"/>
      <c r="I263" s="107"/>
      <c r="J263" s="109"/>
      <c r="K263" s="107"/>
      <c r="L263" s="18">
        <v>20.658020583333332</v>
      </c>
      <c r="N263" s="107"/>
      <c r="O263" s="107"/>
      <c r="P263" s="107"/>
      <c r="Q263" s="107"/>
      <c r="R263" s="107">
        <f t="shared" si="30"/>
        <v>20.658020583333332</v>
      </c>
    </row>
    <row r="264" spans="1:18" x14ac:dyDescent="0.15">
      <c r="A264" s="38">
        <f t="shared" si="29"/>
        <v>1910</v>
      </c>
      <c r="B264" s="107"/>
      <c r="C264" s="107"/>
      <c r="D264" s="107"/>
      <c r="E264" s="107"/>
      <c r="F264" s="107"/>
      <c r="G264" s="107"/>
      <c r="H264" s="107"/>
      <c r="I264" s="107"/>
      <c r="J264" s="109"/>
      <c r="K264" s="107"/>
      <c r="L264" s="18">
        <v>19.216763333333336</v>
      </c>
      <c r="N264" s="107"/>
      <c r="O264" s="107"/>
      <c r="P264" s="107"/>
      <c r="Q264" s="107"/>
      <c r="R264" s="107">
        <f t="shared" si="30"/>
        <v>19.216763333333336</v>
      </c>
    </row>
    <row r="265" spans="1:18" x14ac:dyDescent="0.15">
      <c r="A265" s="38">
        <v>1911</v>
      </c>
      <c r="B265" s="107"/>
      <c r="C265" s="107"/>
      <c r="D265" s="107"/>
      <c r="E265" s="107"/>
      <c r="F265" s="107"/>
      <c r="G265" s="107"/>
      <c r="H265" s="107"/>
      <c r="I265" s="107"/>
      <c r="J265" s="109"/>
      <c r="K265" s="107"/>
      <c r="L265" s="18">
        <v>19.216763333333336</v>
      </c>
      <c r="N265" s="107"/>
      <c r="O265" s="107"/>
      <c r="P265" s="107"/>
      <c r="Q265" s="107"/>
      <c r="R265" s="107">
        <f t="shared" si="30"/>
        <v>19.216763333333336</v>
      </c>
    </row>
    <row r="266" spans="1:18" x14ac:dyDescent="0.15">
      <c r="A266" s="38">
        <v>1912</v>
      </c>
      <c r="B266" s="107"/>
      <c r="C266" s="107"/>
      <c r="D266" s="107"/>
      <c r="E266" s="107"/>
      <c r="F266" s="107"/>
      <c r="G266" s="107"/>
      <c r="H266" s="107"/>
      <c r="I266" s="107"/>
      <c r="J266" s="109"/>
      <c r="K266" s="107"/>
      <c r="L266" s="107"/>
      <c r="N266" s="107"/>
      <c r="O266" s="107"/>
      <c r="P266" s="107"/>
      <c r="Q266" s="107"/>
      <c r="R266" s="74">
        <f>L265+($L$267-$L$265)/2</f>
        <v>19.697182416666667</v>
      </c>
    </row>
    <row r="267" spans="1:18" x14ac:dyDescent="0.15">
      <c r="A267" s="38">
        <v>1913</v>
      </c>
      <c r="B267" s="107"/>
      <c r="C267" s="107"/>
      <c r="D267" s="107"/>
      <c r="E267" s="107"/>
      <c r="F267" s="107"/>
      <c r="G267" s="107"/>
      <c r="H267" s="107"/>
      <c r="I267" s="107"/>
      <c r="J267" s="109"/>
      <c r="K267" s="107"/>
      <c r="L267" s="18">
        <v>20.177601499999998</v>
      </c>
      <c r="N267" s="107"/>
      <c r="O267" s="107"/>
      <c r="P267" s="107"/>
      <c r="Q267" s="107"/>
      <c r="R267" s="107">
        <f t="shared" si="30"/>
        <v>20.177601499999998</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7"/>
  <sheetViews>
    <sheetView zoomScale="85" zoomScaleNormal="85" zoomScalePageLayoutView="85" workbookViewId="0">
      <pane xSplit="1" ySplit="6" topLeftCell="B13" activePane="bottomRight" state="frozen"/>
      <selection pane="topRight" activeCell="B1" sqref="B1"/>
      <selection pane="bottomLeft" activeCell="A7" sqref="A7"/>
      <selection pane="bottomRight" activeCell="S4" sqref="S4"/>
    </sheetView>
  </sheetViews>
  <sheetFormatPr baseColWidth="10" defaultColWidth="8.83203125" defaultRowHeight="13" x14ac:dyDescent="0.15"/>
  <cols>
    <col min="1" max="1" width="8.83203125" style="38"/>
    <col min="2" max="10" width="8.83203125" style="29"/>
    <col min="11" max="11" width="8.83203125" style="31"/>
    <col min="12" max="12" width="8.83203125" style="77"/>
    <col min="13" max="13" width="8.83203125" style="70"/>
    <col min="14" max="18" width="8.83203125" style="29"/>
  </cols>
  <sheetData>
    <row r="1" spans="1:19" x14ac:dyDescent="0.15">
      <c r="B1" s="45" t="s">
        <v>62</v>
      </c>
      <c r="C1" s="109"/>
      <c r="D1" s="109"/>
      <c r="E1" s="109"/>
      <c r="F1" s="109"/>
      <c r="G1" s="109"/>
      <c r="H1" s="109"/>
      <c r="I1" s="109"/>
      <c r="J1" s="109"/>
      <c r="N1" s="109"/>
      <c r="O1" s="109" t="s">
        <v>65</v>
      </c>
      <c r="P1" s="109"/>
      <c r="Q1" s="109"/>
    </row>
    <row r="3" spans="1:19" x14ac:dyDescent="0.15">
      <c r="A3" s="38" t="s">
        <v>68</v>
      </c>
      <c r="B3" s="109" t="s">
        <v>72</v>
      </c>
      <c r="C3" s="109" t="s">
        <v>72</v>
      </c>
      <c r="D3" s="109" t="s">
        <v>77</v>
      </c>
      <c r="E3" s="109" t="s">
        <v>77</v>
      </c>
      <c r="F3" s="109" t="s">
        <v>114</v>
      </c>
      <c r="G3" s="109" t="s">
        <v>115</v>
      </c>
      <c r="H3" s="109" t="s">
        <v>116</v>
      </c>
      <c r="I3" s="109" t="s">
        <v>117</v>
      </c>
      <c r="J3" s="109" t="s">
        <v>77</v>
      </c>
      <c r="K3" s="31" t="s">
        <v>80</v>
      </c>
      <c r="L3" s="77" t="s">
        <v>94</v>
      </c>
      <c r="N3" s="109" t="s">
        <v>118</v>
      </c>
      <c r="O3" s="109" t="s">
        <v>119</v>
      </c>
      <c r="P3" s="109"/>
      <c r="Q3" s="109"/>
    </row>
    <row r="4" spans="1:19" x14ac:dyDescent="0.15">
      <c r="A4" s="31" t="s">
        <v>84</v>
      </c>
      <c r="B4" s="109" t="s">
        <v>85</v>
      </c>
      <c r="C4" s="109" t="s">
        <v>85</v>
      </c>
      <c r="D4" s="109" t="s">
        <v>85</v>
      </c>
      <c r="E4" s="109" t="s">
        <v>85</v>
      </c>
      <c r="F4" s="109" t="s">
        <v>85</v>
      </c>
      <c r="G4" s="109" t="s">
        <v>85</v>
      </c>
      <c r="H4" s="109" t="s">
        <v>87</v>
      </c>
      <c r="I4" s="109" t="s">
        <v>88</v>
      </c>
      <c r="J4" s="109" t="s">
        <v>88</v>
      </c>
      <c r="K4" s="31" t="s">
        <v>55</v>
      </c>
      <c r="L4" s="77" t="s">
        <v>120</v>
      </c>
      <c r="N4" s="109" t="s">
        <v>121</v>
      </c>
      <c r="O4" s="109" t="s">
        <v>85</v>
      </c>
      <c r="P4" s="109" t="s">
        <v>88</v>
      </c>
      <c r="Q4" s="109" t="s">
        <v>55</v>
      </c>
      <c r="S4" s="31" t="s">
        <v>1031</v>
      </c>
    </row>
    <row r="5" spans="1:19" x14ac:dyDescent="0.15">
      <c r="A5" s="31" t="s">
        <v>91</v>
      </c>
      <c r="B5" s="109" t="s">
        <v>122</v>
      </c>
      <c r="C5" s="109" t="s">
        <v>101</v>
      </c>
      <c r="D5" s="109" t="s">
        <v>122</v>
      </c>
      <c r="E5" s="109" t="s">
        <v>101</v>
      </c>
      <c r="F5" s="109" t="s">
        <v>101</v>
      </c>
      <c r="G5" s="109" t="s">
        <v>101</v>
      </c>
      <c r="H5" s="109" t="s">
        <v>123</v>
      </c>
      <c r="I5" s="109" t="s">
        <v>112</v>
      </c>
      <c r="J5" s="109" t="s">
        <v>103</v>
      </c>
      <c r="K5" s="31" t="s">
        <v>51</v>
      </c>
      <c r="L5" s="77" t="s">
        <v>51</v>
      </c>
      <c r="N5" s="109"/>
      <c r="O5" s="109" t="s">
        <v>51</v>
      </c>
      <c r="P5" s="109" t="s">
        <v>113</v>
      </c>
      <c r="Q5" s="109" t="s">
        <v>51</v>
      </c>
    </row>
    <row r="7" spans="1:19" x14ac:dyDescent="0.15">
      <c r="A7" s="38">
        <v>1653</v>
      </c>
      <c r="B7" s="109"/>
      <c r="C7" s="109"/>
      <c r="D7" s="109"/>
      <c r="E7" s="109"/>
      <c r="F7" s="109"/>
      <c r="G7" s="109"/>
      <c r="H7" s="109"/>
      <c r="I7" s="109"/>
      <c r="J7" s="109"/>
      <c r="N7" s="109"/>
      <c r="O7" s="109"/>
      <c r="P7" s="109"/>
      <c r="Q7" s="109"/>
    </row>
    <row r="8" spans="1:19" x14ac:dyDescent="0.15">
      <c r="A8" s="38">
        <f t="shared" ref="A8:A52" si="0">A9-1</f>
        <v>1654</v>
      </c>
      <c r="B8" s="109"/>
      <c r="C8" s="109"/>
      <c r="D8" s="109"/>
      <c r="E8" s="109"/>
      <c r="F8" s="109"/>
      <c r="G8" s="109"/>
      <c r="H8" s="109"/>
      <c r="I8" s="109"/>
      <c r="J8" s="109"/>
      <c r="N8" s="109"/>
      <c r="O8" s="109"/>
      <c r="P8" s="109"/>
      <c r="Q8" s="109"/>
    </row>
    <row r="9" spans="1:19" x14ac:dyDescent="0.15">
      <c r="A9" s="38">
        <f t="shared" si="0"/>
        <v>1655</v>
      </c>
      <c r="B9" s="109"/>
      <c r="C9" s="109"/>
      <c r="D9" s="109"/>
      <c r="E9" s="109"/>
      <c r="F9" s="109"/>
      <c r="G9" s="109"/>
      <c r="H9" s="109"/>
      <c r="I9" s="109"/>
      <c r="J9" s="109"/>
      <c r="N9" s="109"/>
      <c r="O9" s="109"/>
      <c r="P9" s="109"/>
      <c r="Q9" s="109"/>
    </row>
    <row r="10" spans="1:19" x14ac:dyDescent="0.15">
      <c r="A10" s="38">
        <f t="shared" si="0"/>
        <v>1656</v>
      </c>
      <c r="B10" s="109"/>
      <c r="C10" s="109"/>
      <c r="D10" s="109"/>
      <c r="E10" s="109"/>
      <c r="F10" s="109"/>
      <c r="G10" s="109"/>
      <c r="H10" s="109"/>
      <c r="I10" s="109"/>
      <c r="J10" s="109"/>
      <c r="N10" s="109"/>
      <c r="O10" s="109"/>
      <c r="P10" s="109"/>
      <c r="Q10" s="109"/>
    </row>
    <row r="11" spans="1:19" x14ac:dyDescent="0.15">
      <c r="A11" s="38">
        <f t="shared" si="0"/>
        <v>1657</v>
      </c>
      <c r="B11" s="109"/>
      <c r="C11" s="109"/>
      <c r="D11" s="109"/>
      <c r="E11" s="109"/>
      <c r="F11" s="109"/>
      <c r="G11" s="109"/>
      <c r="H11" s="109"/>
      <c r="I11" s="109"/>
      <c r="J11" s="109"/>
      <c r="N11" s="109"/>
      <c r="O11" s="109"/>
      <c r="P11" s="109"/>
      <c r="Q11" s="109"/>
    </row>
    <row r="12" spans="1:19" x14ac:dyDescent="0.15">
      <c r="A12" s="38">
        <f t="shared" si="0"/>
        <v>1658</v>
      </c>
      <c r="B12" s="109"/>
      <c r="C12" s="109"/>
      <c r="D12" s="109"/>
      <c r="E12" s="109"/>
      <c r="F12" s="109"/>
      <c r="G12" s="109"/>
      <c r="H12" s="109"/>
      <c r="I12" s="109"/>
      <c r="J12" s="109"/>
      <c r="N12" s="109"/>
      <c r="O12" s="109"/>
      <c r="P12" s="109"/>
      <c r="Q12" s="109"/>
    </row>
    <row r="13" spans="1:19" x14ac:dyDescent="0.15">
      <c r="A13" s="38">
        <f t="shared" si="0"/>
        <v>1659</v>
      </c>
      <c r="B13" s="109"/>
      <c r="C13" s="109"/>
      <c r="D13" s="109"/>
      <c r="E13" s="109"/>
      <c r="F13" s="109"/>
      <c r="G13" s="109"/>
      <c r="H13" s="109"/>
      <c r="I13" s="109"/>
      <c r="J13" s="109"/>
      <c r="N13" s="109"/>
      <c r="O13" s="109"/>
      <c r="P13" s="109"/>
      <c r="Q13" s="109"/>
    </row>
    <row r="14" spans="1:19" x14ac:dyDescent="0.15">
      <c r="A14" s="38">
        <f t="shared" si="0"/>
        <v>1660</v>
      </c>
      <c r="B14" s="109"/>
      <c r="C14" s="109"/>
      <c r="D14" s="109"/>
      <c r="E14" s="109"/>
      <c r="F14" s="109"/>
      <c r="G14" s="109"/>
      <c r="H14" s="109"/>
      <c r="I14" s="109"/>
      <c r="J14" s="109"/>
      <c r="N14" s="109"/>
      <c r="O14" s="109"/>
      <c r="P14" s="109"/>
      <c r="Q14" s="109"/>
    </row>
    <row r="15" spans="1:19" x14ac:dyDescent="0.15">
      <c r="A15" s="38">
        <f t="shared" si="0"/>
        <v>1661</v>
      </c>
      <c r="B15" s="109"/>
      <c r="C15" s="109"/>
      <c r="D15" s="109"/>
      <c r="E15" s="109"/>
      <c r="F15" s="109"/>
      <c r="G15" s="109"/>
      <c r="H15" s="109"/>
      <c r="I15" s="109"/>
      <c r="J15" s="109"/>
      <c r="N15" s="109"/>
      <c r="O15" s="109"/>
      <c r="P15" s="109"/>
      <c r="Q15" s="109"/>
    </row>
    <row r="16" spans="1:19" x14ac:dyDescent="0.15">
      <c r="A16" s="38">
        <f t="shared" si="0"/>
        <v>1662</v>
      </c>
      <c r="B16" s="109"/>
      <c r="C16" s="109"/>
      <c r="D16" s="109"/>
      <c r="E16" s="109"/>
      <c r="F16" s="109"/>
      <c r="G16" s="109"/>
      <c r="H16" s="109"/>
      <c r="I16" s="109"/>
      <c r="J16" s="109"/>
      <c r="N16" s="109"/>
      <c r="O16" s="109"/>
      <c r="P16" s="109"/>
      <c r="Q16" s="109"/>
    </row>
    <row r="17" spans="1:17" x14ac:dyDescent="0.15">
      <c r="A17" s="38">
        <f t="shared" si="0"/>
        <v>1663</v>
      </c>
      <c r="B17" s="109"/>
      <c r="C17" s="109"/>
      <c r="D17" s="109"/>
      <c r="E17" s="109"/>
      <c r="F17" s="109"/>
      <c r="G17" s="109"/>
      <c r="H17" s="109"/>
      <c r="I17" s="109"/>
      <c r="J17" s="109"/>
      <c r="N17" s="109"/>
      <c r="O17" s="109"/>
      <c r="P17" s="109"/>
      <c r="Q17" s="109"/>
    </row>
    <row r="18" spans="1:17" x14ac:dyDescent="0.15">
      <c r="A18" s="38">
        <f t="shared" si="0"/>
        <v>1664</v>
      </c>
      <c r="B18" s="109"/>
      <c r="C18" s="109"/>
      <c r="D18" s="109"/>
      <c r="E18" s="109"/>
      <c r="F18" s="109"/>
      <c r="G18" s="109"/>
      <c r="H18" s="109"/>
      <c r="I18" s="109"/>
      <c r="J18" s="109"/>
      <c r="N18" s="109"/>
      <c r="O18" s="109"/>
      <c r="P18" s="109"/>
      <c r="Q18" s="109"/>
    </row>
    <row r="19" spans="1:17" x14ac:dyDescent="0.15">
      <c r="A19" s="38">
        <f t="shared" si="0"/>
        <v>1665</v>
      </c>
      <c r="B19" s="109"/>
      <c r="C19" s="109">
        <v>0.5</v>
      </c>
      <c r="D19" s="109"/>
      <c r="E19" s="109"/>
      <c r="F19" s="109"/>
      <c r="G19" s="109"/>
      <c r="H19" s="109"/>
      <c r="I19" s="109"/>
      <c r="J19" s="109"/>
      <c r="N19" s="109"/>
      <c r="O19" s="109">
        <f>C19/0.494</f>
        <v>1.0121457489878543</v>
      </c>
      <c r="P19" s="109"/>
      <c r="Q19" s="109">
        <f>O19*7.84</f>
        <v>7.9352226720647776</v>
      </c>
    </row>
    <row r="20" spans="1:17" x14ac:dyDescent="0.15">
      <c r="A20" s="38">
        <f t="shared" si="0"/>
        <v>1666</v>
      </c>
      <c r="B20" s="109"/>
      <c r="C20" s="109"/>
      <c r="D20" s="109"/>
      <c r="E20" s="109"/>
      <c r="F20" s="109"/>
      <c r="G20" s="109"/>
      <c r="H20" s="109"/>
      <c r="I20" s="109"/>
      <c r="J20" s="109"/>
      <c r="N20" s="109"/>
      <c r="O20" s="109"/>
      <c r="P20" s="109"/>
      <c r="Q20" s="109"/>
    </row>
    <row r="21" spans="1:17" x14ac:dyDescent="0.15">
      <c r="A21" s="38">
        <f t="shared" si="0"/>
        <v>1667</v>
      </c>
      <c r="B21" s="109">
        <v>20</v>
      </c>
      <c r="C21" s="109"/>
      <c r="D21" s="109"/>
      <c r="E21" s="109"/>
      <c r="F21" s="109"/>
      <c r="G21" s="109"/>
      <c r="H21" s="109"/>
      <c r="I21" s="109"/>
      <c r="J21" s="109"/>
      <c r="N21" s="109"/>
      <c r="O21" s="71">
        <f>B21/27.9</f>
        <v>0.71684587813620071</v>
      </c>
      <c r="P21" s="109"/>
      <c r="Q21" s="109">
        <f t="shared" ref="Q21:Q22" si="1">O21*7.84</f>
        <v>5.6200716845878134</v>
      </c>
    </row>
    <row r="22" spans="1:17" x14ac:dyDescent="0.15">
      <c r="A22" s="38">
        <f t="shared" si="0"/>
        <v>1668</v>
      </c>
      <c r="B22" s="109">
        <v>20</v>
      </c>
      <c r="C22" s="109"/>
      <c r="D22" s="109"/>
      <c r="E22" s="109"/>
      <c r="F22" s="109"/>
      <c r="G22" s="109"/>
      <c r="H22" s="109"/>
      <c r="I22" s="109"/>
      <c r="J22" s="109"/>
      <c r="N22" s="109"/>
      <c r="O22" s="71">
        <f>B22/27.9</f>
        <v>0.71684587813620071</v>
      </c>
      <c r="P22" s="109"/>
      <c r="Q22" s="109">
        <f t="shared" si="1"/>
        <v>5.6200716845878134</v>
      </c>
    </row>
    <row r="23" spans="1:17" x14ac:dyDescent="0.15">
      <c r="A23" s="38">
        <f t="shared" si="0"/>
        <v>1669</v>
      </c>
      <c r="B23" s="109"/>
      <c r="C23" s="109"/>
      <c r="D23" s="109"/>
      <c r="E23" s="109"/>
      <c r="F23" s="109"/>
      <c r="G23" s="109"/>
      <c r="H23" s="109"/>
      <c r="I23" s="109"/>
      <c r="J23" s="109"/>
      <c r="N23" s="109"/>
      <c r="O23" s="109"/>
      <c r="P23" s="109"/>
      <c r="Q23" s="109"/>
    </row>
    <row r="24" spans="1:17" x14ac:dyDescent="0.15">
      <c r="A24" s="38">
        <f t="shared" si="0"/>
        <v>1670</v>
      </c>
      <c r="B24" s="109"/>
      <c r="C24" s="109"/>
      <c r="D24" s="109"/>
      <c r="E24" s="109"/>
      <c r="F24" s="109"/>
      <c r="G24" s="109"/>
      <c r="H24" s="109"/>
      <c r="I24" s="109"/>
      <c r="J24" s="109"/>
      <c r="N24" s="109"/>
      <c r="O24" s="109"/>
      <c r="P24" s="109"/>
      <c r="Q24" s="109"/>
    </row>
    <row r="25" spans="1:17" x14ac:dyDescent="0.15">
      <c r="A25" s="38">
        <f t="shared" si="0"/>
        <v>1671</v>
      </c>
      <c r="B25" s="109"/>
      <c r="C25" s="109"/>
      <c r="D25" s="109"/>
      <c r="E25" s="109"/>
      <c r="F25" s="109"/>
      <c r="G25" s="109"/>
      <c r="H25" s="109"/>
      <c r="I25" s="109"/>
      <c r="J25" s="109"/>
      <c r="N25" s="109"/>
      <c r="O25" s="109"/>
      <c r="P25" s="109"/>
      <c r="Q25" s="109"/>
    </row>
    <row r="26" spans="1:17" x14ac:dyDescent="0.15">
      <c r="A26" s="38">
        <f t="shared" si="0"/>
        <v>1672</v>
      </c>
      <c r="B26" s="109"/>
      <c r="C26" s="109"/>
      <c r="D26" s="109"/>
      <c r="E26" s="109"/>
      <c r="F26" s="109"/>
      <c r="G26" s="109"/>
      <c r="H26" s="109"/>
      <c r="I26" s="109"/>
      <c r="J26" s="109"/>
      <c r="N26" s="109"/>
      <c r="O26" s="109"/>
      <c r="P26" s="109"/>
      <c r="Q26" s="109"/>
    </row>
    <row r="27" spans="1:17" x14ac:dyDescent="0.15">
      <c r="A27" s="38">
        <f t="shared" si="0"/>
        <v>1673</v>
      </c>
      <c r="B27" s="109"/>
      <c r="C27" s="109"/>
      <c r="D27" s="109"/>
      <c r="E27" s="109"/>
      <c r="F27" s="109"/>
      <c r="G27" s="109"/>
      <c r="H27" s="109"/>
      <c r="I27" s="109"/>
      <c r="J27" s="109"/>
      <c r="N27" s="109"/>
      <c r="O27" s="109"/>
      <c r="P27" s="109"/>
      <c r="Q27" s="109"/>
    </row>
    <row r="28" spans="1:17" x14ac:dyDescent="0.15">
      <c r="A28" s="38">
        <f t="shared" si="0"/>
        <v>1674</v>
      </c>
      <c r="B28" s="109"/>
      <c r="C28" s="109"/>
      <c r="D28" s="109"/>
      <c r="E28" s="109"/>
      <c r="F28" s="109"/>
      <c r="G28" s="109"/>
      <c r="H28" s="109"/>
      <c r="I28" s="109"/>
      <c r="J28" s="109"/>
      <c r="N28" s="109"/>
      <c r="O28" s="109"/>
      <c r="P28" s="109"/>
      <c r="Q28" s="109"/>
    </row>
    <row r="29" spans="1:17" x14ac:dyDescent="0.15">
      <c r="A29" s="38">
        <f t="shared" si="0"/>
        <v>1675</v>
      </c>
      <c r="B29" s="109"/>
      <c r="C29" s="109"/>
      <c r="D29" s="109"/>
      <c r="E29" s="109"/>
      <c r="F29" s="109"/>
      <c r="G29" s="109"/>
      <c r="H29" s="109"/>
      <c r="I29" s="109"/>
      <c r="J29" s="109"/>
      <c r="N29" s="109"/>
      <c r="O29" s="109"/>
      <c r="P29" s="109"/>
      <c r="Q29" s="109"/>
    </row>
    <row r="30" spans="1:17" x14ac:dyDescent="0.15">
      <c r="A30" s="38">
        <f t="shared" si="0"/>
        <v>1676</v>
      </c>
      <c r="B30" s="109"/>
      <c r="C30" s="109"/>
      <c r="D30" s="109"/>
      <c r="E30" s="109"/>
      <c r="F30" s="109"/>
      <c r="G30" s="109"/>
      <c r="H30" s="109"/>
      <c r="I30" s="109"/>
      <c r="J30" s="109"/>
      <c r="N30" s="109"/>
      <c r="O30" s="109"/>
      <c r="P30" s="109"/>
      <c r="Q30" s="109"/>
    </row>
    <row r="31" spans="1:17" x14ac:dyDescent="0.15">
      <c r="A31" s="38">
        <f t="shared" si="0"/>
        <v>1677</v>
      </c>
      <c r="B31" s="109"/>
      <c r="C31" s="109"/>
      <c r="D31" s="109"/>
      <c r="E31" s="109"/>
      <c r="F31" s="109"/>
      <c r="G31" s="109"/>
      <c r="H31" s="109"/>
      <c r="I31" s="109"/>
      <c r="J31" s="109"/>
      <c r="N31" s="109"/>
      <c r="O31" s="109"/>
      <c r="P31" s="109"/>
      <c r="Q31" s="109"/>
    </row>
    <row r="32" spans="1:17" x14ac:dyDescent="0.15">
      <c r="A32" s="38">
        <f t="shared" si="0"/>
        <v>1678</v>
      </c>
      <c r="B32" s="109">
        <v>20.399999999999999</v>
      </c>
      <c r="C32" s="109"/>
      <c r="D32" s="109"/>
      <c r="E32" s="109"/>
      <c r="F32" s="109"/>
      <c r="G32" s="109"/>
      <c r="H32" s="109"/>
      <c r="I32" s="109"/>
      <c r="J32" s="109"/>
      <c r="N32" s="109"/>
      <c r="O32" s="71">
        <f>B32/27.9</f>
        <v>0.73118279569892475</v>
      </c>
      <c r="P32" s="109"/>
      <c r="Q32" s="109">
        <f t="shared" ref="Q32" si="2">O32*7.84</f>
        <v>5.7324731182795698</v>
      </c>
    </row>
    <row r="33" spans="1:17" x14ac:dyDescent="0.15">
      <c r="A33" s="38">
        <f t="shared" si="0"/>
        <v>1679</v>
      </c>
      <c r="B33" s="109"/>
      <c r="C33" s="109"/>
      <c r="D33" s="109"/>
      <c r="E33" s="109"/>
      <c r="F33" s="109"/>
      <c r="G33" s="109"/>
      <c r="H33" s="109"/>
      <c r="I33" s="109"/>
      <c r="J33" s="109"/>
      <c r="N33" s="109"/>
      <c r="O33" s="109"/>
      <c r="P33" s="109"/>
      <c r="Q33" s="109"/>
    </row>
    <row r="34" spans="1:17" x14ac:dyDescent="0.15">
      <c r="A34" s="38">
        <f t="shared" si="0"/>
        <v>1680</v>
      </c>
      <c r="B34" s="109"/>
      <c r="C34" s="109"/>
      <c r="D34" s="109"/>
      <c r="E34" s="109"/>
      <c r="F34" s="109"/>
      <c r="G34" s="109"/>
      <c r="H34" s="109"/>
      <c r="I34" s="109"/>
      <c r="J34" s="109"/>
      <c r="N34" s="109"/>
      <c r="O34" s="109"/>
      <c r="P34" s="109"/>
      <c r="Q34" s="109"/>
    </row>
    <row r="35" spans="1:17" x14ac:dyDescent="0.15">
      <c r="A35" s="38">
        <f t="shared" si="0"/>
        <v>1681</v>
      </c>
      <c r="B35" s="109">
        <v>20</v>
      </c>
      <c r="C35" s="109"/>
      <c r="D35" s="109"/>
      <c r="E35" s="109"/>
      <c r="F35" s="109"/>
      <c r="G35" s="109"/>
      <c r="H35" s="109"/>
      <c r="I35" s="109"/>
      <c r="J35" s="109"/>
      <c r="N35" s="109"/>
      <c r="O35" s="71">
        <f>B35/27.9</f>
        <v>0.71684587813620071</v>
      </c>
      <c r="P35" s="109"/>
      <c r="Q35" s="109">
        <f>O35*7.69</f>
        <v>5.5125448028673834</v>
      </c>
    </row>
    <row r="36" spans="1:17" x14ac:dyDescent="0.15">
      <c r="A36" s="38">
        <f t="shared" si="0"/>
        <v>1682</v>
      </c>
      <c r="B36" s="109"/>
      <c r="C36" s="109"/>
      <c r="D36" s="109"/>
      <c r="E36" s="109"/>
      <c r="F36" s="109"/>
      <c r="G36" s="109"/>
      <c r="H36" s="109"/>
      <c r="I36" s="109"/>
      <c r="J36" s="109"/>
      <c r="N36" s="109"/>
      <c r="O36" s="109"/>
      <c r="P36" s="109"/>
      <c r="Q36" s="109"/>
    </row>
    <row r="37" spans="1:17" x14ac:dyDescent="0.15">
      <c r="A37" s="38">
        <f t="shared" si="0"/>
        <v>1683</v>
      </c>
      <c r="B37" s="109">
        <v>20</v>
      </c>
      <c r="C37" s="109"/>
      <c r="D37" s="109"/>
      <c r="E37" s="109"/>
      <c r="F37" s="109"/>
      <c r="G37" s="109"/>
      <c r="H37" s="109"/>
      <c r="I37" s="109"/>
      <c r="J37" s="109"/>
      <c r="N37" s="109"/>
      <c r="O37" s="71">
        <f>B37/27.9</f>
        <v>0.71684587813620071</v>
      </c>
      <c r="P37" s="109"/>
      <c r="Q37" s="109">
        <f t="shared" ref="Q37:Q40" si="3">O37*7.69</f>
        <v>5.5125448028673834</v>
      </c>
    </row>
    <row r="38" spans="1:17" x14ac:dyDescent="0.15">
      <c r="A38" s="38">
        <f t="shared" si="0"/>
        <v>1684</v>
      </c>
      <c r="B38" s="109">
        <v>20</v>
      </c>
      <c r="C38" s="109"/>
      <c r="D38" s="109"/>
      <c r="E38" s="109"/>
      <c r="F38" s="109"/>
      <c r="G38" s="109"/>
      <c r="H38" s="109"/>
      <c r="I38" s="109"/>
      <c r="J38" s="109"/>
      <c r="N38" s="109"/>
      <c r="O38" s="71">
        <f>B38/27.9</f>
        <v>0.71684587813620071</v>
      </c>
      <c r="P38" s="109"/>
      <c r="Q38" s="109">
        <f t="shared" si="3"/>
        <v>5.5125448028673834</v>
      </c>
    </row>
    <row r="39" spans="1:17" x14ac:dyDescent="0.15">
      <c r="A39" s="38">
        <f t="shared" si="0"/>
        <v>1685</v>
      </c>
      <c r="B39" s="109">
        <v>38</v>
      </c>
      <c r="C39" s="109"/>
      <c r="D39" s="109"/>
      <c r="E39" s="109"/>
      <c r="F39" s="109"/>
      <c r="G39" s="109"/>
      <c r="H39" s="109"/>
      <c r="I39" s="109"/>
      <c r="J39" s="109"/>
      <c r="N39" s="109"/>
      <c r="O39" s="71">
        <f>B39/27.9</f>
        <v>1.3620071684587813</v>
      </c>
      <c r="P39" s="109"/>
      <c r="Q39" s="109">
        <f t="shared" si="3"/>
        <v>10.473835125448028</v>
      </c>
    </row>
    <row r="40" spans="1:17" x14ac:dyDescent="0.15">
      <c r="A40" s="38">
        <f t="shared" si="0"/>
        <v>1686</v>
      </c>
      <c r="B40" s="109">
        <v>20.399999999999999</v>
      </c>
      <c r="C40" s="109"/>
      <c r="D40" s="109"/>
      <c r="E40" s="109"/>
      <c r="F40" s="109"/>
      <c r="G40" s="109"/>
      <c r="H40" s="109"/>
      <c r="I40" s="109"/>
      <c r="J40" s="109"/>
      <c r="N40" s="109"/>
      <c r="O40" s="71">
        <f>B40/27.9</f>
        <v>0.73118279569892475</v>
      </c>
      <c r="P40" s="109"/>
      <c r="Q40" s="109">
        <f t="shared" si="3"/>
        <v>5.6227956989247314</v>
      </c>
    </row>
    <row r="41" spans="1:17" x14ac:dyDescent="0.15">
      <c r="A41" s="38">
        <f t="shared" si="0"/>
        <v>1687</v>
      </c>
      <c r="B41" s="109"/>
      <c r="C41" s="109"/>
      <c r="D41" s="109"/>
      <c r="E41" s="109"/>
      <c r="F41" s="109"/>
      <c r="G41" s="109"/>
      <c r="H41" s="109"/>
      <c r="I41" s="109"/>
      <c r="J41" s="109"/>
      <c r="N41" s="109"/>
      <c r="O41" s="109"/>
      <c r="P41" s="109"/>
      <c r="Q41" s="109"/>
    </row>
    <row r="42" spans="1:17" x14ac:dyDescent="0.15">
      <c r="A42" s="38">
        <f t="shared" si="0"/>
        <v>1688</v>
      </c>
      <c r="B42" s="109"/>
      <c r="C42" s="109"/>
      <c r="D42" s="109"/>
      <c r="E42" s="109"/>
      <c r="F42" s="109"/>
      <c r="G42" s="109"/>
      <c r="H42" s="109"/>
      <c r="I42" s="109"/>
      <c r="J42" s="109"/>
      <c r="N42" s="109"/>
      <c r="O42" s="109"/>
      <c r="P42" s="109"/>
      <c r="Q42" s="109"/>
    </row>
    <row r="43" spans="1:17" x14ac:dyDescent="0.15">
      <c r="A43" s="38">
        <f t="shared" si="0"/>
        <v>1689</v>
      </c>
      <c r="B43" s="109"/>
      <c r="C43" s="109"/>
      <c r="D43" s="109"/>
      <c r="E43" s="109"/>
      <c r="F43" s="109"/>
      <c r="G43" s="109"/>
      <c r="H43" s="109"/>
      <c r="I43" s="109"/>
      <c r="J43" s="109"/>
      <c r="N43" s="109"/>
      <c r="O43" s="109"/>
      <c r="P43" s="109"/>
      <c r="Q43" s="109"/>
    </row>
    <row r="44" spans="1:17" x14ac:dyDescent="0.15">
      <c r="A44" s="38">
        <f t="shared" si="0"/>
        <v>1690</v>
      </c>
      <c r="B44" s="109"/>
      <c r="C44" s="109"/>
      <c r="D44" s="109"/>
      <c r="E44" s="109"/>
      <c r="F44" s="109"/>
      <c r="G44" s="109"/>
      <c r="H44" s="109"/>
      <c r="I44" s="109"/>
      <c r="J44" s="109"/>
      <c r="N44" s="109"/>
      <c r="O44" s="109"/>
      <c r="P44" s="109"/>
      <c r="Q44" s="109"/>
    </row>
    <row r="45" spans="1:17" x14ac:dyDescent="0.15">
      <c r="A45" s="38">
        <f t="shared" si="0"/>
        <v>1691</v>
      </c>
      <c r="B45" s="109"/>
      <c r="C45" s="109"/>
      <c r="D45" s="109"/>
      <c r="E45" s="109"/>
      <c r="F45" s="109"/>
      <c r="G45" s="109"/>
      <c r="H45" s="109"/>
      <c r="I45" s="109"/>
      <c r="J45" s="109"/>
      <c r="N45" s="109"/>
      <c r="O45" s="109"/>
      <c r="P45" s="109"/>
      <c r="Q45" s="109"/>
    </row>
    <row r="46" spans="1:17" x14ac:dyDescent="0.15">
      <c r="A46" s="38">
        <f t="shared" si="0"/>
        <v>1692</v>
      </c>
      <c r="B46" s="109"/>
      <c r="C46" s="109"/>
      <c r="D46" s="109"/>
      <c r="E46" s="109"/>
      <c r="F46" s="109"/>
      <c r="G46" s="109"/>
      <c r="H46" s="109"/>
      <c r="I46" s="109"/>
      <c r="J46" s="109"/>
      <c r="N46" s="109"/>
      <c r="O46" s="109"/>
      <c r="P46" s="109"/>
      <c r="Q46" s="109"/>
    </row>
    <row r="47" spans="1:17" x14ac:dyDescent="0.15">
      <c r="A47" s="38">
        <f t="shared" si="0"/>
        <v>1693</v>
      </c>
      <c r="B47" s="109"/>
      <c r="C47" s="109"/>
      <c r="D47" s="109"/>
      <c r="E47" s="109"/>
      <c r="F47" s="109"/>
      <c r="G47" s="109"/>
      <c r="H47" s="109"/>
      <c r="I47" s="109"/>
      <c r="J47" s="109"/>
      <c r="N47" s="109"/>
      <c r="O47" s="109"/>
      <c r="P47" s="109"/>
      <c r="Q47" s="109"/>
    </row>
    <row r="48" spans="1:17" x14ac:dyDescent="0.15">
      <c r="A48" s="38">
        <f t="shared" si="0"/>
        <v>1694</v>
      </c>
      <c r="B48" s="109"/>
      <c r="C48" s="109"/>
      <c r="D48" s="109"/>
      <c r="E48" s="109"/>
      <c r="F48" s="109"/>
      <c r="G48" s="109"/>
      <c r="H48" s="109"/>
      <c r="I48" s="109"/>
      <c r="J48" s="109"/>
      <c r="N48" s="109"/>
      <c r="O48" s="109"/>
      <c r="P48" s="109"/>
      <c r="Q48" s="109"/>
    </row>
    <row r="49" spans="1:17" x14ac:dyDescent="0.15">
      <c r="A49" s="38">
        <f t="shared" si="0"/>
        <v>1695</v>
      </c>
      <c r="B49" s="109"/>
      <c r="C49" s="109"/>
      <c r="D49" s="109"/>
      <c r="E49" s="109"/>
      <c r="F49" s="109"/>
      <c r="G49" s="109"/>
      <c r="H49" s="109"/>
      <c r="I49" s="109"/>
      <c r="J49" s="109"/>
      <c r="N49" s="109"/>
      <c r="O49" s="109"/>
      <c r="P49" s="109"/>
      <c r="Q49" s="109"/>
    </row>
    <row r="50" spans="1:17" x14ac:dyDescent="0.15">
      <c r="A50" s="38">
        <f t="shared" si="0"/>
        <v>1696</v>
      </c>
      <c r="B50" s="109"/>
      <c r="C50" s="109"/>
      <c r="D50" s="109"/>
      <c r="E50" s="109"/>
      <c r="F50" s="109"/>
      <c r="G50" s="109"/>
      <c r="H50" s="109"/>
      <c r="I50" s="109"/>
      <c r="J50" s="109"/>
      <c r="N50" s="109"/>
      <c r="O50" s="109"/>
      <c r="P50" s="109"/>
      <c r="Q50" s="109"/>
    </row>
    <row r="51" spans="1:17" x14ac:dyDescent="0.15">
      <c r="A51" s="38">
        <f t="shared" si="0"/>
        <v>1697</v>
      </c>
      <c r="B51" s="109">
        <v>25</v>
      </c>
      <c r="C51" s="109"/>
      <c r="D51" s="109"/>
      <c r="E51" s="109"/>
      <c r="F51" s="109"/>
      <c r="G51" s="109"/>
      <c r="H51" s="109"/>
      <c r="I51" s="109"/>
      <c r="J51" s="109"/>
      <c r="N51" s="109"/>
      <c r="O51" s="71">
        <f>B51/27.9</f>
        <v>0.89605734767025091</v>
      </c>
      <c r="P51" s="109"/>
      <c r="Q51" s="109">
        <f>O51*7.69</f>
        <v>6.8906810035842296</v>
      </c>
    </row>
    <row r="52" spans="1:17" x14ac:dyDescent="0.15">
      <c r="A52" s="38">
        <f t="shared" si="0"/>
        <v>1698</v>
      </c>
      <c r="B52" s="109"/>
      <c r="C52" s="109"/>
      <c r="D52" s="109"/>
      <c r="E52" s="109"/>
      <c r="F52" s="109"/>
      <c r="G52" s="109"/>
      <c r="H52" s="109"/>
      <c r="I52" s="109"/>
      <c r="J52" s="109"/>
      <c r="N52" s="109"/>
      <c r="O52" s="109"/>
      <c r="P52" s="109"/>
      <c r="Q52" s="109"/>
    </row>
    <row r="53" spans="1:17" x14ac:dyDescent="0.15">
      <c r="A53" s="38">
        <f>A54-1</f>
        <v>1699</v>
      </c>
      <c r="B53" s="109"/>
      <c r="C53" s="109"/>
      <c r="D53" s="109"/>
      <c r="E53" s="109"/>
      <c r="F53" s="109"/>
      <c r="G53" s="109"/>
      <c r="H53" s="109"/>
      <c r="I53" s="109"/>
      <c r="J53" s="109"/>
      <c r="N53" s="109"/>
      <c r="O53" s="109"/>
      <c r="P53" s="109"/>
      <c r="Q53" s="109"/>
    </row>
    <row r="54" spans="1:17" x14ac:dyDescent="0.15">
      <c r="A54" s="38">
        <v>1700</v>
      </c>
      <c r="B54" s="109"/>
      <c r="C54" s="109">
        <v>0.39999999999999997</v>
      </c>
      <c r="D54" s="109"/>
      <c r="E54" s="109"/>
      <c r="F54" s="109"/>
      <c r="G54" s="109"/>
      <c r="H54" s="109"/>
      <c r="I54" s="109"/>
      <c r="J54" s="109"/>
      <c r="N54" s="109"/>
      <c r="O54" s="109">
        <f>C54/0.494</f>
        <v>0.80971659919028338</v>
      </c>
      <c r="P54" s="109"/>
      <c r="Q54" s="109">
        <f>O54*7.69</f>
        <v>6.2267206477732797</v>
      </c>
    </row>
    <row r="55" spans="1:17" x14ac:dyDescent="0.15">
      <c r="A55" s="38">
        <v>1701</v>
      </c>
      <c r="B55" s="109"/>
      <c r="C55" s="109"/>
      <c r="D55" s="109"/>
      <c r="E55" s="109"/>
      <c r="F55" s="109"/>
      <c r="G55" s="109"/>
      <c r="H55" s="109"/>
      <c r="I55" s="109"/>
      <c r="J55" s="109"/>
      <c r="N55" s="109"/>
      <c r="O55" s="109"/>
      <c r="P55" s="109"/>
      <c r="Q55" s="109"/>
    </row>
    <row r="56" spans="1:17" x14ac:dyDescent="0.15">
      <c r="A56" s="38">
        <v>1702</v>
      </c>
      <c r="B56" s="109"/>
      <c r="C56" s="109">
        <v>0.4</v>
      </c>
      <c r="D56" s="109"/>
      <c r="E56" s="109"/>
      <c r="F56" s="109"/>
      <c r="G56" s="109"/>
      <c r="H56" s="109"/>
      <c r="I56" s="109"/>
      <c r="J56" s="109"/>
      <c r="N56" s="109"/>
      <c r="O56" s="109">
        <f>C56/0.494</f>
        <v>0.80971659919028349</v>
      </c>
      <c r="P56" s="109"/>
      <c r="Q56" s="109">
        <f>O56*7.69</f>
        <v>6.2267206477732806</v>
      </c>
    </row>
    <row r="57" spans="1:17" x14ac:dyDescent="0.15">
      <c r="A57" s="38">
        <v>1703</v>
      </c>
      <c r="B57" s="109"/>
      <c r="C57" s="109"/>
      <c r="D57" s="109"/>
      <c r="E57" s="109"/>
      <c r="F57" s="109"/>
      <c r="G57" s="109"/>
      <c r="H57" s="109"/>
      <c r="I57" s="109"/>
      <c r="J57" s="109"/>
      <c r="N57" s="109"/>
      <c r="O57" s="109"/>
      <c r="P57" s="109"/>
      <c r="Q57" s="109"/>
    </row>
    <row r="58" spans="1:17" x14ac:dyDescent="0.15">
      <c r="A58" s="38">
        <v>1704</v>
      </c>
      <c r="B58" s="109"/>
      <c r="C58" s="109"/>
      <c r="D58" s="109"/>
      <c r="E58" s="109"/>
      <c r="F58" s="109"/>
      <c r="G58" s="109"/>
      <c r="H58" s="109"/>
      <c r="I58" s="109"/>
      <c r="J58" s="109"/>
      <c r="N58" s="109"/>
      <c r="O58" s="109"/>
      <c r="P58" s="109"/>
      <c r="Q58" s="109"/>
    </row>
    <row r="59" spans="1:17" x14ac:dyDescent="0.15">
      <c r="A59" s="38">
        <v>1705</v>
      </c>
      <c r="B59" s="109"/>
      <c r="C59" s="109"/>
      <c r="D59" s="109"/>
      <c r="E59" s="109"/>
      <c r="F59" s="109"/>
      <c r="G59" s="109"/>
      <c r="H59" s="109"/>
      <c r="I59" s="109"/>
      <c r="J59" s="109"/>
      <c r="N59" s="109"/>
      <c r="O59" s="109"/>
      <c r="P59" s="109"/>
      <c r="Q59" s="109"/>
    </row>
    <row r="60" spans="1:17" x14ac:dyDescent="0.15">
      <c r="A60" s="38">
        <v>1706</v>
      </c>
      <c r="B60" s="109"/>
      <c r="C60" s="109"/>
      <c r="D60" s="109"/>
      <c r="E60" s="109"/>
      <c r="F60" s="109"/>
      <c r="G60" s="109"/>
      <c r="H60" s="109"/>
      <c r="I60" s="109"/>
      <c r="J60" s="109"/>
      <c r="N60" s="109"/>
      <c r="O60" s="109"/>
      <c r="P60" s="109"/>
      <c r="Q60" s="109"/>
    </row>
    <row r="61" spans="1:17" x14ac:dyDescent="0.15">
      <c r="A61" s="38">
        <v>1707</v>
      </c>
      <c r="B61" s="109"/>
      <c r="C61" s="109"/>
      <c r="D61" s="109">
        <v>8</v>
      </c>
      <c r="E61" s="109"/>
      <c r="F61" s="109"/>
      <c r="G61" s="109"/>
      <c r="H61" s="109"/>
      <c r="I61" s="109"/>
      <c r="J61" s="109"/>
      <c r="N61" s="109"/>
      <c r="O61" s="71">
        <f>D61/27.9</f>
        <v>0.28673835125448033</v>
      </c>
      <c r="P61" s="109"/>
      <c r="Q61" s="109">
        <f>O61*7.69</f>
        <v>2.2050179211469541</v>
      </c>
    </row>
    <row r="62" spans="1:17" x14ac:dyDescent="0.15">
      <c r="A62" s="38">
        <v>1708</v>
      </c>
      <c r="B62" s="109"/>
      <c r="C62" s="109"/>
      <c r="D62" s="109"/>
      <c r="E62" s="109">
        <v>0.2</v>
      </c>
      <c r="F62" s="109"/>
      <c r="G62" s="109"/>
      <c r="H62" s="109"/>
      <c r="I62" s="109"/>
      <c r="J62" s="109"/>
      <c r="N62" s="109"/>
      <c r="O62" s="109">
        <f>E62/0.494</f>
        <v>0.40485829959514175</v>
      </c>
      <c r="P62" s="109"/>
      <c r="Q62" s="109">
        <f>O62*7.69</f>
        <v>3.1133603238866403</v>
      </c>
    </row>
    <row r="63" spans="1:17" x14ac:dyDescent="0.15">
      <c r="A63" s="38">
        <v>1709</v>
      </c>
      <c r="B63" s="109"/>
      <c r="C63" s="109"/>
      <c r="D63" s="109"/>
      <c r="E63" s="109"/>
      <c r="F63" s="109"/>
      <c r="G63" s="109"/>
      <c r="H63" s="109"/>
      <c r="I63" s="109"/>
      <c r="J63" s="109"/>
      <c r="N63" s="109"/>
      <c r="O63" s="109"/>
      <c r="P63" s="109"/>
      <c r="Q63" s="109"/>
    </row>
    <row r="64" spans="1:17" x14ac:dyDescent="0.15">
      <c r="A64" s="38">
        <v>1710</v>
      </c>
      <c r="B64" s="109"/>
      <c r="C64" s="109"/>
      <c r="D64" s="109"/>
      <c r="E64" s="109"/>
      <c r="F64" s="109"/>
      <c r="G64" s="109"/>
      <c r="H64" s="109"/>
      <c r="I64" s="109"/>
      <c r="J64" s="109"/>
      <c r="N64" s="109"/>
      <c r="O64" s="109"/>
      <c r="P64" s="109"/>
      <c r="Q64" s="109"/>
    </row>
    <row r="65" spans="1:17" x14ac:dyDescent="0.15">
      <c r="A65" s="38">
        <v>1711</v>
      </c>
      <c r="B65" s="109"/>
      <c r="C65" s="109"/>
      <c r="D65" s="109"/>
      <c r="E65" s="109"/>
      <c r="F65" s="109"/>
      <c r="G65" s="109"/>
      <c r="H65" s="109"/>
      <c r="I65" s="109"/>
      <c r="J65" s="109"/>
      <c r="N65" s="109"/>
      <c r="O65" s="109"/>
      <c r="P65" s="109"/>
      <c r="Q65" s="109"/>
    </row>
    <row r="66" spans="1:17" x14ac:dyDescent="0.15">
      <c r="A66" s="38">
        <v>1712</v>
      </c>
      <c r="B66" s="109"/>
      <c r="C66" s="109"/>
      <c r="D66" s="109"/>
      <c r="E66" s="109"/>
      <c r="F66" s="109"/>
      <c r="G66" s="109"/>
      <c r="H66" s="109"/>
      <c r="I66" s="109"/>
      <c r="J66" s="109"/>
      <c r="N66" s="109"/>
      <c r="O66" s="109"/>
      <c r="P66" s="109"/>
      <c r="Q66" s="109"/>
    </row>
    <row r="67" spans="1:17" x14ac:dyDescent="0.15">
      <c r="A67" s="38">
        <v>1713</v>
      </c>
      <c r="B67" s="109"/>
      <c r="C67" s="109"/>
      <c r="D67" s="109"/>
      <c r="E67" s="109"/>
      <c r="F67" s="109"/>
      <c r="G67" s="109"/>
      <c r="H67" s="109"/>
      <c r="I67" s="109"/>
      <c r="J67" s="109"/>
      <c r="N67" s="109"/>
      <c r="O67" s="109"/>
      <c r="P67" s="109"/>
      <c r="Q67" s="109"/>
    </row>
    <row r="68" spans="1:17" x14ac:dyDescent="0.15">
      <c r="A68" s="38">
        <v>1714</v>
      </c>
      <c r="B68" s="109"/>
      <c r="C68" s="109"/>
      <c r="D68" s="109"/>
      <c r="E68" s="109">
        <v>0.36</v>
      </c>
      <c r="F68" s="109"/>
      <c r="G68" s="109"/>
      <c r="H68" s="109"/>
      <c r="I68" s="109"/>
      <c r="J68" s="109"/>
      <c r="N68" s="109"/>
      <c r="O68" s="109">
        <f>E68/0.494</f>
        <v>0.72874493927125505</v>
      </c>
      <c r="P68" s="109"/>
      <c r="Q68" s="109">
        <f>O68*7.69</f>
        <v>5.6040485829959517</v>
      </c>
    </row>
    <row r="69" spans="1:17" x14ac:dyDescent="0.15">
      <c r="A69" s="38">
        <v>1715</v>
      </c>
      <c r="B69" s="109"/>
      <c r="C69" s="109"/>
      <c r="D69" s="109"/>
      <c r="E69" s="109"/>
      <c r="F69" s="109"/>
      <c r="G69" s="109"/>
      <c r="H69" s="109"/>
      <c r="I69" s="109"/>
      <c r="J69" s="109"/>
      <c r="N69" s="109"/>
      <c r="O69" s="109"/>
      <c r="P69" s="109"/>
      <c r="Q69" s="109"/>
    </row>
    <row r="70" spans="1:17" x14ac:dyDescent="0.15">
      <c r="A70" s="38">
        <v>1716</v>
      </c>
      <c r="B70" s="109"/>
      <c r="C70" s="109"/>
      <c r="D70" s="109"/>
      <c r="E70" s="109">
        <v>0.5</v>
      </c>
      <c r="F70" s="109"/>
      <c r="G70" s="109"/>
      <c r="H70" s="109"/>
      <c r="I70" s="109"/>
      <c r="J70" s="109"/>
      <c r="N70" s="109"/>
      <c r="O70" s="109">
        <f>E70/0.494</f>
        <v>1.0121457489878543</v>
      </c>
      <c r="P70" s="109"/>
      <c r="Q70" s="109">
        <f>O70*7.69</f>
        <v>7.7834008097165999</v>
      </c>
    </row>
    <row r="71" spans="1:17" x14ac:dyDescent="0.15">
      <c r="A71" s="38">
        <v>1717</v>
      </c>
      <c r="B71" s="109"/>
      <c r="C71" s="109"/>
      <c r="D71" s="109"/>
      <c r="E71" s="109"/>
      <c r="F71" s="109"/>
      <c r="G71" s="109"/>
      <c r="H71" s="109"/>
      <c r="I71" s="109"/>
      <c r="J71" s="109"/>
      <c r="N71" s="109"/>
      <c r="O71" s="109"/>
      <c r="P71" s="109"/>
      <c r="Q71" s="109"/>
    </row>
    <row r="72" spans="1:17" x14ac:dyDescent="0.15">
      <c r="A72" s="38">
        <v>1718</v>
      </c>
      <c r="B72" s="109"/>
      <c r="C72" s="109"/>
      <c r="D72" s="109"/>
      <c r="E72" s="109">
        <v>0.375</v>
      </c>
      <c r="F72" s="109"/>
      <c r="G72" s="109"/>
      <c r="H72" s="109"/>
      <c r="I72" s="109"/>
      <c r="J72" s="109"/>
      <c r="N72" s="109"/>
      <c r="O72" s="109">
        <f>E72/0.494</f>
        <v>0.75910931174089069</v>
      </c>
      <c r="P72" s="109"/>
      <c r="Q72" s="109">
        <f>O72*7.69</f>
        <v>5.8375506072874499</v>
      </c>
    </row>
    <row r="73" spans="1:17" x14ac:dyDescent="0.15">
      <c r="A73" s="38">
        <v>1719</v>
      </c>
      <c r="B73" s="109"/>
      <c r="C73" s="109"/>
      <c r="D73" s="109"/>
      <c r="E73" s="109"/>
      <c r="F73" s="109"/>
      <c r="G73" s="109"/>
      <c r="H73" s="109"/>
      <c r="I73" s="109"/>
      <c r="J73" s="109"/>
      <c r="N73" s="109"/>
      <c r="O73" s="109"/>
      <c r="P73" s="109"/>
      <c r="Q73" s="109"/>
    </row>
    <row r="74" spans="1:17" x14ac:dyDescent="0.15">
      <c r="A74" s="38">
        <v>1720</v>
      </c>
      <c r="B74" s="109"/>
      <c r="C74" s="109"/>
      <c r="D74" s="109"/>
      <c r="E74" s="109"/>
      <c r="F74" s="109"/>
      <c r="G74" s="109"/>
      <c r="H74" s="109"/>
      <c r="I74" s="109"/>
      <c r="J74" s="109"/>
      <c r="N74" s="109"/>
      <c r="O74" s="109"/>
      <c r="P74" s="109"/>
      <c r="Q74" s="109"/>
    </row>
    <row r="75" spans="1:17" x14ac:dyDescent="0.15">
      <c r="A75" s="38">
        <v>1721</v>
      </c>
      <c r="B75" s="109"/>
      <c r="C75" s="109"/>
      <c r="D75" s="109"/>
      <c r="E75" s="109"/>
      <c r="F75" s="109"/>
      <c r="G75" s="109"/>
      <c r="H75" s="109"/>
      <c r="I75" s="109"/>
      <c r="J75" s="109"/>
      <c r="N75" s="109"/>
      <c r="O75" s="109"/>
      <c r="P75" s="109"/>
      <c r="Q75" s="109"/>
    </row>
    <row r="76" spans="1:17" x14ac:dyDescent="0.15">
      <c r="A76" s="38">
        <v>1722</v>
      </c>
      <c r="B76" s="109"/>
      <c r="C76" s="109"/>
      <c r="D76" s="109"/>
      <c r="E76" s="109"/>
      <c r="F76" s="109"/>
      <c r="G76" s="109"/>
      <c r="H76" s="109"/>
      <c r="I76" s="109"/>
      <c r="J76" s="109"/>
      <c r="N76" s="109"/>
      <c r="O76" s="109"/>
      <c r="P76" s="109"/>
      <c r="Q76" s="109"/>
    </row>
    <row r="77" spans="1:17" x14ac:dyDescent="0.15">
      <c r="A77" s="38">
        <v>1723</v>
      </c>
      <c r="B77" s="109"/>
      <c r="C77" s="109"/>
      <c r="D77" s="109"/>
      <c r="E77" s="109"/>
      <c r="F77" s="109"/>
      <c r="G77" s="109"/>
      <c r="H77" s="109"/>
      <c r="I77" s="109"/>
      <c r="J77" s="109"/>
      <c r="N77" s="109"/>
      <c r="O77" s="109"/>
      <c r="P77" s="109"/>
      <c r="Q77" s="109"/>
    </row>
    <row r="78" spans="1:17" x14ac:dyDescent="0.15">
      <c r="A78" s="38">
        <v>1724</v>
      </c>
      <c r="B78" s="109"/>
      <c r="C78" s="109"/>
      <c r="D78" s="109"/>
      <c r="E78" s="109"/>
      <c r="F78" s="109"/>
      <c r="G78" s="109"/>
      <c r="H78" s="109"/>
      <c r="I78" s="109"/>
      <c r="J78" s="109"/>
      <c r="N78" s="109"/>
      <c r="O78" s="109"/>
      <c r="P78" s="109"/>
      <c r="Q78" s="109"/>
    </row>
    <row r="79" spans="1:17" x14ac:dyDescent="0.15">
      <c r="A79" s="38">
        <v>1725</v>
      </c>
      <c r="B79" s="109"/>
      <c r="C79" s="109"/>
      <c r="D79" s="109">
        <v>21</v>
      </c>
      <c r="E79" s="109"/>
      <c r="F79" s="109"/>
      <c r="G79" s="109"/>
      <c r="H79" s="109"/>
      <c r="I79" s="109"/>
      <c r="J79" s="109"/>
      <c r="N79" s="109"/>
      <c r="O79" s="71">
        <f>D79/27.9</f>
        <v>0.75268817204301075</v>
      </c>
      <c r="P79" s="109"/>
      <c r="Q79" s="109">
        <f>O79*7.69</f>
        <v>5.7881720430107526</v>
      </c>
    </row>
    <row r="80" spans="1:17" x14ac:dyDescent="0.15">
      <c r="A80" s="38">
        <v>1726</v>
      </c>
      <c r="B80" s="109"/>
      <c r="C80" s="109"/>
      <c r="D80" s="109"/>
      <c r="E80" s="109"/>
      <c r="F80" s="109"/>
      <c r="G80" s="109"/>
      <c r="H80" s="109"/>
      <c r="I80" s="109"/>
      <c r="J80" s="109"/>
      <c r="N80" s="109"/>
      <c r="O80" s="109"/>
      <c r="P80" s="109"/>
      <c r="Q80" s="109"/>
    </row>
    <row r="81" spans="1:1" x14ac:dyDescent="0.15">
      <c r="A81" s="38">
        <v>1727</v>
      </c>
    </row>
    <row r="82" spans="1:1" x14ac:dyDescent="0.15">
      <c r="A82" s="38">
        <v>1728</v>
      </c>
    </row>
    <row r="83" spans="1:1" x14ac:dyDescent="0.15">
      <c r="A83" s="38">
        <v>1729</v>
      </c>
    </row>
    <row r="84" spans="1:1" x14ac:dyDescent="0.15">
      <c r="A84" s="38">
        <v>1730</v>
      </c>
    </row>
    <row r="85" spans="1:1" x14ac:dyDescent="0.15">
      <c r="A85" s="38">
        <v>1731</v>
      </c>
    </row>
    <row r="86" spans="1:1" x14ac:dyDescent="0.15">
      <c r="A86" s="38">
        <v>1732</v>
      </c>
    </row>
    <row r="87" spans="1:1" x14ac:dyDescent="0.15">
      <c r="A87" s="38">
        <v>1733</v>
      </c>
    </row>
    <row r="88" spans="1:1" x14ac:dyDescent="0.15">
      <c r="A88" s="38">
        <v>1734</v>
      </c>
    </row>
    <row r="89" spans="1:1" x14ac:dyDescent="0.15">
      <c r="A89" s="38">
        <v>1735</v>
      </c>
    </row>
    <row r="90" spans="1:1" x14ac:dyDescent="0.15">
      <c r="A90" s="38">
        <v>1736</v>
      </c>
    </row>
    <row r="91" spans="1:1" x14ac:dyDescent="0.15">
      <c r="A91" s="38">
        <v>1737</v>
      </c>
    </row>
    <row r="92" spans="1:1" x14ac:dyDescent="0.15">
      <c r="A92" s="38">
        <v>1738</v>
      </c>
    </row>
    <row r="93" spans="1:1" x14ac:dyDescent="0.15">
      <c r="A93" s="38">
        <v>1739</v>
      </c>
    </row>
    <row r="94" spans="1:1" x14ac:dyDescent="0.15">
      <c r="A94" s="38">
        <v>1740</v>
      </c>
    </row>
    <row r="95" spans="1:1" x14ac:dyDescent="0.15">
      <c r="A95" s="38">
        <v>1741</v>
      </c>
    </row>
    <row r="96" spans="1:1" x14ac:dyDescent="0.15">
      <c r="A96" s="38">
        <v>1742</v>
      </c>
    </row>
    <row r="97" spans="1:17" x14ac:dyDescent="0.15">
      <c r="A97" s="38">
        <v>1743</v>
      </c>
      <c r="B97" s="109"/>
      <c r="C97" s="109"/>
      <c r="D97" s="109"/>
      <c r="E97" s="109"/>
      <c r="F97" s="109"/>
      <c r="G97" s="109"/>
      <c r="H97" s="109"/>
      <c r="I97" s="109"/>
      <c r="J97" s="109"/>
      <c r="N97" s="109"/>
      <c r="O97" s="109"/>
      <c r="P97" s="109"/>
      <c r="Q97" s="109"/>
    </row>
    <row r="98" spans="1:17" x14ac:dyDescent="0.15">
      <c r="A98" s="38">
        <v>1744</v>
      </c>
      <c r="B98" s="109"/>
      <c r="C98" s="109"/>
      <c r="D98" s="109"/>
      <c r="E98" s="109"/>
      <c r="F98" s="109"/>
      <c r="G98" s="109"/>
      <c r="H98" s="109"/>
      <c r="I98" s="109"/>
      <c r="J98" s="109"/>
      <c r="N98" s="109"/>
      <c r="O98" s="109"/>
      <c r="P98" s="109"/>
      <c r="Q98" s="109"/>
    </row>
    <row r="99" spans="1:17" x14ac:dyDescent="0.15">
      <c r="A99" s="38">
        <v>1745</v>
      </c>
      <c r="B99" s="109"/>
      <c r="C99" s="109"/>
      <c r="D99" s="109"/>
      <c r="E99" s="109"/>
      <c r="F99" s="109"/>
      <c r="G99" s="109"/>
      <c r="H99" s="109"/>
      <c r="I99" s="109"/>
      <c r="J99" s="109"/>
      <c r="N99" s="109"/>
      <c r="O99" s="109"/>
      <c r="P99" s="109"/>
      <c r="Q99" s="109"/>
    </row>
    <row r="100" spans="1:17" x14ac:dyDescent="0.15">
      <c r="A100" s="38">
        <v>1746</v>
      </c>
      <c r="B100" s="109"/>
      <c r="C100" s="109"/>
      <c r="D100" s="109"/>
      <c r="E100" s="109"/>
      <c r="F100" s="109"/>
      <c r="G100" s="109"/>
      <c r="H100" s="109"/>
      <c r="I100" s="109"/>
      <c r="J100" s="109"/>
      <c r="N100" s="109"/>
      <c r="O100" s="109"/>
      <c r="P100" s="109"/>
      <c r="Q100" s="109"/>
    </row>
    <row r="101" spans="1:17" x14ac:dyDescent="0.15">
      <c r="A101" s="38">
        <v>1747</v>
      </c>
      <c r="B101" s="109"/>
      <c r="C101" s="109"/>
      <c r="D101" s="109"/>
      <c r="E101" s="109"/>
      <c r="F101" s="109">
        <v>0.24687543014452856</v>
      </c>
      <c r="G101" s="109">
        <v>0.45054714384033034</v>
      </c>
      <c r="H101" s="109"/>
      <c r="I101" s="109"/>
      <c r="J101" s="109"/>
      <c r="N101" s="109"/>
      <c r="O101" s="109">
        <f>AVERAGE(G101)/0.494</f>
        <v>0.91203875271321933</v>
      </c>
      <c r="P101" s="109"/>
      <c r="Q101" s="109">
        <f t="shared" ref="Q101:Q103" si="4">O101*8.04</f>
        <v>7.3327915718142824</v>
      </c>
    </row>
    <row r="102" spans="1:17" x14ac:dyDescent="0.15">
      <c r="A102" s="38">
        <v>1748</v>
      </c>
      <c r="B102" s="109"/>
      <c r="C102" s="109"/>
      <c r="D102" s="109"/>
      <c r="E102" s="109"/>
      <c r="F102" s="109">
        <v>0.26906249999999998</v>
      </c>
      <c r="G102" s="109">
        <v>0.43186874999999997</v>
      </c>
      <c r="H102" s="109"/>
      <c r="I102" s="109"/>
      <c r="J102" s="109"/>
      <c r="N102" s="109"/>
      <c r="O102" s="109">
        <f t="shared" ref="O102:O103" si="5">AVERAGE(G102)/0.494</f>
        <v>0.87422823886639667</v>
      </c>
      <c r="P102" s="109"/>
      <c r="Q102" s="109">
        <f t="shared" si="4"/>
        <v>7.0287950404858286</v>
      </c>
    </row>
    <row r="103" spans="1:17" x14ac:dyDescent="0.15">
      <c r="A103" s="38">
        <v>1749</v>
      </c>
      <c r="B103" s="109"/>
      <c r="C103" s="109"/>
      <c r="D103" s="109"/>
      <c r="E103" s="109"/>
      <c r="F103" s="109">
        <v>0.27187341772151902</v>
      </c>
      <c r="G103" s="109">
        <v>0.36482278481012659</v>
      </c>
      <c r="H103" s="109"/>
      <c r="I103" s="109"/>
      <c r="J103" s="109"/>
      <c r="N103" s="109"/>
      <c r="O103" s="109">
        <f t="shared" si="5"/>
        <v>0.73850766155896075</v>
      </c>
      <c r="P103" s="109"/>
      <c r="Q103" s="109">
        <f t="shared" si="4"/>
        <v>5.9376015989340436</v>
      </c>
    </row>
    <row r="104" spans="1:17" x14ac:dyDescent="0.15">
      <c r="A104" s="38">
        <v>1750</v>
      </c>
      <c r="B104" s="109"/>
      <c r="C104" s="109"/>
      <c r="D104" s="109"/>
      <c r="E104" s="109"/>
      <c r="F104" s="109">
        <v>1.194375</v>
      </c>
      <c r="G104" s="109">
        <v>1.3009999999999999</v>
      </c>
      <c r="H104" s="109"/>
      <c r="I104" s="109"/>
      <c r="J104" s="109"/>
      <c r="N104" s="109"/>
      <c r="O104" s="109"/>
      <c r="P104" s="109"/>
      <c r="Q104" s="109"/>
    </row>
    <row r="105" spans="1:17" x14ac:dyDescent="0.15">
      <c r="A105" s="38">
        <v>1751</v>
      </c>
      <c r="B105" s="109"/>
      <c r="C105" s="109"/>
      <c r="D105" s="109"/>
      <c r="E105" s="109">
        <v>0.40143369175627241</v>
      </c>
      <c r="F105" s="109">
        <v>0.21868686868686868</v>
      </c>
      <c r="G105" s="109">
        <v>0.8</v>
      </c>
      <c r="H105" s="109"/>
      <c r="I105" s="109"/>
      <c r="J105" s="109"/>
      <c r="N105" s="109"/>
      <c r="O105" s="109">
        <f t="shared" ref="O105:O106" si="6">AVERAGE(G105)/0.494</f>
        <v>1.619433198380567</v>
      </c>
      <c r="P105" s="109"/>
      <c r="Q105" s="109">
        <f t="shared" ref="Q105:Q106" si="7">O105*8.04</f>
        <v>13.020242914979757</v>
      </c>
    </row>
    <row r="106" spans="1:17" x14ac:dyDescent="0.15">
      <c r="A106" s="38">
        <v>1752</v>
      </c>
      <c r="B106" s="109"/>
      <c r="C106" s="109"/>
      <c r="D106" s="109"/>
      <c r="E106" s="109">
        <v>0.36571428571428571</v>
      </c>
      <c r="F106" s="109">
        <v>0.31086634615384617</v>
      </c>
      <c r="G106" s="109">
        <v>0.56361778846153843</v>
      </c>
      <c r="H106" s="109"/>
      <c r="I106" s="109"/>
      <c r="J106" s="109"/>
      <c r="N106" s="109"/>
      <c r="O106" s="109">
        <f t="shared" si="6"/>
        <v>1.1409266972905636</v>
      </c>
      <c r="P106" s="109"/>
      <c r="Q106" s="109">
        <f t="shared" si="7"/>
        <v>9.1730506462161312</v>
      </c>
    </row>
    <row r="107" spans="1:17" x14ac:dyDescent="0.15">
      <c r="A107" s="38">
        <f>A106+1</f>
        <v>1753</v>
      </c>
      <c r="B107" s="109"/>
      <c r="C107" s="109"/>
      <c r="D107" s="109"/>
      <c r="E107" s="109"/>
      <c r="F107" s="109"/>
      <c r="G107" s="109"/>
      <c r="H107" s="109"/>
      <c r="I107" s="109"/>
      <c r="J107" s="109"/>
      <c r="N107" s="109"/>
      <c r="O107" s="109"/>
      <c r="P107" s="109"/>
      <c r="Q107" s="109"/>
    </row>
    <row r="108" spans="1:17" x14ac:dyDescent="0.15">
      <c r="A108" s="38">
        <f t="shared" ref="A108:A147" si="8">A107+1</f>
        <v>1754</v>
      </c>
      <c r="B108" s="109"/>
      <c r="C108" s="109"/>
      <c r="D108" s="109"/>
      <c r="E108" s="109"/>
      <c r="F108" s="109">
        <v>0.29062500000000002</v>
      </c>
      <c r="G108" s="109"/>
      <c r="H108" s="109"/>
      <c r="I108" s="109"/>
      <c r="J108" s="109"/>
      <c r="N108" s="109"/>
      <c r="O108" s="109"/>
      <c r="P108" s="109"/>
      <c r="Q108" s="109"/>
    </row>
    <row r="109" spans="1:17" x14ac:dyDescent="0.15">
      <c r="A109" s="38">
        <f t="shared" si="8"/>
        <v>1755</v>
      </c>
      <c r="B109" s="109"/>
      <c r="C109" s="109"/>
      <c r="D109" s="109"/>
      <c r="E109" s="109">
        <v>0.2153846153846154</v>
      </c>
      <c r="F109" s="109">
        <v>0.26330769230769235</v>
      </c>
      <c r="G109" s="109">
        <v>0.4555384615384615</v>
      </c>
      <c r="H109" s="109"/>
      <c r="I109" s="109"/>
      <c r="J109" s="109"/>
      <c r="N109" s="109"/>
      <c r="O109" s="109">
        <f t="shared" ref="O109:O114" si="9">AVERAGE(G109)/0.494</f>
        <v>0.92214263469324187</v>
      </c>
      <c r="P109" s="109"/>
      <c r="Q109" s="109">
        <f t="shared" ref="Q109:Q114" si="10">O109*8.04</f>
        <v>7.4140267829336635</v>
      </c>
    </row>
    <row r="110" spans="1:17" x14ac:dyDescent="0.15">
      <c r="A110" s="38">
        <f t="shared" si="8"/>
        <v>1756</v>
      </c>
      <c r="B110" s="109"/>
      <c r="C110" s="109"/>
      <c r="D110" s="109"/>
      <c r="E110" s="109">
        <v>0.36700000000000005</v>
      </c>
      <c r="F110" s="109">
        <v>0.27187499999999998</v>
      </c>
      <c r="G110" s="109">
        <v>0.50700000000000001</v>
      </c>
      <c r="H110" s="109"/>
      <c r="I110" s="109"/>
      <c r="J110" s="109"/>
      <c r="N110" s="109"/>
      <c r="O110" s="109">
        <f t="shared" si="9"/>
        <v>1.0263157894736843</v>
      </c>
      <c r="P110" s="109"/>
      <c r="Q110" s="109">
        <f t="shared" si="10"/>
        <v>8.2515789473684205</v>
      </c>
    </row>
    <row r="111" spans="1:17" x14ac:dyDescent="0.15">
      <c r="A111" s="38">
        <f t="shared" si="8"/>
        <v>1757</v>
      </c>
      <c r="B111" s="109"/>
      <c r="C111" s="109"/>
      <c r="D111" s="109"/>
      <c r="E111" s="109"/>
      <c r="F111" s="109">
        <v>0.28008250000000001</v>
      </c>
      <c r="G111" s="109">
        <v>0.59393999999999991</v>
      </c>
      <c r="H111" s="109"/>
      <c r="I111" s="109"/>
      <c r="J111" s="109"/>
      <c r="N111" s="109"/>
      <c r="O111" s="109">
        <f t="shared" si="9"/>
        <v>1.2023076923076921</v>
      </c>
      <c r="P111" s="109"/>
      <c r="Q111" s="109">
        <f t="shared" si="10"/>
        <v>9.6665538461538425</v>
      </c>
    </row>
    <row r="112" spans="1:17" x14ac:dyDescent="0.15">
      <c r="A112" s="38">
        <f t="shared" si="8"/>
        <v>1758</v>
      </c>
      <c r="B112" s="109"/>
      <c r="C112" s="109"/>
      <c r="D112" s="109"/>
      <c r="E112" s="109"/>
      <c r="F112" s="109">
        <v>0.26063970588235291</v>
      </c>
      <c r="G112" s="109">
        <v>0.4592205882352941</v>
      </c>
      <c r="H112" s="109"/>
      <c r="I112" s="109"/>
      <c r="J112" s="109"/>
      <c r="N112" s="109"/>
      <c r="O112" s="109">
        <f t="shared" si="9"/>
        <v>0.92959633246010953</v>
      </c>
      <c r="P112" s="109"/>
      <c r="Q112" s="109">
        <f t="shared" si="10"/>
        <v>7.4739545129792795</v>
      </c>
    </row>
    <row r="113" spans="1:17" x14ac:dyDescent="0.15">
      <c r="A113" s="38">
        <f t="shared" si="8"/>
        <v>1759</v>
      </c>
      <c r="B113" s="109"/>
      <c r="C113" s="109"/>
      <c r="D113" s="109"/>
      <c r="E113" s="109"/>
      <c r="F113" s="109">
        <v>0.29062222222222223</v>
      </c>
      <c r="G113" s="109">
        <v>0.51053333333333339</v>
      </c>
      <c r="H113" s="109"/>
      <c r="I113" s="109"/>
      <c r="J113" s="109"/>
      <c r="N113" s="109"/>
      <c r="O113" s="109">
        <f t="shared" si="9"/>
        <v>1.0334682860998652</v>
      </c>
      <c r="P113" s="109"/>
      <c r="Q113" s="109">
        <f t="shared" si="10"/>
        <v>8.3090850202429145</v>
      </c>
    </row>
    <row r="114" spans="1:17" x14ac:dyDescent="0.15">
      <c r="A114" s="38">
        <f t="shared" si="8"/>
        <v>1760</v>
      </c>
      <c r="B114" s="109"/>
      <c r="C114" s="109"/>
      <c r="D114" s="109"/>
      <c r="E114" s="109"/>
      <c r="F114" s="109">
        <v>0.29062222222222223</v>
      </c>
      <c r="G114" s="109">
        <v>0.60506666666666675</v>
      </c>
      <c r="H114" s="109"/>
      <c r="I114" s="109"/>
      <c r="J114" s="109"/>
      <c r="N114" s="109"/>
      <c r="O114" s="109">
        <f t="shared" si="9"/>
        <v>1.2248313090418355</v>
      </c>
      <c r="P114" s="109"/>
      <c r="Q114" s="109">
        <f t="shared" si="10"/>
        <v>9.847643724696356</v>
      </c>
    </row>
    <row r="115" spans="1:17" x14ac:dyDescent="0.15">
      <c r="A115" s="38">
        <f t="shared" si="8"/>
        <v>1761</v>
      </c>
      <c r="B115" s="109"/>
      <c r="C115" s="109"/>
      <c r="D115" s="109"/>
      <c r="E115" s="109"/>
      <c r="F115" s="109"/>
      <c r="G115" s="109"/>
      <c r="H115" s="109"/>
      <c r="I115" s="109"/>
      <c r="J115" s="109"/>
      <c r="N115" s="109"/>
      <c r="O115" s="109"/>
      <c r="P115" s="109"/>
      <c r="Q115" s="109"/>
    </row>
    <row r="116" spans="1:17" x14ac:dyDescent="0.15">
      <c r="A116" s="38">
        <f t="shared" si="8"/>
        <v>1762</v>
      </c>
      <c r="B116" s="109"/>
      <c r="C116" s="109"/>
      <c r="D116" s="109"/>
      <c r="E116" s="109"/>
      <c r="F116" s="109">
        <v>0.25546067415730334</v>
      </c>
      <c r="G116" s="109">
        <v>0.51314606741573032</v>
      </c>
      <c r="H116" s="109"/>
      <c r="I116" s="109"/>
      <c r="J116" s="109"/>
      <c r="N116" s="109"/>
      <c r="O116" s="109">
        <f>AVERAGE(G116)/0.494</f>
        <v>1.0387572214893326</v>
      </c>
      <c r="P116" s="109"/>
      <c r="Q116" s="109">
        <f>O116*8.04</f>
        <v>8.3516080607742325</v>
      </c>
    </row>
    <row r="117" spans="1:17" x14ac:dyDescent="0.15">
      <c r="A117" s="38">
        <f t="shared" si="8"/>
        <v>1763</v>
      </c>
      <c r="B117" s="109"/>
      <c r="C117" s="109"/>
      <c r="D117" s="109"/>
      <c r="E117" s="109"/>
      <c r="F117" s="109"/>
      <c r="G117" s="109"/>
      <c r="H117" s="109"/>
      <c r="I117" s="109"/>
      <c r="J117" s="109"/>
      <c r="N117" s="109"/>
      <c r="O117" s="109"/>
      <c r="P117" s="109"/>
      <c r="Q117" s="109"/>
    </row>
    <row r="118" spans="1:17" x14ac:dyDescent="0.15">
      <c r="A118" s="38">
        <f t="shared" si="8"/>
        <v>1764</v>
      </c>
      <c r="B118" s="109"/>
      <c r="C118" s="109"/>
      <c r="D118" s="109"/>
      <c r="E118" s="109"/>
      <c r="F118" s="109">
        <v>0.20716129032258065</v>
      </c>
      <c r="G118" s="109">
        <v>0.54773684210526319</v>
      </c>
      <c r="H118" s="109"/>
      <c r="I118" s="109"/>
      <c r="J118" s="109"/>
      <c r="N118" s="109"/>
      <c r="O118" s="109">
        <f t="shared" ref="O118:O119" si="11">AVERAGE(G118)/0.494</f>
        <v>1.1087790326017473</v>
      </c>
      <c r="P118" s="109"/>
      <c r="Q118" s="109">
        <f t="shared" ref="Q118:Q119" si="12">O118*8.04</f>
        <v>8.9145834221180476</v>
      </c>
    </row>
    <row r="119" spans="1:17" x14ac:dyDescent="0.15">
      <c r="A119" s="38">
        <f t="shared" si="8"/>
        <v>1765</v>
      </c>
      <c r="B119" s="109"/>
      <c r="C119" s="109"/>
      <c r="D119" s="109"/>
      <c r="E119" s="109"/>
      <c r="F119" s="109">
        <v>0.26562608695652173</v>
      </c>
      <c r="G119" s="109">
        <v>0.47389565217391305</v>
      </c>
      <c r="H119" s="109"/>
      <c r="I119" s="109"/>
      <c r="J119" s="109"/>
      <c r="N119" s="109"/>
      <c r="O119" s="109">
        <f t="shared" si="11"/>
        <v>0.95930293962330582</v>
      </c>
      <c r="P119" s="109"/>
      <c r="Q119" s="109">
        <f t="shared" si="12"/>
        <v>7.7127956345713775</v>
      </c>
    </row>
    <row r="120" spans="1:17" x14ac:dyDescent="0.15">
      <c r="A120" s="38">
        <f t="shared" si="8"/>
        <v>1766</v>
      </c>
      <c r="B120" s="109"/>
      <c r="C120" s="109"/>
      <c r="D120" s="109"/>
      <c r="E120" s="109"/>
      <c r="F120" s="109"/>
      <c r="G120" s="109"/>
      <c r="H120" s="109"/>
      <c r="I120" s="109"/>
      <c r="J120" s="109"/>
      <c r="N120" s="109"/>
      <c r="O120" s="109"/>
      <c r="P120" s="109"/>
      <c r="Q120" s="109"/>
    </row>
    <row r="121" spans="1:17" x14ac:dyDescent="0.15">
      <c r="A121" s="38">
        <f t="shared" si="8"/>
        <v>1767</v>
      </c>
      <c r="B121" s="109"/>
      <c r="C121" s="109"/>
      <c r="D121" s="109"/>
      <c r="E121" s="109"/>
      <c r="F121" s="109">
        <v>0.2843736263736264</v>
      </c>
      <c r="G121" s="109">
        <v>0.49892307692307691</v>
      </c>
      <c r="H121" s="109"/>
      <c r="I121" s="109"/>
      <c r="J121" s="109"/>
      <c r="N121" s="109"/>
      <c r="O121" s="109">
        <f t="shared" ref="O121:O122" si="13">AVERAGE(G121)/0.494</f>
        <v>1.009965742759265</v>
      </c>
      <c r="P121" s="109"/>
      <c r="Q121" s="109">
        <f>O121*8.04</f>
        <v>8.1201245717844888</v>
      </c>
    </row>
    <row r="122" spans="1:17" x14ac:dyDescent="0.15">
      <c r="A122" s="38">
        <f t="shared" si="8"/>
        <v>1768</v>
      </c>
      <c r="B122" s="109"/>
      <c r="C122" s="109"/>
      <c r="D122" s="109"/>
      <c r="E122" s="109"/>
      <c r="F122" s="109">
        <v>0.26874999999999999</v>
      </c>
      <c r="G122" s="109">
        <v>0.47137500000000004</v>
      </c>
      <c r="H122" s="109"/>
      <c r="I122" s="109"/>
      <c r="J122" s="109"/>
      <c r="N122" s="109"/>
      <c r="O122" s="109">
        <f t="shared" si="13"/>
        <v>0.95420040485829971</v>
      </c>
      <c r="P122" s="109"/>
      <c r="Q122" s="109">
        <f>O122*8.04</f>
        <v>7.6717712550607287</v>
      </c>
    </row>
    <row r="123" spans="1:17" x14ac:dyDescent="0.15">
      <c r="A123" s="38">
        <f t="shared" si="8"/>
        <v>1769</v>
      </c>
      <c r="B123" s="109"/>
      <c r="C123" s="109"/>
      <c r="D123" s="109"/>
      <c r="E123" s="109"/>
      <c r="F123" s="109"/>
      <c r="G123" s="109"/>
      <c r="H123" s="109"/>
      <c r="I123" s="109"/>
      <c r="J123" s="109"/>
      <c r="N123" s="109"/>
      <c r="O123" s="109"/>
      <c r="P123" s="109"/>
      <c r="Q123" s="109"/>
    </row>
    <row r="124" spans="1:17" x14ac:dyDescent="0.15">
      <c r="A124" s="38">
        <f t="shared" si="8"/>
        <v>1770</v>
      </c>
      <c r="B124" s="109"/>
      <c r="C124" s="109"/>
      <c r="D124" s="109"/>
      <c r="E124" s="109"/>
      <c r="F124" s="109">
        <v>0.35464919354838714</v>
      </c>
      <c r="G124" s="109">
        <v>0.45649999999999996</v>
      </c>
      <c r="H124" s="109"/>
      <c r="I124" s="109"/>
      <c r="J124" s="109"/>
      <c r="N124" s="109"/>
      <c r="O124" s="109">
        <f t="shared" ref="O124:O129" si="14">AVERAGE(G124)/0.494</f>
        <v>0.92408906882591091</v>
      </c>
      <c r="P124" s="109"/>
      <c r="Q124" s="109">
        <f t="shared" ref="Q124:Q129" si="15">O124*9.61</f>
        <v>8.8804959514170037</v>
      </c>
    </row>
    <row r="125" spans="1:17" x14ac:dyDescent="0.15">
      <c r="A125" s="38">
        <f t="shared" si="8"/>
        <v>1771</v>
      </c>
      <c r="B125" s="109"/>
      <c r="C125" s="109"/>
      <c r="D125" s="109"/>
      <c r="E125" s="109"/>
      <c r="F125" s="109">
        <v>0.3745353260869565</v>
      </c>
      <c r="G125" s="109">
        <v>0.48691304347826092</v>
      </c>
      <c r="H125" s="109"/>
      <c r="I125" s="109"/>
      <c r="J125" s="109"/>
      <c r="N125" s="109"/>
      <c r="O125" s="109">
        <f t="shared" si="14"/>
        <v>0.98565393416652014</v>
      </c>
      <c r="P125" s="109"/>
      <c r="Q125" s="109">
        <f t="shared" si="15"/>
        <v>9.4721343073402586</v>
      </c>
    </row>
    <row r="126" spans="1:17" x14ac:dyDescent="0.15">
      <c r="A126" s="38">
        <f t="shared" si="8"/>
        <v>1772</v>
      </c>
      <c r="B126" s="109"/>
      <c r="C126" s="109"/>
      <c r="D126" s="109"/>
      <c r="E126" s="109">
        <v>0.28266666666666668</v>
      </c>
      <c r="F126" s="109"/>
      <c r="G126" s="109"/>
      <c r="H126" s="109"/>
      <c r="I126" s="109"/>
      <c r="J126" s="109"/>
      <c r="N126" s="109"/>
      <c r="O126" s="109"/>
      <c r="P126" s="109"/>
      <c r="Q126" s="109"/>
    </row>
    <row r="127" spans="1:17" x14ac:dyDescent="0.15">
      <c r="A127" s="38">
        <f t="shared" si="8"/>
        <v>1773</v>
      </c>
      <c r="B127" s="109"/>
      <c r="C127" s="109"/>
      <c r="D127" s="109"/>
      <c r="E127" s="109"/>
      <c r="F127" s="109">
        <v>0.3761666666666667</v>
      </c>
      <c r="G127" s="109">
        <v>0.48201388888888891</v>
      </c>
      <c r="H127" s="109"/>
      <c r="I127" s="109"/>
      <c r="J127" s="109"/>
      <c r="N127" s="109"/>
      <c r="O127" s="109">
        <f t="shared" si="14"/>
        <v>0.97573661718398563</v>
      </c>
      <c r="P127" s="109"/>
      <c r="Q127" s="109">
        <f t="shared" si="15"/>
        <v>9.3768288911381017</v>
      </c>
    </row>
    <row r="128" spans="1:17" x14ac:dyDescent="0.15">
      <c r="A128" s="38">
        <f t="shared" si="8"/>
        <v>1774</v>
      </c>
      <c r="B128" s="109"/>
      <c r="C128" s="109"/>
      <c r="D128" s="109"/>
      <c r="E128" s="109"/>
      <c r="F128" s="109">
        <v>0.41237500000000005</v>
      </c>
      <c r="G128" s="109">
        <v>0.51700000000000002</v>
      </c>
      <c r="H128" s="109"/>
      <c r="I128" s="109"/>
      <c r="J128" s="109"/>
      <c r="N128" s="109"/>
      <c r="O128" s="109">
        <f t="shared" si="14"/>
        <v>1.0465587044534412</v>
      </c>
      <c r="P128" s="109"/>
      <c r="Q128" s="109">
        <f t="shared" si="15"/>
        <v>10.057429149797569</v>
      </c>
    </row>
    <row r="129" spans="1:17" x14ac:dyDescent="0.15">
      <c r="A129" s="38">
        <f t="shared" si="8"/>
        <v>1775</v>
      </c>
      <c r="B129" s="109"/>
      <c r="C129" s="109"/>
      <c r="D129" s="109"/>
      <c r="E129" s="109"/>
      <c r="F129" s="109">
        <v>0.41843750000000002</v>
      </c>
      <c r="G129" s="109">
        <v>0.52800000000000002</v>
      </c>
      <c r="H129" s="109"/>
      <c r="I129" s="109"/>
      <c r="J129" s="109"/>
      <c r="N129" s="109"/>
      <c r="O129" s="109">
        <f t="shared" si="14"/>
        <v>1.0688259109311742</v>
      </c>
      <c r="P129" s="109"/>
      <c r="Q129" s="109">
        <f t="shared" si="15"/>
        <v>10.271417004048583</v>
      </c>
    </row>
    <row r="130" spans="1:17" x14ac:dyDescent="0.15">
      <c r="A130" s="38">
        <f t="shared" si="8"/>
        <v>1776</v>
      </c>
      <c r="B130" s="109"/>
      <c r="C130" s="109"/>
      <c r="D130" s="109"/>
      <c r="E130" s="109"/>
      <c r="F130" s="109"/>
      <c r="G130" s="109"/>
      <c r="H130" s="109"/>
      <c r="I130" s="109"/>
      <c r="J130" s="109"/>
      <c r="N130" s="109"/>
      <c r="O130" s="109"/>
      <c r="P130" s="109"/>
      <c r="Q130" s="109"/>
    </row>
    <row r="131" spans="1:17" x14ac:dyDescent="0.15">
      <c r="A131" s="38">
        <f t="shared" si="8"/>
        <v>1777</v>
      </c>
      <c r="B131" s="109"/>
      <c r="C131" s="109"/>
      <c r="D131" s="109"/>
      <c r="E131" s="109"/>
      <c r="F131" s="109"/>
      <c r="G131" s="109"/>
      <c r="H131" s="109"/>
      <c r="I131" s="109"/>
      <c r="J131" s="109"/>
      <c r="N131" s="109"/>
      <c r="O131" s="109"/>
      <c r="P131" s="109"/>
      <c r="Q131" s="109"/>
    </row>
    <row r="132" spans="1:17" x14ac:dyDescent="0.15">
      <c r="A132" s="38">
        <f t="shared" si="8"/>
        <v>1778</v>
      </c>
      <c r="B132" s="109"/>
      <c r="C132" s="109"/>
      <c r="D132" s="109"/>
      <c r="E132" s="109"/>
      <c r="F132" s="109"/>
      <c r="G132" s="109"/>
      <c r="H132" s="109"/>
      <c r="I132" s="109"/>
      <c r="J132" s="109"/>
      <c r="N132" s="109"/>
      <c r="O132" s="109"/>
      <c r="P132" s="109"/>
      <c r="Q132" s="109"/>
    </row>
    <row r="133" spans="1:17" x14ac:dyDescent="0.15">
      <c r="A133" s="38">
        <f t="shared" si="8"/>
        <v>1779</v>
      </c>
      <c r="B133" s="109"/>
      <c r="C133" s="109"/>
      <c r="D133" s="109"/>
      <c r="E133" s="109"/>
      <c r="F133" s="109"/>
      <c r="G133" s="109"/>
      <c r="H133" s="109"/>
      <c r="I133" s="109"/>
      <c r="J133" s="109"/>
      <c r="N133" s="109"/>
      <c r="O133" s="109"/>
      <c r="P133" s="109"/>
      <c r="Q133" s="109"/>
    </row>
    <row r="134" spans="1:17" x14ac:dyDescent="0.15">
      <c r="A134" s="38">
        <f t="shared" si="8"/>
        <v>1780</v>
      </c>
      <c r="B134" s="109"/>
      <c r="C134" s="109"/>
      <c r="D134" s="109"/>
      <c r="E134" s="109"/>
      <c r="F134" s="109"/>
      <c r="G134" s="109"/>
      <c r="H134" s="109"/>
      <c r="I134" s="109"/>
      <c r="J134" s="109"/>
      <c r="N134" s="109"/>
      <c r="O134" s="109"/>
      <c r="P134" s="109"/>
      <c r="Q134" s="109"/>
    </row>
    <row r="135" spans="1:17" x14ac:dyDescent="0.15">
      <c r="A135" s="38">
        <f t="shared" si="8"/>
        <v>1781</v>
      </c>
      <c r="B135" s="109"/>
      <c r="C135" s="109"/>
      <c r="D135" s="109"/>
      <c r="E135" s="109"/>
      <c r="F135" s="109"/>
      <c r="G135" s="109"/>
      <c r="H135" s="109"/>
      <c r="I135" s="109"/>
      <c r="J135" s="109"/>
      <c r="N135" s="109"/>
      <c r="O135" s="109"/>
      <c r="P135" s="109"/>
      <c r="Q135" s="109"/>
    </row>
    <row r="136" spans="1:17" x14ac:dyDescent="0.15">
      <c r="A136" s="38">
        <f t="shared" si="8"/>
        <v>1782</v>
      </c>
      <c r="B136" s="109"/>
      <c r="C136" s="109"/>
      <c r="D136" s="109"/>
      <c r="E136" s="109"/>
      <c r="F136" s="109"/>
      <c r="G136" s="109"/>
      <c r="H136" s="109"/>
      <c r="I136" s="109"/>
      <c r="J136" s="109"/>
      <c r="N136" s="109"/>
      <c r="O136" s="109"/>
      <c r="P136" s="109"/>
      <c r="Q136" s="109"/>
    </row>
    <row r="137" spans="1:17" x14ac:dyDescent="0.15">
      <c r="A137" s="38">
        <f t="shared" si="8"/>
        <v>1783</v>
      </c>
      <c r="B137" s="109"/>
      <c r="C137" s="109"/>
      <c r="D137" s="109"/>
      <c r="E137" s="109"/>
      <c r="F137" s="109"/>
      <c r="G137" s="109"/>
      <c r="H137" s="109">
        <v>0.10416666666666667</v>
      </c>
      <c r="I137" s="109"/>
      <c r="J137" s="109"/>
      <c r="N137" s="109"/>
      <c r="O137" s="109">
        <f>(H137*2.4)/0.494</f>
        <v>0.50607287449392713</v>
      </c>
      <c r="P137" s="109"/>
      <c r="Q137" s="109">
        <f>O137*9.61</f>
        <v>4.8633603238866394</v>
      </c>
    </row>
    <row r="138" spans="1:17" x14ac:dyDescent="0.15">
      <c r="A138" s="38">
        <f t="shared" si="8"/>
        <v>1784</v>
      </c>
      <c r="B138" s="109"/>
      <c r="C138" s="109"/>
      <c r="D138" s="109"/>
      <c r="E138" s="109"/>
      <c r="F138" s="109"/>
      <c r="G138" s="109"/>
      <c r="H138" s="109"/>
      <c r="I138" s="109"/>
      <c r="J138" s="109"/>
      <c r="N138" s="109"/>
      <c r="O138" s="109"/>
      <c r="P138" s="109"/>
      <c r="Q138" s="109"/>
    </row>
    <row r="139" spans="1:17" x14ac:dyDescent="0.15">
      <c r="A139" s="38">
        <f t="shared" si="8"/>
        <v>1785</v>
      </c>
      <c r="B139" s="109"/>
      <c r="C139" s="109"/>
      <c r="D139" s="109"/>
      <c r="E139" s="109"/>
      <c r="F139" s="109"/>
      <c r="G139" s="109"/>
      <c r="H139" s="109"/>
      <c r="I139" s="109"/>
      <c r="J139" s="109"/>
      <c r="N139" s="109"/>
      <c r="O139" s="109"/>
      <c r="P139" s="109"/>
      <c r="Q139" s="109"/>
    </row>
    <row r="140" spans="1:17" x14ac:dyDescent="0.15">
      <c r="A140" s="38">
        <f t="shared" si="8"/>
        <v>1786</v>
      </c>
      <c r="B140" s="109"/>
      <c r="C140" s="109"/>
      <c r="D140" s="109"/>
      <c r="E140" s="109"/>
      <c r="F140" s="109"/>
      <c r="G140" s="109"/>
      <c r="H140" s="109"/>
      <c r="I140" s="109"/>
      <c r="J140" s="109"/>
      <c r="N140" s="109"/>
      <c r="O140" s="109"/>
      <c r="P140" s="109"/>
      <c r="Q140" s="109"/>
    </row>
    <row r="141" spans="1:17" x14ac:dyDescent="0.15">
      <c r="A141" s="38">
        <f t="shared" si="8"/>
        <v>1787</v>
      </c>
      <c r="B141" s="109"/>
      <c r="C141" s="109"/>
      <c r="D141" s="109"/>
      <c r="E141" s="109"/>
      <c r="F141" s="109"/>
      <c r="G141" s="109"/>
      <c r="H141" s="109"/>
      <c r="I141" s="109"/>
      <c r="J141" s="109"/>
      <c r="N141" s="109"/>
      <c r="O141" s="109"/>
      <c r="P141" s="109"/>
      <c r="Q141" s="109"/>
    </row>
    <row r="142" spans="1:17" x14ac:dyDescent="0.15">
      <c r="A142" s="38">
        <f t="shared" si="8"/>
        <v>1788</v>
      </c>
      <c r="B142" s="109"/>
      <c r="C142" s="109"/>
      <c r="D142" s="109"/>
      <c r="E142" s="109"/>
      <c r="F142" s="109"/>
      <c r="G142" s="109"/>
      <c r="H142" s="109"/>
      <c r="I142" s="109"/>
      <c r="J142" s="109"/>
      <c r="N142" s="109"/>
      <c r="O142" s="109"/>
      <c r="P142" s="109"/>
      <c r="Q142" s="109"/>
    </row>
    <row r="143" spans="1:17" x14ac:dyDescent="0.15">
      <c r="A143" s="38">
        <f t="shared" si="8"/>
        <v>1789</v>
      </c>
      <c r="B143" s="109"/>
      <c r="C143" s="109"/>
      <c r="D143" s="109"/>
      <c r="E143" s="109"/>
      <c r="F143" s="109"/>
      <c r="G143" s="109"/>
      <c r="H143" s="109"/>
      <c r="I143" s="109"/>
      <c r="J143" s="109"/>
      <c r="N143" s="109"/>
      <c r="O143" s="109"/>
      <c r="P143" s="109"/>
      <c r="Q143" s="109"/>
    </row>
    <row r="144" spans="1:17" x14ac:dyDescent="0.15">
      <c r="A144" s="38">
        <f t="shared" si="8"/>
        <v>1790</v>
      </c>
      <c r="B144" s="109"/>
      <c r="C144" s="109"/>
      <c r="D144" s="109"/>
      <c r="E144" s="109"/>
      <c r="F144" s="109"/>
      <c r="G144" s="109"/>
      <c r="H144" s="109"/>
      <c r="I144" s="109"/>
      <c r="J144" s="109"/>
      <c r="N144" s="109"/>
      <c r="O144" s="109"/>
      <c r="P144" s="109"/>
      <c r="Q144" s="109"/>
    </row>
    <row r="145" spans="1:18" x14ac:dyDescent="0.15">
      <c r="A145" s="38">
        <f t="shared" si="8"/>
        <v>1791</v>
      </c>
      <c r="B145" s="109"/>
      <c r="C145" s="109"/>
      <c r="D145" s="109"/>
      <c r="E145" s="109"/>
      <c r="F145" s="109"/>
      <c r="G145" s="109"/>
      <c r="H145" s="109"/>
      <c r="I145" s="109"/>
      <c r="J145" s="109"/>
      <c r="N145" s="109"/>
      <c r="O145" s="109"/>
      <c r="P145" s="109"/>
      <c r="Q145" s="109"/>
      <c r="R145" s="109"/>
    </row>
    <row r="146" spans="1:18" x14ac:dyDescent="0.15">
      <c r="A146" s="38">
        <f t="shared" si="8"/>
        <v>1792</v>
      </c>
      <c r="B146" s="109"/>
      <c r="C146" s="109"/>
      <c r="D146" s="109"/>
      <c r="E146" s="109"/>
      <c r="F146" s="109"/>
      <c r="G146" s="109"/>
      <c r="H146" s="109"/>
      <c r="I146" s="109"/>
      <c r="J146" s="109"/>
      <c r="N146" s="109"/>
      <c r="O146" s="109"/>
      <c r="P146" s="109"/>
      <c r="Q146" s="109"/>
      <c r="R146" s="109"/>
    </row>
    <row r="147" spans="1:18" x14ac:dyDescent="0.15">
      <c r="A147" s="38">
        <f t="shared" si="8"/>
        <v>1793</v>
      </c>
      <c r="B147" s="109"/>
      <c r="C147" s="109"/>
      <c r="D147" s="109"/>
      <c r="E147" s="109"/>
      <c r="F147" s="109"/>
      <c r="G147" s="109"/>
      <c r="H147" s="109"/>
      <c r="I147" s="109"/>
      <c r="J147" s="109">
        <v>2.9166666666666664E-2</v>
      </c>
      <c r="N147" s="109"/>
      <c r="O147" s="109"/>
      <c r="P147" s="109">
        <f>(J147)*2.2046</f>
        <v>6.4300833333333335E-2</v>
      </c>
      <c r="Q147" s="109">
        <f t="shared" ref="Q147" si="16">P147*111.4</f>
        <v>7.1631128333333338</v>
      </c>
      <c r="R147" s="109"/>
    </row>
    <row r="148" spans="1:18" x14ac:dyDescent="0.15">
      <c r="A148" s="38">
        <v>1794</v>
      </c>
      <c r="B148" s="109"/>
      <c r="C148" s="109"/>
      <c r="D148" s="109"/>
      <c r="E148" s="109"/>
      <c r="F148" s="109"/>
      <c r="G148" s="109"/>
      <c r="H148" s="109"/>
      <c r="I148" s="109"/>
      <c r="J148" s="109"/>
      <c r="N148" s="109"/>
      <c r="O148" s="109"/>
      <c r="P148" s="109"/>
      <c r="Q148" s="109"/>
      <c r="R148" s="109"/>
    </row>
    <row r="149" spans="1:18" x14ac:dyDescent="0.15">
      <c r="A149" s="38">
        <v>1795</v>
      </c>
      <c r="B149" s="109"/>
      <c r="C149" s="109"/>
      <c r="D149" s="109"/>
      <c r="E149" s="109"/>
      <c r="F149" s="109"/>
      <c r="G149" s="109"/>
      <c r="H149" s="109"/>
      <c r="I149" s="109"/>
      <c r="J149" s="109"/>
      <c r="N149" s="109">
        <v>0.2</v>
      </c>
      <c r="O149" s="109"/>
      <c r="P149" s="109"/>
      <c r="Q149" s="109"/>
      <c r="R149" s="109"/>
    </row>
    <row r="150" spans="1:18" x14ac:dyDescent="0.15">
      <c r="A150" s="38">
        <f t="shared" ref="A150:A213" si="17">A149+1</f>
        <v>1796</v>
      </c>
      <c r="B150" s="109"/>
      <c r="C150" s="109"/>
      <c r="D150" s="109"/>
      <c r="E150" s="109">
        <v>0.59199999999999997</v>
      </c>
      <c r="F150" s="109"/>
      <c r="G150" s="109"/>
      <c r="H150" s="109"/>
      <c r="I150" s="109"/>
      <c r="J150" s="109"/>
      <c r="N150" s="109">
        <v>0.2</v>
      </c>
      <c r="O150" s="109">
        <f>AVERAGE(E150:G150)/0.494</f>
        <v>1.1983805668016194</v>
      </c>
      <c r="P150" s="109"/>
      <c r="Q150" s="109">
        <f>O150*9.61</f>
        <v>11.516437246963562</v>
      </c>
      <c r="R150" s="109"/>
    </row>
    <row r="151" spans="1:18" x14ac:dyDescent="0.15">
      <c r="A151" s="38">
        <f t="shared" si="17"/>
        <v>1797</v>
      </c>
      <c r="B151" s="109"/>
      <c r="C151" s="109"/>
      <c r="D151" s="109"/>
      <c r="E151" s="109"/>
      <c r="F151" s="109"/>
      <c r="G151" s="109"/>
      <c r="H151" s="109">
        <v>0.16666666666666666</v>
      </c>
      <c r="I151" s="109"/>
      <c r="J151" s="109"/>
      <c r="N151" s="109">
        <v>0.2</v>
      </c>
      <c r="O151" s="109">
        <f t="shared" ref="O151:O152" si="18">(H151*2.4)/0.494</f>
        <v>0.80971659919028338</v>
      </c>
      <c r="P151" s="109">
        <f>(H151*N151)*2.2046</f>
        <v>7.3486666666666672E-2</v>
      </c>
      <c r="Q151" s="109">
        <f t="shared" ref="Q151:Q152" si="19">P151*111.4</f>
        <v>8.1864146666666677</v>
      </c>
      <c r="R151" s="71">
        <f>O151*9.61</f>
        <v>7.7813765182186225</v>
      </c>
    </row>
    <row r="152" spans="1:18" x14ac:dyDescent="0.15">
      <c r="A152" s="38">
        <f t="shared" si="17"/>
        <v>1798</v>
      </c>
      <c r="B152" s="109"/>
      <c r="C152" s="109"/>
      <c r="D152" s="109"/>
      <c r="E152" s="109"/>
      <c r="F152" s="109"/>
      <c r="G152" s="109"/>
      <c r="H152" s="109">
        <v>0.25</v>
      </c>
      <c r="I152" s="109"/>
      <c r="J152" s="109"/>
      <c r="N152" s="109">
        <v>0.2</v>
      </c>
      <c r="O152" s="109">
        <f t="shared" si="18"/>
        <v>1.214574898785425</v>
      </c>
      <c r="P152" s="109">
        <f>(H152*N152)*2.2046</f>
        <v>0.11023000000000001</v>
      </c>
      <c r="Q152" s="109">
        <f t="shared" si="19"/>
        <v>12.279622000000002</v>
      </c>
      <c r="R152" s="71">
        <f>O152*9.61</f>
        <v>11.672064777327934</v>
      </c>
    </row>
    <row r="153" spans="1:18" x14ac:dyDescent="0.15">
      <c r="A153" s="38">
        <f t="shared" si="17"/>
        <v>1799</v>
      </c>
      <c r="B153" s="109"/>
      <c r="C153" s="109"/>
      <c r="D153" s="109"/>
      <c r="E153" s="109"/>
      <c r="F153" s="109"/>
      <c r="G153" s="109"/>
      <c r="H153" s="109"/>
      <c r="I153" s="109"/>
      <c r="J153" s="109"/>
      <c r="N153" s="109">
        <v>0.2</v>
      </c>
      <c r="O153" s="109"/>
      <c r="P153" s="109"/>
      <c r="Q153" s="109"/>
      <c r="R153" s="71"/>
    </row>
    <row r="154" spans="1:18" x14ac:dyDescent="0.15">
      <c r="A154" s="38">
        <f t="shared" si="17"/>
        <v>1800</v>
      </c>
      <c r="B154" s="109"/>
      <c r="C154" s="109"/>
      <c r="D154" s="109"/>
      <c r="E154" s="109"/>
      <c r="F154" s="109"/>
      <c r="G154" s="109"/>
      <c r="H154" s="109"/>
      <c r="I154" s="109"/>
      <c r="J154" s="109"/>
      <c r="N154" s="109">
        <v>0.2</v>
      </c>
      <c r="O154" s="109"/>
      <c r="P154" s="109"/>
      <c r="Q154" s="109"/>
      <c r="R154" s="71"/>
    </row>
    <row r="155" spans="1:18" x14ac:dyDescent="0.15">
      <c r="A155" s="38">
        <f t="shared" si="17"/>
        <v>1801</v>
      </c>
      <c r="B155" s="109"/>
      <c r="C155" s="109"/>
      <c r="D155" s="109"/>
      <c r="E155" s="109"/>
      <c r="F155" s="109"/>
      <c r="G155" s="109"/>
      <c r="H155" s="109">
        <v>0.375</v>
      </c>
      <c r="I155" s="109"/>
      <c r="J155" s="109"/>
      <c r="N155" s="109">
        <v>0.2</v>
      </c>
      <c r="O155" s="109">
        <f>(H155*2.4)/0.494</f>
        <v>1.8218623481781375</v>
      </c>
      <c r="P155" s="109">
        <f>(H155*N155)*2.2046</f>
        <v>0.16534500000000002</v>
      </c>
      <c r="Q155" s="109">
        <f>P155*111.4</f>
        <v>18.419433000000001</v>
      </c>
      <c r="R155" s="71">
        <f>O155*9.61</f>
        <v>17.508097165991902</v>
      </c>
    </row>
    <row r="156" spans="1:18" x14ac:dyDescent="0.15">
      <c r="A156" s="38">
        <f t="shared" si="17"/>
        <v>1802</v>
      </c>
      <c r="B156" s="109"/>
      <c r="C156" s="109"/>
      <c r="D156" s="109"/>
      <c r="E156" s="109"/>
      <c r="F156" s="109"/>
      <c r="G156" s="109"/>
      <c r="H156" s="109"/>
      <c r="I156" s="109"/>
      <c r="J156" s="109"/>
      <c r="N156" s="109">
        <v>0.2</v>
      </c>
      <c r="O156" s="109"/>
      <c r="P156" s="109"/>
      <c r="Q156" s="109"/>
      <c r="R156" s="71"/>
    </row>
    <row r="157" spans="1:18" x14ac:dyDescent="0.15">
      <c r="A157" s="38">
        <f t="shared" si="17"/>
        <v>1803</v>
      </c>
      <c r="B157" s="109"/>
      <c r="C157" s="109"/>
      <c r="D157" s="109"/>
      <c r="E157" s="109"/>
      <c r="F157" s="109"/>
      <c r="G157" s="109"/>
      <c r="H157" s="109">
        <v>0.5</v>
      </c>
      <c r="I157" s="109"/>
      <c r="J157" s="109"/>
      <c r="N157" s="109">
        <v>0.2</v>
      </c>
      <c r="O157" s="109">
        <f>(H157*2.4)/0.494</f>
        <v>2.42914979757085</v>
      </c>
      <c r="P157" s="109">
        <f>(H157*N157)*2.2046</f>
        <v>0.22046000000000002</v>
      </c>
      <c r="Q157" s="109">
        <f>P157*111.4</f>
        <v>24.559244000000003</v>
      </c>
      <c r="R157" s="71">
        <f>O157*9.61</f>
        <v>23.344129554655868</v>
      </c>
    </row>
    <row r="158" spans="1:18" x14ac:dyDescent="0.15">
      <c r="A158" s="38">
        <f t="shared" si="17"/>
        <v>1804</v>
      </c>
      <c r="B158" s="109"/>
      <c r="C158" s="109"/>
      <c r="D158" s="109"/>
      <c r="E158" s="109"/>
      <c r="F158" s="109"/>
      <c r="G158" s="109"/>
      <c r="H158" s="109"/>
      <c r="I158" s="109"/>
      <c r="J158" s="109"/>
      <c r="N158" s="109">
        <v>0.2</v>
      </c>
      <c r="O158" s="109"/>
      <c r="P158" s="109"/>
      <c r="Q158" s="109"/>
      <c r="R158" s="109"/>
    </row>
    <row r="159" spans="1:18" x14ac:dyDescent="0.15">
      <c r="A159" s="38">
        <f t="shared" si="17"/>
        <v>1805</v>
      </c>
      <c r="B159" s="109"/>
      <c r="C159" s="109"/>
      <c r="D159" s="109"/>
      <c r="E159" s="109"/>
      <c r="F159" s="109"/>
      <c r="G159" s="109"/>
      <c r="H159" s="109"/>
      <c r="I159" s="109"/>
      <c r="J159" s="109"/>
      <c r="N159" s="109">
        <v>0.16666666666666666</v>
      </c>
      <c r="O159" s="109"/>
      <c r="P159" s="109"/>
      <c r="Q159" s="109"/>
      <c r="R159" s="109"/>
    </row>
    <row r="160" spans="1:18" x14ac:dyDescent="0.15">
      <c r="A160" s="38">
        <f t="shared" si="17"/>
        <v>1806</v>
      </c>
      <c r="B160" s="109"/>
      <c r="C160" s="109"/>
      <c r="D160" s="109"/>
      <c r="E160" s="109"/>
      <c r="F160" s="109"/>
      <c r="G160" s="109"/>
      <c r="H160" s="109"/>
      <c r="I160" s="109"/>
      <c r="J160" s="109"/>
      <c r="N160" s="109">
        <v>0.2</v>
      </c>
      <c r="O160" s="109"/>
      <c r="P160" s="109"/>
      <c r="Q160" s="109"/>
      <c r="R160" s="109"/>
    </row>
    <row r="161" spans="1:17" x14ac:dyDescent="0.15">
      <c r="A161" s="38">
        <f t="shared" si="17"/>
        <v>1807</v>
      </c>
      <c r="B161" s="109"/>
      <c r="C161" s="109"/>
      <c r="D161" s="109"/>
      <c r="E161" s="109"/>
      <c r="F161" s="109"/>
      <c r="G161" s="109"/>
      <c r="H161" s="109"/>
      <c r="I161" s="109"/>
      <c r="J161" s="109"/>
      <c r="N161" s="109">
        <v>0.1875</v>
      </c>
      <c r="O161" s="109"/>
      <c r="P161" s="109"/>
      <c r="Q161" s="109"/>
    </row>
    <row r="162" spans="1:17" x14ac:dyDescent="0.15">
      <c r="A162" s="38">
        <f t="shared" si="17"/>
        <v>1808</v>
      </c>
      <c r="B162" s="109"/>
      <c r="C162" s="109"/>
      <c r="D162" s="109"/>
      <c r="E162" s="109"/>
      <c r="F162" s="109"/>
      <c r="G162" s="109"/>
      <c r="H162" s="109"/>
      <c r="I162" s="109"/>
      <c r="J162" s="109"/>
      <c r="N162" s="109">
        <v>0.164583333333333</v>
      </c>
      <c r="O162" s="109"/>
      <c r="P162" s="109"/>
      <c r="Q162" s="109"/>
    </row>
    <row r="163" spans="1:17" x14ac:dyDescent="0.15">
      <c r="A163" s="38">
        <f t="shared" si="17"/>
        <v>1809</v>
      </c>
      <c r="B163" s="109"/>
      <c r="C163" s="109"/>
      <c r="D163" s="109"/>
      <c r="E163" s="109"/>
      <c r="F163" s="109"/>
      <c r="G163" s="109"/>
      <c r="H163" s="109"/>
      <c r="I163" s="109"/>
      <c r="J163" s="109"/>
      <c r="N163" s="109">
        <v>0.16666666666666699</v>
      </c>
      <c r="O163" s="109"/>
      <c r="P163" s="109"/>
      <c r="Q163" s="109"/>
    </row>
    <row r="164" spans="1:17" x14ac:dyDescent="0.15">
      <c r="A164" s="38">
        <f t="shared" si="17"/>
        <v>1810</v>
      </c>
      <c r="B164" s="109"/>
      <c r="C164" s="109"/>
      <c r="D164" s="109"/>
      <c r="E164" s="109"/>
      <c r="F164" s="109"/>
      <c r="G164" s="109"/>
      <c r="H164" s="109"/>
      <c r="I164" s="109"/>
      <c r="J164" s="109"/>
      <c r="N164" s="109">
        <v>0.15937499999999999</v>
      </c>
      <c r="O164" s="109"/>
      <c r="P164" s="109"/>
      <c r="Q164" s="109"/>
    </row>
    <row r="165" spans="1:17" x14ac:dyDescent="0.15">
      <c r="A165" s="38">
        <f t="shared" si="17"/>
        <v>1811</v>
      </c>
      <c r="B165" s="109"/>
      <c r="C165" s="109"/>
      <c r="D165" s="109"/>
      <c r="E165" s="109"/>
      <c r="F165" s="109"/>
      <c r="G165" s="109"/>
      <c r="H165" s="109"/>
      <c r="I165" s="109"/>
      <c r="J165" s="109"/>
      <c r="N165" s="109">
        <v>0.139583333333333</v>
      </c>
      <c r="O165" s="109"/>
      <c r="P165" s="109"/>
      <c r="Q165" s="109"/>
    </row>
    <row r="166" spans="1:17" x14ac:dyDescent="0.15">
      <c r="A166" s="38">
        <f t="shared" si="17"/>
        <v>1812</v>
      </c>
      <c r="B166" s="109"/>
      <c r="C166" s="109"/>
      <c r="D166" s="109"/>
      <c r="E166" s="109"/>
      <c r="F166" s="109"/>
      <c r="G166" s="109"/>
      <c r="H166" s="109"/>
      <c r="I166" s="109"/>
      <c r="J166" s="109"/>
      <c r="N166" s="109">
        <v>0.13645833333333299</v>
      </c>
      <c r="O166" s="109"/>
      <c r="P166" s="109"/>
      <c r="Q166" s="109"/>
    </row>
    <row r="167" spans="1:17" x14ac:dyDescent="0.15">
      <c r="A167" s="38">
        <f t="shared" si="17"/>
        <v>1813</v>
      </c>
      <c r="B167" s="109"/>
      <c r="C167" s="109"/>
      <c r="D167" s="109"/>
      <c r="E167" s="109"/>
      <c r="F167" s="109"/>
      <c r="G167" s="109"/>
      <c r="H167" s="109"/>
      <c r="I167" s="109"/>
      <c r="J167" s="109"/>
      <c r="N167" s="109">
        <v>0.126041666666667</v>
      </c>
      <c r="O167" s="109"/>
      <c r="P167" s="109"/>
      <c r="Q167" s="109"/>
    </row>
    <row r="168" spans="1:17" x14ac:dyDescent="0.15">
      <c r="A168" s="38">
        <f t="shared" si="17"/>
        <v>1814</v>
      </c>
      <c r="B168" s="109"/>
      <c r="C168" s="109"/>
      <c r="D168" s="109"/>
      <c r="E168" s="109"/>
      <c r="F168" s="109"/>
      <c r="G168" s="109"/>
      <c r="H168" s="109"/>
      <c r="I168" s="109"/>
      <c r="J168" s="109"/>
      <c r="N168" s="109">
        <v>0.113541666666667</v>
      </c>
      <c r="O168" s="109"/>
      <c r="P168" s="109"/>
      <c r="Q168" s="109"/>
    </row>
    <row r="169" spans="1:17" x14ac:dyDescent="0.15">
      <c r="A169" s="38">
        <f t="shared" si="17"/>
        <v>1815</v>
      </c>
      <c r="B169" s="109"/>
      <c r="C169" s="109"/>
      <c r="D169" s="109"/>
      <c r="E169" s="109"/>
      <c r="F169" s="109"/>
      <c r="G169" s="109"/>
      <c r="H169" s="109"/>
      <c r="I169" s="109"/>
      <c r="J169" s="109"/>
      <c r="N169" s="109">
        <v>0.1125</v>
      </c>
      <c r="O169" s="109"/>
      <c r="P169" s="109"/>
      <c r="Q169" s="109"/>
    </row>
    <row r="170" spans="1:17" x14ac:dyDescent="0.15">
      <c r="A170" s="38">
        <f t="shared" si="17"/>
        <v>1816</v>
      </c>
      <c r="B170" s="109"/>
      <c r="C170" s="109"/>
      <c r="D170" s="109"/>
      <c r="E170" s="109"/>
      <c r="F170" s="109"/>
      <c r="G170" s="109"/>
      <c r="H170" s="109"/>
      <c r="I170" s="109"/>
      <c r="J170" s="109"/>
      <c r="N170" s="109">
        <v>0.104166666666667</v>
      </c>
      <c r="O170" s="109"/>
      <c r="P170" s="109"/>
      <c r="Q170" s="109"/>
    </row>
    <row r="171" spans="1:17" x14ac:dyDescent="0.15">
      <c r="A171" s="38">
        <f t="shared" si="17"/>
        <v>1817</v>
      </c>
      <c r="B171" s="109"/>
      <c r="C171" s="109"/>
      <c r="D171" s="109"/>
      <c r="E171" s="109"/>
      <c r="F171" s="109"/>
      <c r="G171" s="109"/>
      <c r="H171" s="109"/>
      <c r="I171" s="109"/>
      <c r="J171" s="109"/>
      <c r="N171" s="109">
        <v>8.8541666666666671E-2</v>
      </c>
      <c r="O171" s="109"/>
      <c r="P171" s="109"/>
      <c r="Q171" s="109"/>
    </row>
    <row r="172" spans="1:17" x14ac:dyDescent="0.15">
      <c r="A172" s="38">
        <f t="shared" si="17"/>
        <v>1818</v>
      </c>
      <c r="B172" s="109"/>
      <c r="C172" s="109"/>
      <c r="D172" s="109"/>
      <c r="E172" s="109"/>
      <c r="F172" s="109"/>
      <c r="G172" s="109"/>
      <c r="H172" s="109"/>
      <c r="I172" s="109"/>
      <c r="J172" s="109"/>
      <c r="N172" s="109">
        <v>8.7499999999999994E-2</v>
      </c>
      <c r="O172" s="109"/>
      <c r="P172" s="109"/>
      <c r="Q172" s="109"/>
    </row>
    <row r="173" spans="1:17" x14ac:dyDescent="0.15">
      <c r="A173" s="38">
        <f t="shared" si="17"/>
        <v>1819</v>
      </c>
      <c r="B173" s="109"/>
      <c r="C173" s="109"/>
      <c r="D173" s="109"/>
      <c r="E173" s="109"/>
      <c r="F173" s="109"/>
      <c r="G173" s="109"/>
      <c r="H173" s="109"/>
      <c r="I173" s="109"/>
      <c r="J173" s="109"/>
      <c r="N173" s="109">
        <v>9.2708333333333295E-2</v>
      </c>
      <c r="O173" s="109"/>
      <c r="P173" s="109"/>
      <c r="Q173" s="109"/>
    </row>
    <row r="174" spans="1:17" x14ac:dyDescent="0.15">
      <c r="A174" s="38">
        <f t="shared" si="17"/>
        <v>1820</v>
      </c>
      <c r="B174" s="109"/>
      <c r="C174" s="109"/>
      <c r="D174" s="109"/>
      <c r="E174" s="109"/>
      <c r="F174" s="109"/>
      <c r="G174" s="109"/>
      <c r="H174" s="109"/>
      <c r="I174" s="109"/>
      <c r="J174" s="109"/>
      <c r="N174" s="109">
        <v>8.7499999999999994E-2</v>
      </c>
      <c r="O174" s="109"/>
      <c r="P174" s="109"/>
      <c r="Q174" s="109"/>
    </row>
    <row r="175" spans="1:17" x14ac:dyDescent="0.15">
      <c r="A175" s="38">
        <f t="shared" si="17"/>
        <v>1821</v>
      </c>
      <c r="B175" s="109"/>
      <c r="C175" s="109"/>
      <c r="D175" s="109"/>
      <c r="E175" s="109"/>
      <c r="F175" s="109"/>
      <c r="G175" s="109"/>
      <c r="H175" s="109"/>
      <c r="I175" s="109"/>
      <c r="J175" s="109"/>
      <c r="N175" s="109">
        <v>8.3333333333333301E-2</v>
      </c>
      <c r="O175" s="109"/>
      <c r="P175" s="109"/>
      <c r="Q175" s="109"/>
    </row>
    <row r="176" spans="1:17" x14ac:dyDescent="0.15">
      <c r="A176" s="38">
        <f t="shared" si="17"/>
        <v>1822</v>
      </c>
      <c r="B176" s="109"/>
      <c r="C176" s="109"/>
      <c r="D176" s="109"/>
      <c r="E176" s="109"/>
      <c r="F176" s="109"/>
      <c r="G176" s="109"/>
      <c r="H176" s="109"/>
      <c r="I176" s="109">
        <v>1.5833333333333331E-2</v>
      </c>
      <c r="J176" s="109"/>
      <c r="N176" s="109">
        <v>7.1874999999999994E-2</v>
      </c>
      <c r="O176" s="109"/>
      <c r="P176" s="109">
        <f>I176*2.2046</f>
        <v>3.4906166666666662E-2</v>
      </c>
      <c r="Q176" s="109">
        <f>P176*104.6</f>
        <v>3.6511850333333324</v>
      </c>
    </row>
    <row r="177" spans="1:17" x14ac:dyDescent="0.15">
      <c r="A177" s="38">
        <f t="shared" si="17"/>
        <v>1823</v>
      </c>
      <c r="B177" s="109"/>
      <c r="C177" s="109"/>
      <c r="D177" s="109"/>
      <c r="E177" s="109"/>
      <c r="F177" s="109"/>
      <c r="G177" s="109"/>
      <c r="H177" s="109"/>
      <c r="I177" s="109">
        <v>4.791666666666667E-2</v>
      </c>
      <c r="J177" s="109"/>
      <c r="N177" s="109">
        <v>7.8125E-2</v>
      </c>
      <c r="O177" s="109"/>
      <c r="P177" s="109">
        <f>I177*2.2046</f>
        <v>0.10563708333333334</v>
      </c>
      <c r="Q177" s="109">
        <f t="shared" ref="Q177" si="20">P177*104.6</f>
        <v>11.049638916666666</v>
      </c>
    </row>
    <row r="178" spans="1:17" x14ac:dyDescent="0.15">
      <c r="A178" s="38">
        <f t="shared" si="17"/>
        <v>1824</v>
      </c>
      <c r="B178" s="109"/>
      <c r="C178" s="109"/>
      <c r="D178" s="109"/>
      <c r="E178" s="109"/>
      <c r="F178" s="109"/>
      <c r="G178" s="109"/>
      <c r="H178" s="109"/>
      <c r="I178" s="109"/>
      <c r="J178" s="109"/>
      <c r="N178" s="109">
        <v>7.2916666666666699E-2</v>
      </c>
      <c r="O178" s="109"/>
      <c r="P178" s="109"/>
      <c r="Q178" s="109"/>
    </row>
    <row r="179" spans="1:17" x14ac:dyDescent="0.15">
      <c r="A179" s="38">
        <f t="shared" si="17"/>
        <v>1825</v>
      </c>
      <c r="B179" s="109"/>
      <c r="C179" s="109"/>
      <c r="D179" s="109"/>
      <c r="E179" s="109"/>
      <c r="F179" s="109"/>
      <c r="G179" s="109"/>
      <c r="H179" s="109"/>
      <c r="I179" s="109">
        <v>2.041666666666667E-2</v>
      </c>
      <c r="J179" s="109"/>
      <c r="K179" s="78"/>
      <c r="N179" s="109">
        <v>7.4999999999999997E-2</v>
      </c>
      <c r="O179" s="109"/>
      <c r="P179" s="109">
        <f t="shared" ref="P179:P187" si="21">I179*2.2046</f>
        <v>4.501058333333334E-2</v>
      </c>
      <c r="Q179" s="109">
        <f t="shared" ref="Q179" si="22">P179*104.6</f>
        <v>4.7081070166666672</v>
      </c>
    </row>
    <row r="180" spans="1:17" x14ac:dyDescent="0.15">
      <c r="A180" s="38">
        <f t="shared" si="17"/>
        <v>1826</v>
      </c>
      <c r="B180" s="109"/>
      <c r="C180" s="109"/>
      <c r="D180" s="109"/>
      <c r="E180" s="109"/>
      <c r="F180" s="109"/>
      <c r="G180" s="109"/>
      <c r="H180" s="109"/>
      <c r="I180" s="109">
        <v>1.5625E-2</v>
      </c>
      <c r="J180" s="109"/>
      <c r="K180" s="78"/>
      <c r="L180" s="77">
        <v>3.3104390115522828</v>
      </c>
      <c r="N180" s="109">
        <v>7.5000000000000011E-2</v>
      </c>
      <c r="O180" s="109"/>
      <c r="P180" s="109">
        <f t="shared" si="21"/>
        <v>3.4446875000000002E-2</v>
      </c>
      <c r="Q180" s="109">
        <f>(P180*104.6+L180)/2</f>
        <v>3.4567910682761411</v>
      </c>
    </row>
    <row r="181" spans="1:17" x14ac:dyDescent="0.15">
      <c r="A181" s="38">
        <f t="shared" si="17"/>
        <v>1827</v>
      </c>
      <c r="B181" s="109"/>
      <c r="C181" s="109"/>
      <c r="D181" s="109"/>
      <c r="E181" s="109"/>
      <c r="F181" s="109"/>
      <c r="G181" s="109"/>
      <c r="H181" s="109"/>
      <c r="I181" s="109">
        <v>4.5833333333333334E-3</v>
      </c>
      <c r="J181" s="109"/>
      <c r="K181" s="78"/>
      <c r="L181" s="77">
        <v>3.1077590720694896</v>
      </c>
      <c r="N181" s="109">
        <v>7.5000000000000011E-2</v>
      </c>
      <c r="O181" s="109"/>
      <c r="P181" s="109">
        <f t="shared" si="21"/>
        <v>1.0104416666666668E-2</v>
      </c>
      <c r="Q181" s="109">
        <f t="shared" ref="Q181:Q188" si="23">(P181*104.6+L181)/2</f>
        <v>2.0823405277014118</v>
      </c>
    </row>
    <row r="182" spans="1:17" x14ac:dyDescent="0.15">
      <c r="A182" s="38">
        <f t="shared" si="17"/>
        <v>1828</v>
      </c>
      <c r="B182" s="109"/>
      <c r="C182" s="109"/>
      <c r="D182" s="109"/>
      <c r="E182" s="109"/>
      <c r="F182" s="109"/>
      <c r="G182" s="109"/>
      <c r="H182" s="109"/>
      <c r="I182" s="109">
        <v>3.4583333333333334E-2</v>
      </c>
      <c r="J182" s="109"/>
      <c r="K182" s="78"/>
      <c r="L182" s="77">
        <v>3.6960938964014858</v>
      </c>
      <c r="N182" s="109"/>
      <c r="O182" s="109"/>
      <c r="P182" s="109">
        <f t="shared" si="21"/>
        <v>7.6242416666666674E-2</v>
      </c>
      <c r="Q182" s="109">
        <f t="shared" si="23"/>
        <v>5.8355253398674094</v>
      </c>
    </row>
    <row r="183" spans="1:17" x14ac:dyDescent="0.15">
      <c r="A183" s="38">
        <f t="shared" si="17"/>
        <v>1829</v>
      </c>
      <c r="B183" s="109"/>
      <c r="C183" s="109"/>
      <c r="D183" s="109"/>
      <c r="E183" s="109"/>
      <c r="F183" s="109"/>
      <c r="G183" s="109"/>
      <c r="H183" s="109"/>
      <c r="I183" s="109">
        <v>1.9583333333333335E-2</v>
      </c>
      <c r="J183" s="109"/>
      <c r="K183" s="78"/>
      <c r="L183" s="77">
        <v>4.6503786114663015</v>
      </c>
      <c r="N183" s="109"/>
      <c r="O183" s="109"/>
      <c r="P183" s="109">
        <f t="shared" si="21"/>
        <v>4.3173416666666672E-2</v>
      </c>
      <c r="Q183" s="109">
        <f t="shared" si="23"/>
        <v>4.583158997399817</v>
      </c>
    </row>
    <row r="184" spans="1:17" x14ac:dyDescent="0.15">
      <c r="A184" s="38">
        <f t="shared" si="17"/>
        <v>1830</v>
      </c>
      <c r="B184" s="109"/>
      <c r="C184" s="109"/>
      <c r="D184" s="109"/>
      <c r="E184" s="109"/>
      <c r="F184" s="109"/>
      <c r="G184" s="109"/>
      <c r="H184" s="109"/>
      <c r="I184" s="109">
        <v>1.9125E-2</v>
      </c>
      <c r="J184" s="109"/>
      <c r="K184" s="78"/>
      <c r="L184" s="77">
        <v>3.7608388770696002</v>
      </c>
      <c r="N184" s="109"/>
      <c r="O184" s="109"/>
      <c r="P184" s="109">
        <f t="shared" si="21"/>
        <v>4.2162974999999998E-2</v>
      </c>
      <c r="Q184" s="109">
        <f t="shared" si="23"/>
        <v>4.0855430310348</v>
      </c>
    </row>
    <row r="185" spans="1:17" x14ac:dyDescent="0.15">
      <c r="A185" s="38">
        <f t="shared" si="17"/>
        <v>1831</v>
      </c>
      <c r="B185" s="109"/>
      <c r="C185" s="109"/>
      <c r="D185" s="109"/>
      <c r="E185" s="109"/>
      <c r="F185" s="109"/>
      <c r="G185" s="109"/>
      <c r="H185" s="109"/>
      <c r="I185" s="109">
        <v>0.02</v>
      </c>
      <c r="J185" s="109"/>
      <c r="K185" s="78"/>
      <c r="L185" s="77">
        <v>3.1139008884174535</v>
      </c>
      <c r="N185" s="109"/>
      <c r="O185" s="109"/>
      <c r="P185" s="109">
        <f t="shared" si="21"/>
        <v>4.4092000000000006E-2</v>
      </c>
      <c r="Q185" s="109">
        <f t="shared" si="23"/>
        <v>3.8629620442087269</v>
      </c>
    </row>
    <row r="186" spans="1:17" x14ac:dyDescent="0.15">
      <c r="A186" s="38">
        <f t="shared" si="17"/>
        <v>1832</v>
      </c>
      <c r="B186" s="109"/>
      <c r="C186" s="109"/>
      <c r="D186" s="109"/>
      <c r="E186" s="109"/>
      <c r="F186" s="109"/>
      <c r="G186" s="109"/>
      <c r="H186" s="109"/>
      <c r="I186" s="109">
        <v>1.7083333333333332E-2</v>
      </c>
      <c r="J186" s="109"/>
      <c r="K186" s="78"/>
      <c r="L186" s="77">
        <v>2.5841692284056084</v>
      </c>
      <c r="N186" s="109"/>
      <c r="O186" s="109"/>
      <c r="P186" s="109">
        <f t="shared" si="21"/>
        <v>3.7661916666666663E-2</v>
      </c>
      <c r="Q186" s="109">
        <f t="shared" si="23"/>
        <v>3.2618028558694707</v>
      </c>
    </row>
    <row r="187" spans="1:17" x14ac:dyDescent="0.15">
      <c r="A187" s="38">
        <f t="shared" si="17"/>
        <v>1833</v>
      </c>
      <c r="B187" s="109"/>
      <c r="C187" s="109"/>
      <c r="D187" s="109"/>
      <c r="E187" s="109"/>
      <c r="F187" s="109"/>
      <c r="G187" s="109"/>
      <c r="H187" s="109"/>
      <c r="I187" s="109">
        <v>1.5833333333333331E-2</v>
      </c>
      <c r="J187" s="109"/>
      <c r="K187" s="78"/>
      <c r="L187" s="77">
        <v>2.510979250259044</v>
      </c>
      <c r="N187" s="109"/>
      <c r="O187" s="109"/>
      <c r="P187" s="109">
        <f t="shared" si="21"/>
        <v>3.4906166666666662E-2</v>
      </c>
      <c r="Q187" s="109">
        <f t="shared" si="23"/>
        <v>3.0810821417961884</v>
      </c>
    </row>
    <row r="188" spans="1:17" x14ac:dyDescent="0.15">
      <c r="A188" s="38">
        <f t="shared" si="17"/>
        <v>1834</v>
      </c>
      <c r="B188" s="109"/>
      <c r="C188" s="109"/>
      <c r="D188" s="109"/>
      <c r="E188" s="109"/>
      <c r="F188" s="109"/>
      <c r="G188" s="109"/>
      <c r="H188" s="109"/>
      <c r="I188" s="109">
        <v>2.0833333333333332E-2</v>
      </c>
      <c r="J188" s="109"/>
      <c r="K188" s="78"/>
      <c r="L188" s="77">
        <v>2.5334992435349104</v>
      </c>
      <c r="N188" s="109"/>
      <c r="O188" s="109"/>
      <c r="P188" s="109">
        <f>I188*2.2046</f>
        <v>4.5929166666666667E-2</v>
      </c>
      <c r="Q188" s="109">
        <f t="shared" si="23"/>
        <v>3.6688450384341218</v>
      </c>
    </row>
    <row r="189" spans="1:17" x14ac:dyDescent="0.15">
      <c r="A189" s="38">
        <f t="shared" si="17"/>
        <v>1835</v>
      </c>
      <c r="B189" s="109"/>
      <c r="C189" s="109"/>
      <c r="D189" s="109"/>
      <c r="E189" s="109"/>
      <c r="F189" s="109"/>
      <c r="G189" s="109"/>
      <c r="H189" s="109"/>
      <c r="I189" s="109"/>
      <c r="J189" s="109"/>
      <c r="K189" s="78">
        <v>3.6786004041819709</v>
      </c>
      <c r="L189" s="77">
        <v>3.4005189846557462</v>
      </c>
      <c r="N189" s="109"/>
      <c r="O189" s="109"/>
      <c r="P189" s="109"/>
      <c r="Q189" s="109">
        <f>AVERAGE(K189:L189)</f>
        <v>3.5395596944188585</v>
      </c>
    </row>
    <row r="190" spans="1:17" x14ac:dyDescent="0.15">
      <c r="A190" s="38">
        <f t="shared" si="17"/>
        <v>1836</v>
      </c>
      <c r="B190" s="109"/>
      <c r="C190" s="109"/>
      <c r="D190" s="109"/>
      <c r="E190" s="109"/>
      <c r="F190" s="109"/>
      <c r="G190" s="109"/>
      <c r="H190" s="109"/>
      <c r="I190" s="109"/>
      <c r="J190" s="109"/>
      <c r="K190" s="78"/>
      <c r="L190" s="77">
        <v>4.0198187997420574</v>
      </c>
      <c r="N190" s="109"/>
      <c r="O190" s="109"/>
      <c r="P190" s="109"/>
      <c r="Q190" s="109">
        <f t="shared" ref="Q190:Q223" si="24">AVERAGE(K190:L190)</f>
        <v>4.0198187997420574</v>
      </c>
    </row>
    <row r="191" spans="1:17" x14ac:dyDescent="0.15">
      <c r="A191" s="38">
        <f t="shared" si="17"/>
        <v>1837</v>
      </c>
      <c r="B191" s="109"/>
      <c r="C191" s="109"/>
      <c r="D191" s="109"/>
      <c r="E191" s="109"/>
      <c r="F191" s="109"/>
      <c r="G191" s="109"/>
      <c r="H191" s="109"/>
      <c r="I191" s="109"/>
      <c r="J191" s="109"/>
      <c r="K191" s="78">
        <v>4.5639812916666704</v>
      </c>
      <c r="L191" s="77">
        <v>3.8058788636213317</v>
      </c>
      <c r="N191" s="109"/>
      <c r="O191" s="109"/>
      <c r="P191" s="109"/>
      <c r="Q191" s="109">
        <f t="shared" si="24"/>
        <v>4.184930077644001</v>
      </c>
    </row>
    <row r="192" spans="1:17" x14ac:dyDescent="0.15">
      <c r="A192" s="38">
        <f t="shared" si="17"/>
        <v>1838</v>
      </c>
      <c r="B192" s="109"/>
      <c r="C192" s="109"/>
      <c r="D192" s="109"/>
      <c r="E192" s="109"/>
      <c r="F192" s="109"/>
      <c r="G192" s="109"/>
      <c r="H192" s="109"/>
      <c r="I192" s="109"/>
      <c r="J192" s="109"/>
      <c r="K192" s="78"/>
      <c r="L192" s="77">
        <v>7.0937978818977481</v>
      </c>
      <c r="N192" s="109"/>
      <c r="O192" s="109"/>
      <c r="P192" s="109"/>
      <c r="Q192" s="109">
        <f t="shared" si="24"/>
        <v>7.0937978818977481</v>
      </c>
    </row>
    <row r="193" spans="1:17" x14ac:dyDescent="0.15">
      <c r="A193" s="38">
        <f t="shared" si="17"/>
        <v>1839</v>
      </c>
      <c r="B193" s="109"/>
      <c r="C193" s="109"/>
      <c r="D193" s="109"/>
      <c r="E193" s="109"/>
      <c r="F193" s="109"/>
      <c r="G193" s="109"/>
      <c r="H193" s="109"/>
      <c r="I193" s="109"/>
      <c r="J193" s="109"/>
      <c r="K193" s="78"/>
      <c r="L193" s="77">
        <v>5.9227582315527236</v>
      </c>
      <c r="N193" s="109"/>
      <c r="O193" s="109"/>
      <c r="P193" s="109"/>
      <c r="Q193" s="109">
        <f t="shared" si="24"/>
        <v>5.9227582315527236</v>
      </c>
    </row>
    <row r="194" spans="1:17" x14ac:dyDescent="0.15">
      <c r="A194" s="38">
        <f t="shared" si="17"/>
        <v>1840</v>
      </c>
      <c r="B194" s="109"/>
      <c r="C194" s="109"/>
      <c r="D194" s="109"/>
      <c r="E194" s="109"/>
      <c r="F194" s="109"/>
      <c r="G194" s="109"/>
      <c r="H194" s="109"/>
      <c r="I194" s="109"/>
      <c r="J194" s="109"/>
      <c r="K194" s="78"/>
      <c r="L194" s="77">
        <v>6.3997726345778831</v>
      </c>
      <c r="N194" s="109"/>
      <c r="O194" s="109"/>
      <c r="P194" s="109"/>
      <c r="Q194" s="109">
        <f t="shared" si="24"/>
        <v>6.3997726345778831</v>
      </c>
    </row>
    <row r="195" spans="1:17" x14ac:dyDescent="0.15">
      <c r="A195" s="38">
        <f t="shared" si="17"/>
        <v>1841</v>
      </c>
      <c r="B195" s="109"/>
      <c r="C195" s="109"/>
      <c r="D195" s="109"/>
      <c r="E195" s="109"/>
      <c r="F195" s="109"/>
      <c r="G195" s="109"/>
      <c r="H195" s="109"/>
      <c r="I195" s="109"/>
      <c r="J195" s="109"/>
      <c r="K195" s="78"/>
      <c r="L195" s="77">
        <v>4.1679310632102515</v>
      </c>
      <c r="N195" s="109"/>
      <c r="O195" s="109"/>
      <c r="P195" s="109"/>
      <c r="Q195" s="109">
        <f t="shared" si="24"/>
        <v>4.1679310632102515</v>
      </c>
    </row>
    <row r="196" spans="1:17" x14ac:dyDescent="0.15">
      <c r="A196" s="38">
        <f t="shared" si="17"/>
        <v>1842</v>
      </c>
      <c r="B196" s="109"/>
      <c r="C196" s="109"/>
      <c r="D196" s="109"/>
      <c r="E196" s="109"/>
      <c r="F196" s="109"/>
      <c r="G196" s="109"/>
      <c r="H196" s="109"/>
      <c r="I196" s="109"/>
      <c r="J196" s="109"/>
      <c r="K196" s="78"/>
      <c r="L196" s="77">
        <v>4.485982660552482</v>
      </c>
      <c r="N196" s="109"/>
      <c r="O196" s="109"/>
      <c r="P196" s="109"/>
      <c r="Q196" s="109">
        <f t="shared" si="24"/>
        <v>4.485982660552482</v>
      </c>
    </row>
    <row r="197" spans="1:17" x14ac:dyDescent="0.15">
      <c r="A197" s="38">
        <f t="shared" si="17"/>
        <v>1843</v>
      </c>
      <c r="B197" s="109"/>
      <c r="C197" s="109"/>
      <c r="D197" s="109"/>
      <c r="E197" s="109"/>
      <c r="F197" s="109"/>
      <c r="G197" s="109"/>
      <c r="H197" s="109"/>
      <c r="I197" s="109"/>
      <c r="J197" s="109"/>
      <c r="K197" s="78"/>
      <c r="L197" s="77">
        <v>4.7967585677594302</v>
      </c>
      <c r="N197" s="109"/>
      <c r="O197" s="109"/>
      <c r="P197" s="109"/>
      <c r="Q197" s="109">
        <f t="shared" si="24"/>
        <v>4.7967585677594302</v>
      </c>
    </row>
    <row r="198" spans="1:17" x14ac:dyDescent="0.15">
      <c r="A198" s="38">
        <f t="shared" si="17"/>
        <v>1844</v>
      </c>
      <c r="B198" s="109"/>
      <c r="C198" s="109"/>
      <c r="D198" s="109"/>
      <c r="E198" s="109"/>
      <c r="F198" s="109"/>
      <c r="G198" s="109"/>
      <c r="H198" s="109"/>
      <c r="I198" s="109"/>
      <c r="J198" s="109"/>
      <c r="K198" s="78"/>
      <c r="L198" s="77">
        <v>5.3710183962940095</v>
      </c>
      <c r="N198" s="109"/>
      <c r="O198" s="109"/>
      <c r="P198" s="109"/>
      <c r="Q198" s="109">
        <f t="shared" si="24"/>
        <v>5.3710183962940095</v>
      </c>
    </row>
    <row r="199" spans="1:17" x14ac:dyDescent="0.15">
      <c r="A199" s="38">
        <f t="shared" si="17"/>
        <v>1845</v>
      </c>
      <c r="B199" s="109"/>
      <c r="C199" s="109"/>
      <c r="D199" s="109"/>
      <c r="E199" s="109"/>
      <c r="F199" s="109"/>
      <c r="G199" s="109"/>
      <c r="H199" s="109"/>
      <c r="I199" s="109"/>
      <c r="J199" s="109"/>
      <c r="K199" s="78"/>
      <c r="L199" s="77">
        <v>4.1027333204395635</v>
      </c>
      <c r="N199" s="109"/>
      <c r="O199" s="109"/>
      <c r="P199" s="109"/>
      <c r="Q199" s="109">
        <f t="shared" si="24"/>
        <v>4.1027333204395635</v>
      </c>
    </row>
    <row r="200" spans="1:17" x14ac:dyDescent="0.15">
      <c r="A200" s="38">
        <f t="shared" si="17"/>
        <v>1846</v>
      </c>
      <c r="B200" s="109"/>
      <c r="C200" s="109"/>
      <c r="D200" s="109"/>
      <c r="E200" s="109"/>
      <c r="F200" s="109"/>
      <c r="G200" s="109"/>
      <c r="H200" s="109"/>
      <c r="I200" s="109"/>
      <c r="J200" s="109"/>
      <c r="K200" s="78">
        <v>3.6031431249999999</v>
      </c>
      <c r="L200" s="77">
        <v>3.5131189510350751</v>
      </c>
      <c r="N200" s="109"/>
      <c r="O200" s="109"/>
      <c r="P200" s="109"/>
      <c r="Q200" s="109">
        <f t="shared" si="24"/>
        <v>3.5581310380175375</v>
      </c>
    </row>
    <row r="201" spans="1:17" x14ac:dyDescent="0.15">
      <c r="A201" s="38">
        <f t="shared" si="17"/>
        <v>1847</v>
      </c>
      <c r="B201" s="109"/>
      <c r="C201" s="109"/>
      <c r="D201" s="109"/>
      <c r="E201" s="109"/>
      <c r="F201" s="109"/>
      <c r="G201" s="109"/>
      <c r="H201" s="109"/>
      <c r="I201" s="109"/>
      <c r="J201" s="109"/>
      <c r="K201" s="78">
        <v>3.6031431249999999</v>
      </c>
      <c r="N201" s="109"/>
      <c r="O201" s="109"/>
      <c r="P201" s="109"/>
      <c r="Q201" s="109">
        <f t="shared" si="24"/>
        <v>3.6031431249999999</v>
      </c>
    </row>
    <row r="202" spans="1:17" x14ac:dyDescent="0.15">
      <c r="A202" s="38">
        <f t="shared" si="17"/>
        <v>1848</v>
      </c>
      <c r="B202" s="109"/>
      <c r="C202" s="109"/>
      <c r="D202" s="109"/>
      <c r="E202" s="109"/>
      <c r="F202" s="109"/>
      <c r="G202" s="109"/>
      <c r="H202" s="109"/>
      <c r="I202" s="109"/>
      <c r="J202" s="109"/>
      <c r="K202" s="78">
        <v>3.6031431249999999</v>
      </c>
      <c r="N202" s="109"/>
      <c r="O202" s="109"/>
      <c r="P202" s="109"/>
      <c r="Q202" s="109">
        <f t="shared" si="24"/>
        <v>3.6031431249999999</v>
      </c>
    </row>
    <row r="203" spans="1:17" x14ac:dyDescent="0.15">
      <c r="A203" s="38">
        <f t="shared" si="17"/>
        <v>1849</v>
      </c>
      <c r="B203" s="109"/>
      <c r="C203" s="109"/>
      <c r="D203" s="109"/>
      <c r="E203" s="109"/>
      <c r="F203" s="109"/>
      <c r="G203" s="109"/>
      <c r="H203" s="109"/>
      <c r="I203" s="109"/>
      <c r="J203" s="109"/>
      <c r="K203" s="78">
        <v>3.6031431249999999</v>
      </c>
      <c r="N203" s="109"/>
      <c r="O203" s="109"/>
      <c r="P203" s="109"/>
      <c r="Q203" s="109">
        <f t="shared" si="24"/>
        <v>3.6031431249999999</v>
      </c>
    </row>
    <row r="204" spans="1:17" x14ac:dyDescent="0.15">
      <c r="A204" s="38">
        <f t="shared" si="17"/>
        <v>1850</v>
      </c>
      <c r="B204" s="109"/>
      <c r="C204" s="109"/>
      <c r="D204" s="109"/>
      <c r="E204" s="109"/>
      <c r="F204" s="109"/>
      <c r="G204" s="109"/>
      <c r="H204" s="109"/>
      <c r="I204" s="109"/>
      <c r="J204" s="109"/>
      <c r="K204" s="78">
        <v>3.6031431249999999</v>
      </c>
      <c r="N204" s="109"/>
      <c r="O204" s="109"/>
      <c r="P204" s="109"/>
      <c r="Q204" s="109">
        <f t="shared" si="24"/>
        <v>3.6031431249999999</v>
      </c>
    </row>
    <row r="205" spans="1:17" x14ac:dyDescent="0.15">
      <c r="A205" s="38">
        <f t="shared" si="17"/>
        <v>1851</v>
      </c>
      <c r="B205" s="109"/>
      <c r="C205" s="109"/>
      <c r="D205" s="109"/>
      <c r="E205" s="109"/>
      <c r="F205" s="109"/>
      <c r="G205" s="109"/>
      <c r="H205" s="109"/>
      <c r="I205" s="109"/>
      <c r="J205" s="109"/>
      <c r="K205" s="78">
        <v>3.6031431249999999</v>
      </c>
      <c r="N205" s="109"/>
      <c r="O205" s="109"/>
      <c r="P205" s="109"/>
      <c r="Q205" s="109">
        <f t="shared" si="24"/>
        <v>3.6031431249999999</v>
      </c>
    </row>
    <row r="206" spans="1:17" x14ac:dyDescent="0.15">
      <c r="A206" s="38">
        <f t="shared" si="17"/>
        <v>1852</v>
      </c>
      <c r="B206" s="109"/>
      <c r="C206" s="109"/>
      <c r="D206" s="109"/>
      <c r="E206" s="109"/>
      <c r="F206" s="109"/>
      <c r="G206" s="109"/>
      <c r="H206" s="109"/>
      <c r="I206" s="109"/>
      <c r="J206" s="109"/>
      <c r="K206" s="78">
        <v>3.8433526666666666</v>
      </c>
      <c r="N206" s="109"/>
      <c r="O206" s="109"/>
      <c r="P206" s="109"/>
      <c r="Q206" s="109">
        <f t="shared" si="24"/>
        <v>3.8433526666666666</v>
      </c>
    </row>
    <row r="207" spans="1:17" x14ac:dyDescent="0.15">
      <c r="A207" s="38">
        <f t="shared" si="17"/>
        <v>1853</v>
      </c>
      <c r="B207" s="109"/>
      <c r="C207" s="109"/>
      <c r="D207" s="109"/>
      <c r="E207" s="109"/>
      <c r="F207" s="109"/>
      <c r="G207" s="109"/>
      <c r="H207" s="109"/>
      <c r="I207" s="109"/>
      <c r="J207" s="109"/>
      <c r="K207" s="78">
        <v>4.8041908333333323</v>
      </c>
      <c r="N207" s="109"/>
      <c r="O207" s="109"/>
      <c r="P207" s="109"/>
      <c r="Q207" s="109">
        <f t="shared" si="24"/>
        <v>4.8041908333333323</v>
      </c>
    </row>
    <row r="208" spans="1:17" x14ac:dyDescent="0.15">
      <c r="A208" s="38">
        <f t="shared" si="17"/>
        <v>1854</v>
      </c>
      <c r="B208" s="109"/>
      <c r="C208" s="109"/>
      <c r="D208" s="109"/>
      <c r="E208" s="109"/>
      <c r="F208" s="109"/>
      <c r="G208" s="109"/>
      <c r="H208" s="109"/>
      <c r="I208" s="109"/>
      <c r="J208" s="109"/>
      <c r="K208" s="78">
        <v>6.2454480833333337</v>
      </c>
      <c r="N208" s="109"/>
      <c r="O208" s="109"/>
      <c r="P208" s="109"/>
      <c r="Q208" s="109">
        <f t="shared" si="24"/>
        <v>6.2454480833333337</v>
      </c>
    </row>
    <row r="209" spans="1:17" x14ac:dyDescent="0.15">
      <c r="A209" s="38">
        <f t="shared" si="17"/>
        <v>1855</v>
      </c>
      <c r="B209" s="109"/>
      <c r="C209" s="109"/>
      <c r="D209" s="109"/>
      <c r="E209" s="109"/>
      <c r="F209" s="109"/>
      <c r="G209" s="109"/>
      <c r="H209" s="109"/>
      <c r="I209" s="109"/>
      <c r="J209" s="109"/>
      <c r="K209" s="78">
        <v>6.7258671666666672</v>
      </c>
      <c r="N209" s="109"/>
      <c r="O209" s="109"/>
      <c r="P209" s="109"/>
      <c r="Q209" s="109">
        <f t="shared" si="24"/>
        <v>6.7258671666666672</v>
      </c>
    </row>
    <row r="210" spans="1:17" x14ac:dyDescent="0.15">
      <c r="A210" s="38">
        <f t="shared" si="17"/>
        <v>1856</v>
      </c>
      <c r="B210" s="109"/>
      <c r="C210" s="109"/>
      <c r="D210" s="109"/>
      <c r="E210" s="109"/>
      <c r="F210" s="109"/>
      <c r="G210" s="109"/>
      <c r="H210" s="109"/>
      <c r="I210" s="109"/>
      <c r="J210" s="109"/>
      <c r="K210" s="78">
        <v>6.9660767083333335</v>
      </c>
      <c r="N210" s="109"/>
      <c r="O210" s="109"/>
      <c r="P210" s="109"/>
      <c r="Q210" s="109">
        <f t="shared" si="24"/>
        <v>6.9660767083333335</v>
      </c>
    </row>
    <row r="211" spans="1:17" x14ac:dyDescent="0.15">
      <c r="A211" s="38">
        <f t="shared" si="17"/>
        <v>1857</v>
      </c>
      <c r="B211" s="109"/>
      <c r="C211" s="109"/>
      <c r="D211" s="109"/>
      <c r="E211" s="109"/>
      <c r="F211" s="109"/>
      <c r="G211" s="109"/>
      <c r="H211" s="109"/>
      <c r="I211" s="109"/>
      <c r="J211" s="109"/>
      <c r="K211" s="78">
        <v>11.770267541666668</v>
      </c>
      <c r="N211" s="109"/>
      <c r="O211" s="109"/>
      <c r="P211" s="109"/>
      <c r="Q211" s="109">
        <f t="shared" si="24"/>
        <v>11.770267541666668</v>
      </c>
    </row>
    <row r="212" spans="1:17" x14ac:dyDescent="0.15">
      <c r="A212" s="38">
        <f t="shared" si="17"/>
        <v>1858</v>
      </c>
      <c r="B212" s="109"/>
      <c r="C212" s="109"/>
      <c r="D212" s="109"/>
      <c r="E212" s="109"/>
      <c r="F212" s="109"/>
      <c r="G212" s="109"/>
      <c r="H212" s="109"/>
      <c r="I212" s="109"/>
      <c r="J212" s="109"/>
      <c r="K212" s="78"/>
      <c r="N212" s="109"/>
      <c r="O212" s="109"/>
      <c r="P212" s="109"/>
      <c r="Q212" s="109"/>
    </row>
    <row r="213" spans="1:17" x14ac:dyDescent="0.15">
      <c r="A213" s="38">
        <f t="shared" si="17"/>
        <v>1859</v>
      </c>
      <c r="B213" s="109"/>
      <c r="C213" s="109"/>
      <c r="D213" s="109"/>
      <c r="E213" s="109"/>
      <c r="F213" s="109"/>
      <c r="G213" s="109"/>
      <c r="H213" s="109"/>
      <c r="I213" s="109"/>
      <c r="J213" s="109"/>
      <c r="K213" s="78">
        <v>9.3681721249999992</v>
      </c>
      <c r="N213" s="109"/>
      <c r="O213" s="109"/>
      <c r="P213" s="109"/>
      <c r="Q213" s="109">
        <f t="shared" si="24"/>
        <v>9.3681721249999992</v>
      </c>
    </row>
    <row r="214" spans="1:17" x14ac:dyDescent="0.15">
      <c r="A214" s="38">
        <f t="shared" ref="A214:A264" si="25">A213+1</f>
        <v>1860</v>
      </c>
      <c r="B214" s="109"/>
      <c r="C214" s="109"/>
      <c r="D214" s="109"/>
      <c r="E214" s="109"/>
      <c r="F214" s="109"/>
      <c r="G214" s="109"/>
      <c r="H214" s="109"/>
      <c r="I214" s="109"/>
      <c r="J214" s="109"/>
      <c r="K214" s="78"/>
      <c r="N214" s="109"/>
      <c r="O214" s="109"/>
      <c r="P214" s="109"/>
      <c r="Q214" s="109"/>
    </row>
    <row r="215" spans="1:17" x14ac:dyDescent="0.15">
      <c r="A215" s="38">
        <f t="shared" si="25"/>
        <v>1861</v>
      </c>
      <c r="B215" s="109"/>
      <c r="C215" s="109"/>
      <c r="D215" s="109"/>
      <c r="E215" s="109"/>
      <c r="F215" s="109"/>
      <c r="G215" s="109"/>
      <c r="H215" s="109"/>
      <c r="I215" s="109"/>
      <c r="J215" s="109"/>
      <c r="K215" s="78">
        <v>8.6475434999999994</v>
      </c>
      <c r="N215" s="109"/>
      <c r="O215" s="109"/>
      <c r="P215" s="109"/>
      <c r="Q215" s="109">
        <f t="shared" si="24"/>
        <v>8.6475434999999994</v>
      </c>
    </row>
    <row r="216" spans="1:17" x14ac:dyDescent="0.15">
      <c r="A216" s="38">
        <f t="shared" si="25"/>
        <v>1862</v>
      </c>
      <c r="B216" s="109"/>
      <c r="C216" s="109"/>
      <c r="D216" s="109"/>
      <c r="E216" s="109"/>
      <c r="F216" s="109"/>
      <c r="G216" s="109"/>
      <c r="H216" s="109"/>
      <c r="I216" s="109"/>
      <c r="J216" s="109"/>
      <c r="K216" s="78">
        <v>8.6475434999999994</v>
      </c>
      <c r="N216" s="109"/>
      <c r="O216" s="109"/>
      <c r="P216" s="109"/>
      <c r="Q216" s="109">
        <f t="shared" si="24"/>
        <v>8.6475434999999994</v>
      </c>
    </row>
    <row r="217" spans="1:17" x14ac:dyDescent="0.15">
      <c r="A217" s="38">
        <f t="shared" si="25"/>
        <v>1863</v>
      </c>
      <c r="B217" s="109"/>
      <c r="C217" s="109"/>
      <c r="D217" s="109"/>
      <c r="E217" s="109"/>
      <c r="F217" s="109"/>
      <c r="G217" s="109"/>
      <c r="H217" s="109"/>
      <c r="I217" s="109"/>
      <c r="J217" s="109"/>
      <c r="K217" s="78">
        <v>8.6475434999999994</v>
      </c>
      <c r="N217" s="109"/>
      <c r="O217" s="109"/>
      <c r="P217" s="109"/>
      <c r="Q217" s="109">
        <f t="shared" si="24"/>
        <v>8.6475434999999994</v>
      </c>
    </row>
    <row r="218" spans="1:17" x14ac:dyDescent="0.15">
      <c r="A218" s="38">
        <f t="shared" si="25"/>
        <v>1864</v>
      </c>
      <c r="B218" s="109"/>
      <c r="C218" s="109"/>
      <c r="D218" s="109"/>
      <c r="E218" s="109"/>
      <c r="F218" s="109"/>
      <c r="G218" s="109"/>
      <c r="H218" s="109"/>
      <c r="I218" s="109"/>
      <c r="J218" s="109"/>
      <c r="K218" s="78">
        <v>7.6867053333333333</v>
      </c>
      <c r="N218" s="109"/>
      <c r="O218" s="109"/>
      <c r="P218" s="109"/>
      <c r="Q218" s="109">
        <f t="shared" si="24"/>
        <v>7.6867053333333333</v>
      </c>
    </row>
    <row r="219" spans="1:17" x14ac:dyDescent="0.15">
      <c r="A219" s="38">
        <f t="shared" si="25"/>
        <v>1865</v>
      </c>
      <c r="B219" s="109"/>
      <c r="C219" s="109"/>
      <c r="D219" s="109"/>
      <c r="E219" s="109"/>
      <c r="F219" s="109"/>
      <c r="G219" s="109"/>
      <c r="H219" s="109"/>
      <c r="I219" s="109"/>
      <c r="J219" s="109"/>
      <c r="K219" s="78">
        <v>7.6867053333333333</v>
      </c>
      <c r="N219" s="109"/>
      <c r="O219" s="109"/>
      <c r="P219" s="109"/>
      <c r="Q219" s="109">
        <f t="shared" si="24"/>
        <v>7.6867053333333333</v>
      </c>
    </row>
    <row r="220" spans="1:17" x14ac:dyDescent="0.15">
      <c r="A220" s="38">
        <f t="shared" si="25"/>
        <v>1866</v>
      </c>
      <c r="B220" s="109"/>
      <c r="C220" s="109"/>
      <c r="D220" s="109"/>
      <c r="E220" s="109"/>
      <c r="F220" s="109"/>
      <c r="G220" s="109"/>
      <c r="H220" s="109"/>
      <c r="I220" s="109"/>
      <c r="J220" s="109"/>
      <c r="K220" s="78">
        <v>6.485657625</v>
      </c>
      <c r="N220" s="109"/>
      <c r="O220" s="109"/>
      <c r="P220" s="109"/>
      <c r="Q220" s="109">
        <f t="shared" si="24"/>
        <v>6.485657625</v>
      </c>
    </row>
    <row r="221" spans="1:17" x14ac:dyDescent="0.15">
      <c r="A221" s="38">
        <f t="shared" si="25"/>
        <v>1867</v>
      </c>
      <c r="B221" s="109"/>
      <c r="C221" s="109"/>
      <c r="D221" s="109"/>
      <c r="E221" s="109"/>
      <c r="F221" s="109"/>
      <c r="G221" s="109"/>
      <c r="H221" s="109"/>
      <c r="I221" s="109"/>
      <c r="J221" s="109"/>
      <c r="K221" s="78">
        <v>6.7258671666666672</v>
      </c>
      <c r="N221" s="109"/>
      <c r="O221" s="109"/>
      <c r="P221" s="109"/>
      <c r="Q221" s="109">
        <f t="shared" si="24"/>
        <v>6.7258671666666672</v>
      </c>
    </row>
    <row r="222" spans="1:17" x14ac:dyDescent="0.15">
      <c r="A222" s="38">
        <f t="shared" si="25"/>
        <v>1868</v>
      </c>
      <c r="B222" s="109"/>
      <c r="C222" s="109"/>
      <c r="D222" s="109"/>
      <c r="E222" s="109"/>
      <c r="F222" s="109"/>
      <c r="G222" s="109"/>
      <c r="H222" s="109"/>
      <c r="I222" s="109"/>
      <c r="J222" s="109"/>
      <c r="K222" s="78">
        <v>6.0853724447666675</v>
      </c>
      <c r="N222" s="109"/>
      <c r="O222" s="109"/>
      <c r="P222" s="109"/>
      <c r="Q222" s="109">
        <f t="shared" si="24"/>
        <v>6.0853724447666675</v>
      </c>
    </row>
    <row r="223" spans="1:17" x14ac:dyDescent="0.15">
      <c r="A223" s="38">
        <f t="shared" si="25"/>
        <v>1869</v>
      </c>
      <c r="B223" s="109"/>
      <c r="C223" s="109"/>
      <c r="D223" s="109"/>
      <c r="E223" s="109"/>
      <c r="F223" s="109"/>
      <c r="G223" s="109"/>
      <c r="H223" s="109"/>
      <c r="I223" s="109"/>
      <c r="J223" s="109"/>
      <c r="K223" s="78">
        <v>6.0853724447666675</v>
      </c>
      <c r="N223" s="109"/>
      <c r="O223" s="109"/>
      <c r="P223" s="109"/>
      <c r="Q223" s="109">
        <f t="shared" si="24"/>
        <v>6.0853724447666675</v>
      </c>
    </row>
    <row r="224" spans="1:17" x14ac:dyDescent="0.15">
      <c r="A224" s="38">
        <f t="shared" si="25"/>
        <v>1870</v>
      </c>
      <c r="B224" s="109"/>
      <c r="C224" s="109"/>
      <c r="D224" s="109"/>
      <c r="E224" s="109"/>
      <c r="F224" s="109"/>
      <c r="G224" s="109"/>
      <c r="H224" s="109"/>
      <c r="I224" s="109"/>
      <c r="J224" s="109"/>
      <c r="K224" s="78"/>
      <c r="N224" s="109"/>
      <c r="O224" s="109"/>
      <c r="P224" s="109"/>
      <c r="Q224" s="109"/>
    </row>
    <row r="225" spans="1:17" x14ac:dyDescent="0.15">
      <c r="A225" s="38">
        <f t="shared" si="25"/>
        <v>1871</v>
      </c>
      <c r="B225" s="109"/>
      <c r="C225" s="109"/>
      <c r="D225" s="109"/>
      <c r="E225" s="109"/>
      <c r="F225" s="109"/>
      <c r="G225" s="109"/>
      <c r="H225" s="109"/>
      <c r="I225" s="109"/>
      <c r="J225" s="109"/>
      <c r="K225" s="78"/>
      <c r="N225" s="109"/>
      <c r="O225" s="109"/>
      <c r="P225" s="109"/>
      <c r="Q225" s="109"/>
    </row>
    <row r="226" spans="1:17" x14ac:dyDescent="0.15">
      <c r="A226" s="38">
        <f t="shared" si="25"/>
        <v>1872</v>
      </c>
      <c r="B226" s="109"/>
      <c r="C226" s="109"/>
      <c r="D226" s="109"/>
      <c r="E226" s="109"/>
      <c r="F226" s="109"/>
      <c r="G226" s="109"/>
      <c r="H226" s="109"/>
      <c r="I226" s="109"/>
      <c r="J226" s="109"/>
      <c r="K226" s="78"/>
      <c r="N226" s="109"/>
      <c r="O226" s="109"/>
      <c r="P226" s="109"/>
      <c r="Q226" s="109"/>
    </row>
    <row r="227" spans="1:17" x14ac:dyDescent="0.15">
      <c r="A227" s="38">
        <f t="shared" si="25"/>
        <v>1873</v>
      </c>
      <c r="B227" s="109"/>
      <c r="C227" s="109"/>
      <c r="D227" s="109"/>
      <c r="E227" s="109"/>
      <c r="F227" s="109"/>
      <c r="G227" s="109"/>
      <c r="H227" s="109"/>
      <c r="I227" s="109"/>
      <c r="J227" s="109"/>
      <c r="K227" s="78"/>
      <c r="N227" s="109"/>
      <c r="O227" s="109"/>
      <c r="P227" s="109"/>
      <c r="Q227" s="109"/>
    </row>
    <row r="228" spans="1:17" x14ac:dyDescent="0.15">
      <c r="A228" s="38">
        <f t="shared" si="25"/>
        <v>1874</v>
      </c>
      <c r="B228" s="109"/>
      <c r="C228" s="109"/>
      <c r="D228" s="109"/>
      <c r="E228" s="109"/>
      <c r="F228" s="109"/>
      <c r="G228" s="109"/>
      <c r="H228" s="109"/>
      <c r="I228" s="109"/>
      <c r="J228" s="109"/>
      <c r="K228" s="78"/>
      <c r="N228" s="109"/>
      <c r="O228" s="109"/>
      <c r="P228" s="109"/>
      <c r="Q228" s="109"/>
    </row>
    <row r="229" spans="1:17" x14ac:dyDescent="0.15">
      <c r="A229" s="38">
        <f t="shared" si="25"/>
        <v>1875</v>
      </c>
      <c r="B229" s="109"/>
      <c r="C229" s="109"/>
      <c r="D229" s="109"/>
      <c r="E229" s="109"/>
      <c r="F229" s="109"/>
      <c r="G229" s="109"/>
      <c r="H229" s="109"/>
      <c r="I229" s="109"/>
      <c r="J229" s="109"/>
      <c r="K229" s="78"/>
      <c r="N229" s="109"/>
      <c r="O229" s="109"/>
      <c r="P229" s="109"/>
      <c r="Q229" s="109"/>
    </row>
    <row r="230" spans="1:17" x14ac:dyDescent="0.15">
      <c r="A230" s="38">
        <f t="shared" si="25"/>
        <v>1876</v>
      </c>
      <c r="B230" s="109"/>
      <c r="C230" s="109"/>
      <c r="D230" s="109"/>
      <c r="E230" s="109"/>
      <c r="F230" s="109"/>
      <c r="G230" s="109"/>
      <c r="H230" s="109"/>
      <c r="I230" s="109"/>
      <c r="J230" s="109"/>
      <c r="K230" s="78"/>
      <c r="N230" s="109"/>
      <c r="O230" s="109"/>
      <c r="P230" s="109"/>
      <c r="Q230" s="109"/>
    </row>
    <row r="231" spans="1:17" x14ac:dyDescent="0.15">
      <c r="A231" s="38">
        <f t="shared" si="25"/>
        <v>1877</v>
      </c>
      <c r="B231" s="109"/>
      <c r="C231" s="109"/>
      <c r="D231" s="109"/>
      <c r="E231" s="109"/>
      <c r="F231" s="109"/>
      <c r="G231" s="109"/>
      <c r="H231" s="109"/>
      <c r="I231" s="109"/>
      <c r="J231" s="109"/>
      <c r="K231" s="78"/>
      <c r="N231" s="109"/>
      <c r="O231" s="109"/>
      <c r="P231" s="109"/>
      <c r="Q231" s="109"/>
    </row>
    <row r="232" spans="1:17" x14ac:dyDescent="0.15">
      <c r="A232" s="38">
        <f t="shared" si="25"/>
        <v>1878</v>
      </c>
      <c r="B232" s="109"/>
      <c r="C232" s="109"/>
      <c r="D232" s="109"/>
      <c r="E232" s="109"/>
      <c r="F232" s="109"/>
      <c r="G232" s="109"/>
      <c r="H232" s="109"/>
      <c r="I232" s="109"/>
      <c r="J232" s="109"/>
      <c r="K232" s="78"/>
      <c r="N232" s="109"/>
      <c r="O232" s="109"/>
      <c r="P232" s="109"/>
      <c r="Q232" s="109"/>
    </row>
    <row r="233" spans="1:17" x14ac:dyDescent="0.15">
      <c r="A233" s="38">
        <f t="shared" si="25"/>
        <v>1879</v>
      </c>
      <c r="B233" s="109"/>
      <c r="C233" s="109"/>
      <c r="D233" s="109"/>
      <c r="E233" s="109"/>
      <c r="F233" s="109"/>
      <c r="G233" s="109"/>
      <c r="H233" s="109"/>
      <c r="I233" s="109"/>
      <c r="J233" s="109"/>
      <c r="K233" s="78"/>
      <c r="N233" s="109"/>
      <c r="O233" s="109"/>
      <c r="P233" s="109"/>
      <c r="Q233" s="109"/>
    </row>
    <row r="234" spans="1:17" x14ac:dyDescent="0.15">
      <c r="A234" s="38">
        <f t="shared" si="25"/>
        <v>1880</v>
      </c>
      <c r="B234" s="109"/>
      <c r="C234" s="109"/>
      <c r="D234" s="109"/>
      <c r="E234" s="109"/>
      <c r="F234" s="109"/>
      <c r="G234" s="109"/>
      <c r="H234" s="109"/>
      <c r="I234" s="109"/>
      <c r="J234" s="109"/>
      <c r="K234" s="78"/>
      <c r="N234" s="109"/>
      <c r="O234" s="109"/>
      <c r="P234" s="109"/>
      <c r="Q234" s="109"/>
    </row>
    <row r="235" spans="1:17" x14ac:dyDescent="0.15">
      <c r="A235" s="38">
        <f t="shared" si="25"/>
        <v>1881</v>
      </c>
      <c r="B235" s="109"/>
      <c r="C235" s="109"/>
      <c r="D235" s="109"/>
      <c r="E235" s="109"/>
      <c r="F235" s="109"/>
      <c r="G235" s="109"/>
      <c r="H235" s="109"/>
      <c r="I235" s="109"/>
      <c r="J235" s="109"/>
      <c r="K235" s="78"/>
      <c r="N235" s="109"/>
      <c r="O235" s="109"/>
      <c r="P235" s="109"/>
      <c r="Q235" s="109"/>
    </row>
    <row r="236" spans="1:17" x14ac:dyDescent="0.15">
      <c r="A236" s="38">
        <f t="shared" si="25"/>
        <v>1882</v>
      </c>
      <c r="B236" s="109"/>
      <c r="C236" s="109"/>
      <c r="D236" s="109"/>
      <c r="E236" s="109"/>
      <c r="F236" s="109"/>
      <c r="G236" s="109"/>
      <c r="H236" s="109"/>
      <c r="I236" s="109"/>
      <c r="J236" s="109"/>
      <c r="K236" s="78">
        <v>2.0480150154088554</v>
      </c>
      <c r="N236" s="109"/>
      <c r="O236" s="109"/>
      <c r="P236" s="109"/>
      <c r="Q236" s="109">
        <f t="shared" ref="Q236:Q266" si="26">AVERAGE(K236:L236)</f>
        <v>2.0480150154088554</v>
      </c>
    </row>
    <row r="237" spans="1:17" x14ac:dyDescent="0.15">
      <c r="A237" s="38">
        <f t="shared" si="25"/>
        <v>1883</v>
      </c>
      <c r="B237" s="109"/>
      <c r="C237" s="109"/>
      <c r="D237" s="109"/>
      <c r="E237" s="109"/>
      <c r="F237" s="109"/>
      <c r="G237" s="109"/>
      <c r="H237" s="109"/>
      <c r="I237" s="109"/>
      <c r="J237" s="109"/>
      <c r="K237" s="78">
        <v>2.1655318140404751</v>
      </c>
      <c r="N237" s="109"/>
      <c r="O237" s="109"/>
      <c r="P237" s="109"/>
      <c r="Q237" s="109">
        <f t="shared" si="26"/>
        <v>2.1655318140404751</v>
      </c>
    </row>
    <row r="238" spans="1:17" x14ac:dyDescent="0.15">
      <c r="A238" s="38">
        <f t="shared" si="25"/>
        <v>1884</v>
      </c>
      <c r="B238" s="109"/>
      <c r="C238" s="109"/>
      <c r="D238" s="109"/>
      <c r="E238" s="109"/>
      <c r="F238" s="109"/>
      <c r="G238" s="109"/>
      <c r="H238" s="109"/>
      <c r="I238" s="109"/>
      <c r="J238" s="109"/>
      <c r="K238" s="78">
        <v>2.0738073037467206</v>
      </c>
      <c r="N238" s="109"/>
      <c r="O238" s="109"/>
      <c r="P238" s="109"/>
      <c r="Q238" s="109">
        <f t="shared" si="26"/>
        <v>2.0738073037467206</v>
      </c>
    </row>
    <row r="239" spans="1:17" x14ac:dyDescent="0.15">
      <c r="A239" s="38">
        <f t="shared" si="25"/>
        <v>1885</v>
      </c>
      <c r="B239" s="109"/>
      <c r="C239" s="109"/>
      <c r="D239" s="109"/>
      <c r="E239" s="109"/>
      <c r="F239" s="109"/>
      <c r="G239" s="109"/>
      <c r="H239" s="109"/>
      <c r="I239" s="109"/>
      <c r="J239" s="109"/>
      <c r="K239" s="78">
        <v>1.8655272666008766</v>
      </c>
      <c r="N239" s="109"/>
      <c r="O239" s="109"/>
      <c r="P239" s="109"/>
      <c r="Q239" s="109">
        <f t="shared" si="26"/>
        <v>1.8655272666008766</v>
      </c>
    </row>
    <row r="240" spans="1:17" x14ac:dyDescent="0.15">
      <c r="A240" s="38">
        <f t="shared" si="25"/>
        <v>1886</v>
      </c>
      <c r="B240" s="109"/>
      <c r="C240" s="109"/>
      <c r="D240" s="109"/>
      <c r="E240" s="109"/>
      <c r="F240" s="109"/>
      <c r="G240" s="109"/>
      <c r="H240" s="109"/>
      <c r="I240" s="109"/>
      <c r="J240" s="109"/>
      <c r="K240" s="78">
        <v>1.7003306876793325</v>
      </c>
      <c r="N240" s="109"/>
      <c r="O240" s="109"/>
      <c r="P240" s="109"/>
      <c r="Q240" s="109">
        <f t="shared" si="26"/>
        <v>1.7003306876793325</v>
      </c>
    </row>
    <row r="241" spans="1:17" x14ac:dyDescent="0.15">
      <c r="A241" s="38">
        <f t="shared" si="25"/>
        <v>1887</v>
      </c>
      <c r="B241" s="109"/>
      <c r="C241" s="109"/>
      <c r="D241" s="109"/>
      <c r="E241" s="109"/>
      <c r="F241" s="109"/>
      <c r="G241" s="109"/>
      <c r="H241" s="109"/>
      <c r="I241" s="109"/>
      <c r="J241" s="109"/>
      <c r="K241" s="78">
        <v>1.6555416213587444</v>
      </c>
      <c r="N241" s="109"/>
      <c r="O241" s="109"/>
      <c r="P241" s="109"/>
      <c r="Q241" s="109">
        <f t="shared" si="26"/>
        <v>1.6555416213587444</v>
      </c>
    </row>
    <row r="242" spans="1:17" x14ac:dyDescent="0.15">
      <c r="A242" s="38">
        <f t="shared" si="25"/>
        <v>1888</v>
      </c>
      <c r="B242" s="109"/>
      <c r="C242" s="109"/>
      <c r="D242" s="109"/>
      <c r="E242" s="109"/>
      <c r="F242" s="109"/>
      <c r="G242" s="109"/>
      <c r="H242" s="109"/>
      <c r="I242" s="109"/>
      <c r="J242" s="109"/>
      <c r="K242" s="78">
        <v>1.6325153642925425</v>
      </c>
      <c r="N242" s="109"/>
      <c r="O242" s="109"/>
      <c r="P242" s="109"/>
      <c r="Q242" s="109">
        <f t="shared" si="26"/>
        <v>1.6325153642925425</v>
      </c>
    </row>
    <row r="243" spans="1:17" x14ac:dyDescent="0.15">
      <c r="A243" s="38">
        <f t="shared" si="25"/>
        <v>1889</v>
      </c>
      <c r="B243" s="109"/>
      <c r="C243" s="109"/>
      <c r="D243" s="109"/>
      <c r="E243" s="109"/>
      <c r="F243" s="109"/>
      <c r="G243" s="109"/>
      <c r="H243" s="109"/>
      <c r="I243" s="109"/>
      <c r="J243" s="109"/>
      <c r="K243" s="78">
        <v>1.6750437195491807</v>
      </c>
      <c r="N243" s="109"/>
      <c r="O243" s="109"/>
      <c r="P243" s="109"/>
      <c r="Q243" s="109">
        <f t="shared" si="26"/>
        <v>1.6750437195491807</v>
      </c>
    </row>
    <row r="244" spans="1:17" x14ac:dyDescent="0.15">
      <c r="A244" s="38">
        <f t="shared" si="25"/>
        <v>1890</v>
      </c>
      <c r="B244" s="109"/>
      <c r="C244" s="109"/>
      <c r="D244" s="109"/>
      <c r="E244" s="109"/>
      <c r="F244" s="109"/>
      <c r="G244" s="109"/>
      <c r="H244" s="109"/>
      <c r="I244" s="109"/>
      <c r="J244" s="109"/>
      <c r="K244" s="78">
        <v>1.7321902499352624</v>
      </c>
      <c r="N244" s="109"/>
      <c r="O244" s="109"/>
      <c r="P244" s="109"/>
      <c r="Q244" s="109">
        <f t="shared" si="26"/>
        <v>1.7321902499352624</v>
      </c>
    </row>
    <row r="245" spans="1:17" x14ac:dyDescent="0.15">
      <c r="A245" s="38">
        <f t="shared" si="25"/>
        <v>1891</v>
      </c>
      <c r="B245" s="109"/>
      <c r="C245" s="109"/>
      <c r="D245" s="109"/>
      <c r="E245" s="109"/>
      <c r="F245" s="109"/>
      <c r="G245" s="109"/>
      <c r="H245" s="109"/>
      <c r="I245" s="109"/>
      <c r="J245" s="109"/>
      <c r="K245" s="78">
        <v>1.7856145703140589</v>
      </c>
      <c r="N245" s="109"/>
      <c r="O245" s="109"/>
      <c r="P245" s="109"/>
      <c r="Q245" s="109">
        <f t="shared" si="26"/>
        <v>1.7856145703140589</v>
      </c>
    </row>
    <row r="246" spans="1:17" x14ac:dyDescent="0.15">
      <c r="A246" s="38">
        <f t="shared" si="25"/>
        <v>1892</v>
      </c>
      <c r="B246" s="109"/>
      <c r="C246" s="109"/>
      <c r="D246" s="109"/>
      <c r="E246" s="109"/>
      <c r="F246" s="109"/>
      <c r="G246" s="109"/>
      <c r="H246" s="109"/>
      <c r="I246" s="109"/>
      <c r="J246" s="109"/>
      <c r="K246" s="78">
        <v>1.7294887805773562</v>
      </c>
      <c r="N246" s="109"/>
      <c r="O246" s="109"/>
      <c r="P246" s="109"/>
      <c r="Q246" s="109">
        <f t="shared" si="26"/>
        <v>1.7294887805773562</v>
      </c>
    </row>
    <row r="247" spans="1:17" x14ac:dyDescent="0.15">
      <c r="A247" s="38">
        <f t="shared" si="25"/>
        <v>1893</v>
      </c>
      <c r="B247" s="109"/>
      <c r="C247" s="109"/>
      <c r="D247" s="109"/>
      <c r="E247" s="109"/>
      <c r="F247" s="109"/>
      <c r="G247" s="109"/>
      <c r="H247" s="109"/>
      <c r="I247" s="109"/>
      <c r="J247" s="109"/>
      <c r="K247" s="78">
        <v>1.7945972399511745</v>
      </c>
      <c r="N247" s="109"/>
      <c r="O247" s="109"/>
      <c r="P247" s="109"/>
      <c r="Q247" s="109">
        <f t="shared" si="26"/>
        <v>1.7945972399511745</v>
      </c>
    </row>
    <row r="248" spans="1:17" x14ac:dyDescent="0.15">
      <c r="A248" s="38">
        <f t="shared" si="25"/>
        <v>1894</v>
      </c>
      <c r="B248" s="109"/>
      <c r="C248" s="109"/>
      <c r="D248" s="109"/>
      <c r="E248" s="109"/>
      <c r="F248" s="109"/>
      <c r="G248" s="109"/>
      <c r="H248" s="109"/>
      <c r="I248" s="109"/>
      <c r="J248" s="109"/>
      <c r="K248" s="78">
        <v>1.8240852306407425</v>
      </c>
      <c r="N248" s="109"/>
      <c r="O248" s="109"/>
      <c r="P248" s="109"/>
      <c r="Q248" s="109">
        <f t="shared" si="26"/>
        <v>1.8240852306407425</v>
      </c>
    </row>
    <row r="249" spans="1:17" x14ac:dyDescent="0.15">
      <c r="A249" s="38">
        <f t="shared" si="25"/>
        <v>1895</v>
      </c>
      <c r="B249" s="109"/>
      <c r="C249" s="109"/>
      <c r="D249" s="109"/>
      <c r="E249" s="109"/>
      <c r="F249" s="109"/>
      <c r="G249" s="109"/>
      <c r="H249" s="109"/>
      <c r="I249" s="109"/>
      <c r="J249" s="109"/>
      <c r="K249" s="78">
        <v>1.8516867771247578</v>
      </c>
      <c r="N249" s="109"/>
      <c r="O249" s="109"/>
      <c r="P249" s="109"/>
      <c r="Q249" s="109">
        <f t="shared" si="26"/>
        <v>1.8516867771247578</v>
      </c>
    </row>
    <row r="250" spans="1:17" x14ac:dyDescent="0.15">
      <c r="A250" s="38">
        <f t="shared" si="25"/>
        <v>1896</v>
      </c>
      <c r="B250" s="109"/>
      <c r="C250" s="109"/>
      <c r="D250" s="109"/>
      <c r="E250" s="109"/>
      <c r="F250" s="109"/>
      <c r="G250" s="109"/>
      <c r="H250" s="109"/>
      <c r="I250" s="109"/>
      <c r="J250" s="109"/>
      <c r="K250" s="78">
        <v>1.5716597335028202</v>
      </c>
      <c r="N250" s="109"/>
      <c r="O250" s="109"/>
      <c r="P250" s="109"/>
      <c r="Q250" s="109">
        <f t="shared" si="26"/>
        <v>1.5716597335028202</v>
      </c>
    </row>
    <row r="251" spans="1:17" x14ac:dyDescent="0.15">
      <c r="A251" s="38">
        <f t="shared" si="25"/>
        <v>1897</v>
      </c>
      <c r="B251" s="109"/>
      <c r="C251" s="109"/>
      <c r="D251" s="109"/>
      <c r="E251" s="109"/>
      <c r="F251" s="109"/>
      <c r="G251" s="109"/>
      <c r="H251" s="109"/>
      <c r="I251" s="109"/>
      <c r="J251" s="109"/>
      <c r="K251" s="78">
        <v>1.5428437469572489</v>
      </c>
      <c r="N251" s="109"/>
      <c r="O251" s="109"/>
      <c r="P251" s="109"/>
      <c r="Q251" s="109">
        <f t="shared" si="26"/>
        <v>1.5428437469572489</v>
      </c>
    </row>
    <row r="252" spans="1:17" x14ac:dyDescent="0.15">
      <c r="A252" s="38">
        <f t="shared" si="25"/>
        <v>1898</v>
      </c>
      <c r="B252" s="109"/>
      <c r="C252" s="109"/>
      <c r="D252" s="109"/>
      <c r="E252" s="109"/>
      <c r="F252" s="109"/>
      <c r="G252" s="109"/>
      <c r="H252" s="109"/>
      <c r="I252" s="109"/>
      <c r="J252" s="109"/>
      <c r="K252" s="78">
        <v>1.5687914839534334</v>
      </c>
      <c r="N252" s="109"/>
      <c r="O252" s="109"/>
      <c r="P252" s="109"/>
      <c r="Q252" s="109">
        <f t="shared" si="26"/>
        <v>1.5687914839534334</v>
      </c>
    </row>
    <row r="253" spans="1:17" x14ac:dyDescent="0.15">
      <c r="A253" s="38">
        <f t="shared" si="25"/>
        <v>1899</v>
      </c>
      <c r="B253" s="109"/>
      <c r="C253" s="109"/>
      <c r="D253" s="109"/>
      <c r="E253" s="109"/>
      <c r="F253" s="109"/>
      <c r="G253" s="109"/>
      <c r="H253" s="109"/>
      <c r="I253" s="109"/>
      <c r="J253" s="109"/>
      <c r="K253" s="78">
        <v>1.6368382787703244</v>
      </c>
      <c r="N253" s="109"/>
      <c r="O253" s="109"/>
      <c r="P253" s="109"/>
      <c r="Q253" s="109">
        <f t="shared" si="26"/>
        <v>1.6368382787703244</v>
      </c>
    </row>
    <row r="254" spans="1:17" x14ac:dyDescent="0.15">
      <c r="A254" s="38">
        <f t="shared" si="25"/>
        <v>1900</v>
      </c>
      <c r="B254" s="109"/>
      <c r="C254" s="109"/>
      <c r="D254" s="109"/>
      <c r="E254" s="109"/>
      <c r="F254" s="109"/>
      <c r="G254" s="109"/>
      <c r="H254" s="109"/>
      <c r="I254" s="109"/>
      <c r="J254" s="109"/>
      <c r="K254" s="78">
        <v>1.860691065327347</v>
      </c>
      <c r="N254" s="109"/>
      <c r="O254" s="109"/>
      <c r="P254" s="109"/>
      <c r="Q254" s="109">
        <f t="shared" si="26"/>
        <v>1.860691065327347</v>
      </c>
    </row>
    <row r="255" spans="1:17" x14ac:dyDescent="0.15">
      <c r="A255" s="38">
        <f t="shared" si="25"/>
        <v>1901</v>
      </c>
      <c r="B255" s="109"/>
      <c r="C255" s="109"/>
      <c r="D255" s="109"/>
      <c r="E255" s="109"/>
      <c r="F255" s="109"/>
      <c r="G255" s="109"/>
      <c r="H255" s="109"/>
      <c r="I255" s="109"/>
      <c r="J255" s="109"/>
      <c r="K255" s="78">
        <v>1.9776645273805062</v>
      </c>
      <c r="N255" s="109"/>
      <c r="O255" s="109"/>
      <c r="P255" s="109"/>
      <c r="Q255" s="109">
        <f t="shared" si="26"/>
        <v>1.9776645273805062</v>
      </c>
    </row>
    <row r="256" spans="1:17" x14ac:dyDescent="0.15">
      <c r="A256" s="38">
        <f t="shared" si="25"/>
        <v>1902</v>
      </c>
      <c r="B256" s="109"/>
      <c r="C256" s="109"/>
      <c r="D256" s="109"/>
      <c r="E256" s="109"/>
      <c r="F256" s="109"/>
      <c r="G256" s="109"/>
      <c r="H256" s="109"/>
      <c r="I256" s="109"/>
      <c r="J256" s="109"/>
      <c r="K256" s="78">
        <v>2.055090838970095</v>
      </c>
      <c r="N256" s="109"/>
      <c r="O256" s="109"/>
      <c r="P256" s="109"/>
      <c r="Q256" s="109">
        <f t="shared" si="26"/>
        <v>2.055090838970095</v>
      </c>
    </row>
    <row r="257" spans="1:17" x14ac:dyDescent="0.15">
      <c r="A257" s="38">
        <f t="shared" si="25"/>
        <v>1903</v>
      </c>
      <c r="B257" s="109"/>
      <c r="C257" s="109"/>
      <c r="D257" s="109"/>
      <c r="E257" s="109"/>
      <c r="F257" s="109"/>
      <c r="G257" s="109"/>
      <c r="H257" s="109"/>
      <c r="I257" s="109"/>
      <c r="J257" s="109"/>
      <c r="K257" s="78"/>
      <c r="N257" s="109"/>
      <c r="O257" s="109"/>
      <c r="P257" s="109"/>
      <c r="Q257" s="109"/>
    </row>
    <row r="258" spans="1:17" x14ac:dyDescent="0.15">
      <c r="A258" s="38">
        <f t="shared" si="25"/>
        <v>1904</v>
      </c>
      <c r="B258" s="109"/>
      <c r="C258" s="109"/>
      <c r="D258" s="109"/>
      <c r="E258" s="109"/>
      <c r="F258" s="109"/>
      <c r="G258" s="109"/>
      <c r="H258" s="109"/>
      <c r="I258" s="109"/>
      <c r="J258" s="109"/>
      <c r="K258" s="78"/>
      <c r="N258" s="109"/>
      <c r="O258" s="109"/>
      <c r="P258" s="109"/>
      <c r="Q258" s="109"/>
    </row>
    <row r="259" spans="1:17" x14ac:dyDescent="0.15">
      <c r="A259" s="38">
        <f t="shared" si="25"/>
        <v>1905</v>
      </c>
      <c r="B259" s="109"/>
      <c r="C259" s="109"/>
      <c r="D259" s="109"/>
      <c r="E259" s="109"/>
      <c r="F259" s="109"/>
      <c r="G259" s="109"/>
      <c r="H259" s="109"/>
      <c r="I259" s="109"/>
      <c r="J259" s="109"/>
      <c r="K259" s="78">
        <v>1.9248590342059138</v>
      </c>
      <c r="N259" s="109"/>
      <c r="O259" s="109"/>
      <c r="P259" s="109"/>
      <c r="Q259" s="109">
        <f t="shared" si="26"/>
        <v>1.9248590342059138</v>
      </c>
    </row>
    <row r="260" spans="1:17" x14ac:dyDescent="0.15">
      <c r="A260" s="38">
        <f t="shared" si="25"/>
        <v>1906</v>
      </c>
      <c r="B260" s="109"/>
      <c r="C260" s="109"/>
      <c r="D260" s="109"/>
      <c r="E260" s="109"/>
      <c r="F260" s="109"/>
      <c r="G260" s="109"/>
      <c r="H260" s="109"/>
      <c r="I260" s="109"/>
      <c r="J260" s="109"/>
      <c r="K260" s="78"/>
      <c r="N260" s="109"/>
      <c r="O260" s="109"/>
      <c r="P260" s="109"/>
      <c r="Q260" s="109"/>
    </row>
    <row r="261" spans="1:17" x14ac:dyDescent="0.15">
      <c r="A261" s="38">
        <f t="shared" si="25"/>
        <v>1907</v>
      </c>
      <c r="B261" s="109"/>
      <c r="C261" s="109"/>
      <c r="D261" s="109"/>
      <c r="E261" s="109"/>
      <c r="F261" s="109"/>
      <c r="G261" s="109"/>
      <c r="H261" s="109"/>
      <c r="I261" s="109"/>
      <c r="J261" s="109"/>
      <c r="K261" s="78"/>
      <c r="N261" s="109"/>
      <c r="O261" s="109"/>
      <c r="P261" s="109"/>
      <c r="Q261" s="109"/>
    </row>
    <row r="262" spans="1:17" x14ac:dyDescent="0.15">
      <c r="A262" s="38">
        <f t="shared" si="25"/>
        <v>1908</v>
      </c>
      <c r="B262" s="109"/>
      <c r="C262" s="109"/>
      <c r="D262" s="109"/>
      <c r="E262" s="109"/>
      <c r="F262" s="109"/>
      <c r="G262" s="109"/>
      <c r="H262" s="109"/>
      <c r="I262" s="109"/>
      <c r="J262" s="109"/>
      <c r="K262" s="78"/>
      <c r="N262" s="109"/>
      <c r="O262" s="109"/>
      <c r="P262" s="109"/>
      <c r="Q262" s="109"/>
    </row>
    <row r="263" spans="1:17" x14ac:dyDescent="0.15">
      <c r="A263" s="38">
        <f t="shared" si="25"/>
        <v>1909</v>
      </c>
      <c r="B263" s="109"/>
      <c r="C263" s="109"/>
      <c r="D263" s="109"/>
      <c r="E263" s="109"/>
      <c r="F263" s="109"/>
      <c r="G263" s="109"/>
      <c r="H263" s="109"/>
      <c r="I263" s="109"/>
      <c r="J263" s="109"/>
      <c r="K263" s="78"/>
      <c r="N263" s="109"/>
      <c r="O263" s="109"/>
      <c r="P263" s="109"/>
      <c r="Q263" s="109"/>
    </row>
    <row r="264" spans="1:17" x14ac:dyDescent="0.15">
      <c r="A264" s="38">
        <f t="shared" si="25"/>
        <v>1910</v>
      </c>
      <c r="B264" s="109"/>
      <c r="C264" s="109"/>
      <c r="D264" s="109"/>
      <c r="E264" s="109"/>
      <c r="F264" s="109"/>
      <c r="G264" s="109"/>
      <c r="H264" s="109"/>
      <c r="I264" s="109"/>
      <c r="J264" s="109"/>
      <c r="K264" s="78">
        <v>2.1654599604591382</v>
      </c>
      <c r="N264" s="109"/>
      <c r="O264" s="109"/>
      <c r="P264" s="109"/>
      <c r="Q264" s="109">
        <f t="shared" si="26"/>
        <v>2.1654599604591382</v>
      </c>
    </row>
    <row r="265" spans="1:17" x14ac:dyDescent="0.15">
      <c r="A265" s="38">
        <v>1911</v>
      </c>
      <c r="B265" s="109"/>
      <c r="C265" s="109"/>
      <c r="D265" s="109"/>
      <c r="E265" s="109"/>
      <c r="F265" s="109"/>
      <c r="G265" s="109"/>
      <c r="H265" s="109"/>
      <c r="I265" s="109"/>
      <c r="J265" s="109"/>
      <c r="K265" s="78">
        <v>2.0655449502923675</v>
      </c>
      <c r="N265" s="109"/>
      <c r="O265" s="109"/>
      <c r="P265" s="109"/>
      <c r="Q265" s="109">
        <f t="shared" si="26"/>
        <v>2.0655449502923675</v>
      </c>
    </row>
    <row r="266" spans="1:17" x14ac:dyDescent="0.15">
      <c r="A266" s="38">
        <v>1912</v>
      </c>
      <c r="B266" s="109"/>
      <c r="C266" s="109"/>
      <c r="D266" s="109"/>
      <c r="E266" s="109"/>
      <c r="F266" s="109"/>
      <c r="G266" s="109"/>
      <c r="H266" s="109"/>
      <c r="I266" s="109"/>
      <c r="J266" s="109"/>
      <c r="K266" s="78">
        <v>2.0019255961957882</v>
      </c>
      <c r="N266" s="109"/>
      <c r="O266" s="109"/>
      <c r="P266" s="109"/>
      <c r="Q266" s="109">
        <f t="shared" si="26"/>
        <v>2.0019255961957882</v>
      </c>
    </row>
    <row r="267" spans="1:17" x14ac:dyDescent="0.15">
      <c r="A267" s="38">
        <v>1913</v>
      </c>
      <c r="B267" s="109"/>
      <c r="C267" s="109"/>
      <c r="D267" s="109"/>
      <c r="E267" s="109"/>
      <c r="F267" s="109"/>
      <c r="G267" s="109"/>
      <c r="H267" s="109"/>
      <c r="I267" s="109"/>
      <c r="J267" s="109"/>
      <c r="K267" s="76"/>
      <c r="N267" s="109"/>
      <c r="O267" s="109"/>
      <c r="P267" s="109"/>
      <c r="Q267" s="109"/>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25</vt:i4>
      </vt:variant>
    </vt:vector>
  </HeadingPairs>
  <TitlesOfParts>
    <vt:vector size="25" baseType="lpstr">
      <vt:lpstr>Notes and sources</vt:lpstr>
      <vt:lpstr>Real wages</vt:lpstr>
      <vt:lpstr>CPI1 vs Britain ••</vt:lpstr>
      <vt:lpstr>CPI2</vt:lpstr>
      <vt:lpstr>Wheat</vt:lpstr>
      <vt:lpstr>Beans</vt:lpstr>
      <vt:lpstr>Meat</vt:lpstr>
      <vt:lpstr>Butter</vt:lpstr>
      <vt:lpstr>Soap</vt:lpstr>
      <vt:lpstr>Cotton (piece, sq m)</vt:lpstr>
      <vt:lpstr>Candles</vt:lpstr>
      <vt:lpstr>Lamp oil</vt:lpstr>
      <vt:lpstr>Firewood</vt:lpstr>
      <vt:lpstr>Cape Archives (Various)</vt:lpstr>
      <vt:lpstr>VOC (various)</vt:lpstr>
      <vt:lpstr>Theal Pounds</vt:lpstr>
      <vt:lpstr>Theal Rds</vt:lpstr>
      <vt:lpstr>MOOC</vt:lpstr>
      <vt:lpstr>Blue Books (extra)</vt:lpstr>
      <vt:lpstr>Neumark</vt:lpstr>
      <vt:lpstr>Exchange rates</vt:lpstr>
      <vt:lpstr>VOC Rendement (textile)</vt:lpstr>
      <vt:lpstr>VOC Rendement (soap)</vt:lpstr>
      <vt:lpstr>Cape Archives RDG211(2)</vt:lpstr>
      <vt:lpstr>Cape Archives (RDG211)</vt:lpstr>
    </vt:vector>
  </TitlesOfParts>
  <Manager/>
  <Company>KNAW</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Pim de Zwart</dc:creator>
  <cp:keywords/>
  <dc:description/>
  <cp:lastModifiedBy>Microsoft Office User</cp:lastModifiedBy>
  <cp:revision/>
  <dcterms:created xsi:type="dcterms:W3CDTF">2013-05-13T09:20:30Z</dcterms:created>
  <dcterms:modified xsi:type="dcterms:W3CDTF">2016-12-03T03:59:41Z</dcterms:modified>
  <cp:category/>
  <cp:contentStatus/>
</cp:coreProperties>
</file>